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5240" windowHeight="6510"/>
  </bookViews>
  <sheets>
    <sheet name="1.0 Whiteboard" sheetId="4" r:id="rId1"/>
    <sheet name="1.0 Transactions" sheetId="6" r:id="rId2"/>
    <sheet name="Lookup Values" sheetId="15" r:id="rId3"/>
    <sheet name="VLOOKUP Sandbox - Basic" sheetId="14" r:id="rId4"/>
    <sheet name="VLOOKUP Sandbox - Advanced" sheetId="12" state="hidden" r:id="rId5"/>
    <sheet name="Logical Function Sandbox" sheetId="11" r:id="rId6"/>
    <sheet name="1.0 Whiteboard Printable" sheetId="10" state="hidden" r:id="rId7"/>
  </sheets>
  <calcPr calcId="145621" concurrentCalc="0"/>
</workbook>
</file>

<file path=xl/calcChain.xml><?xml version="1.0" encoding="utf-8"?>
<calcChain xmlns="http://schemas.openxmlformats.org/spreadsheetml/2006/main">
  <c r="AG2" i="6" l="1"/>
  <c r="AG47" i="6"/>
  <c r="AG3" i="6"/>
  <c r="AG4" i="6"/>
  <c r="AG5" i="6"/>
  <c r="AG6" i="6"/>
  <c r="AG7"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AG172" i="6"/>
  <c r="AG173" i="6"/>
  <c r="AG174" i="6"/>
  <c r="AG175" i="6"/>
  <c r="AG176" i="6"/>
  <c r="AG177" i="6"/>
  <c r="AG178" i="6"/>
  <c r="AG179" i="6"/>
  <c r="AG180" i="6"/>
  <c r="AG181" i="6"/>
  <c r="AG182" i="6"/>
  <c r="AG183" i="6"/>
  <c r="AG184" i="6"/>
  <c r="AG185" i="6"/>
  <c r="AG186" i="6"/>
  <c r="AG187" i="6"/>
  <c r="AG188" i="6"/>
  <c r="AG189" i="6"/>
  <c r="AG190" i="6"/>
  <c r="AG191" i="6"/>
  <c r="AG192" i="6"/>
  <c r="AG193" i="6"/>
  <c r="AG194" i="6"/>
  <c r="AG195" i="6"/>
  <c r="AG196" i="6"/>
  <c r="AG197" i="6"/>
  <c r="AG198" i="6"/>
  <c r="AG199" i="6"/>
  <c r="AG200" i="6"/>
  <c r="AG201" i="6"/>
  <c r="AG202" i="6"/>
  <c r="AG203" i="6"/>
  <c r="AG204" i="6"/>
  <c r="AG205" i="6"/>
  <c r="AG206" i="6"/>
  <c r="AG207" i="6"/>
  <c r="AG208" i="6"/>
  <c r="AG209" i="6"/>
  <c r="AG210" i="6"/>
  <c r="AG211" i="6"/>
  <c r="AG212" i="6"/>
  <c r="AG213" i="6"/>
  <c r="AG214" i="6"/>
  <c r="AG215" i="6"/>
  <c r="AG216" i="6"/>
  <c r="AG217" i="6"/>
  <c r="AG218" i="6"/>
  <c r="AG219" i="6"/>
  <c r="AG220" i="6"/>
  <c r="AG221" i="6"/>
  <c r="AG222" i="6"/>
  <c r="AG223" i="6"/>
  <c r="AG224" i="6"/>
  <c r="AG225" i="6"/>
  <c r="AG226" i="6"/>
  <c r="AG227" i="6"/>
  <c r="AG228" i="6"/>
  <c r="AG229" i="6"/>
  <c r="AG230" i="6"/>
  <c r="AG231" i="6"/>
  <c r="AG232" i="6"/>
  <c r="AG233" i="6"/>
  <c r="AG234" i="6"/>
  <c r="AG235" i="6"/>
  <c r="AG236" i="6"/>
  <c r="AG237" i="6"/>
  <c r="AG238" i="6"/>
  <c r="AG239" i="6"/>
  <c r="AG240" i="6"/>
  <c r="AG241" i="6"/>
  <c r="AG242" i="6"/>
  <c r="AG243" i="6"/>
  <c r="AG244" i="6"/>
  <c r="AG245" i="6"/>
  <c r="AG246" i="6"/>
  <c r="AG247" i="6"/>
  <c r="AG248" i="6"/>
  <c r="AG249" i="6"/>
  <c r="AG250" i="6"/>
  <c r="AG251" i="6"/>
  <c r="AG252" i="6"/>
  <c r="AG253" i="6"/>
  <c r="AG254" i="6"/>
  <c r="AG255" i="6"/>
  <c r="AG256" i="6"/>
  <c r="AG257" i="6"/>
  <c r="AG258" i="6"/>
  <c r="AG259" i="6"/>
  <c r="AG260" i="6"/>
  <c r="AG261" i="6"/>
  <c r="AG262" i="6"/>
  <c r="AG263" i="6"/>
  <c r="AG264" i="6"/>
  <c r="AG265" i="6"/>
  <c r="AG266" i="6"/>
  <c r="AG267" i="6"/>
  <c r="AG268" i="6"/>
  <c r="AG269" i="6"/>
  <c r="AG270" i="6"/>
  <c r="AG271" i="6"/>
  <c r="AG272" i="6"/>
  <c r="AG273" i="6"/>
  <c r="AG274" i="6"/>
  <c r="AG275" i="6"/>
  <c r="AG276" i="6"/>
  <c r="AG277" i="6"/>
  <c r="AG278" i="6"/>
  <c r="AG279" i="6"/>
  <c r="AG280" i="6"/>
  <c r="AG281" i="6"/>
  <c r="AG282" i="6"/>
  <c r="AG283" i="6"/>
  <c r="AG284" i="6"/>
  <c r="AG285" i="6"/>
  <c r="AG286" i="6"/>
  <c r="AG287" i="6"/>
  <c r="AG288" i="6"/>
  <c r="AG289" i="6"/>
  <c r="AG290" i="6"/>
  <c r="AG291" i="6"/>
  <c r="AG292" i="6"/>
  <c r="AG293" i="6"/>
  <c r="AG294" i="6"/>
  <c r="AG295" i="6"/>
  <c r="AG296" i="6"/>
  <c r="AG297" i="6"/>
  <c r="AG298" i="6"/>
  <c r="AG299" i="6"/>
  <c r="AG300" i="6"/>
  <c r="AG301" i="6"/>
  <c r="AG302" i="6"/>
  <c r="AG303" i="6"/>
  <c r="AG304" i="6"/>
  <c r="AG305" i="6"/>
  <c r="AG306" i="6"/>
  <c r="AG307" i="6"/>
  <c r="AG308" i="6"/>
  <c r="AG309" i="6"/>
  <c r="AG310" i="6"/>
  <c r="AG311" i="6"/>
  <c r="AG312" i="6"/>
  <c r="AG313" i="6"/>
  <c r="AG314" i="6"/>
  <c r="AG315" i="6"/>
  <c r="AG316" i="6"/>
  <c r="AG317" i="6"/>
  <c r="AG318" i="6"/>
  <c r="AG319" i="6"/>
  <c r="AG320" i="6"/>
  <c r="AG321" i="6"/>
  <c r="AG322" i="6"/>
  <c r="AG323" i="6"/>
  <c r="AG324" i="6"/>
  <c r="AG325" i="6"/>
  <c r="AG326" i="6"/>
  <c r="AG327" i="6"/>
  <c r="AG328" i="6"/>
  <c r="AG329" i="6"/>
  <c r="AG330" i="6"/>
  <c r="AG331" i="6"/>
  <c r="AG332" i="6"/>
  <c r="AG333" i="6"/>
  <c r="AG334" i="6"/>
  <c r="AG335" i="6"/>
  <c r="AG336" i="6"/>
  <c r="AG337" i="6"/>
  <c r="AG338" i="6"/>
  <c r="AG339" i="6"/>
  <c r="AG340" i="6"/>
  <c r="AG341" i="6"/>
  <c r="AG342" i="6"/>
  <c r="AG343" i="6"/>
  <c r="AG344" i="6"/>
  <c r="AG345" i="6"/>
  <c r="AG346" i="6"/>
  <c r="AG347" i="6"/>
  <c r="AG348" i="6"/>
  <c r="AG349" i="6"/>
  <c r="AG350" i="6"/>
  <c r="AG351" i="6"/>
  <c r="AG352" i="6"/>
  <c r="AG353" i="6"/>
  <c r="AG354" i="6"/>
  <c r="AG355" i="6"/>
  <c r="AG356" i="6"/>
  <c r="AG357" i="6"/>
  <c r="AG358" i="6"/>
  <c r="AG359" i="6"/>
  <c r="AG360" i="6"/>
  <c r="AG361" i="6"/>
  <c r="AG362" i="6"/>
  <c r="AG363" i="6"/>
  <c r="AG364" i="6"/>
  <c r="AG365" i="6"/>
  <c r="AG366" i="6"/>
  <c r="AG367" i="6"/>
  <c r="AG368" i="6"/>
  <c r="AG369" i="6"/>
  <c r="AG370" i="6"/>
  <c r="AG371" i="6"/>
  <c r="AG372" i="6"/>
  <c r="AG373" i="6"/>
  <c r="AG374" i="6"/>
  <c r="AG375" i="6"/>
  <c r="AG376" i="6"/>
  <c r="AG377" i="6"/>
  <c r="AG378" i="6"/>
  <c r="AG379" i="6"/>
  <c r="AG380" i="6"/>
  <c r="AG381" i="6"/>
  <c r="AG382" i="6"/>
  <c r="AG383" i="6"/>
  <c r="AG384" i="6"/>
  <c r="AG385" i="6"/>
  <c r="AG386" i="6"/>
  <c r="AG387" i="6"/>
  <c r="AG388" i="6"/>
  <c r="AG389" i="6"/>
  <c r="AG390" i="6"/>
  <c r="AG391" i="6"/>
  <c r="AG392" i="6"/>
  <c r="AG393" i="6"/>
  <c r="AG394" i="6"/>
  <c r="AG395" i="6"/>
  <c r="AG396" i="6"/>
  <c r="AG397" i="6"/>
  <c r="AG398" i="6"/>
  <c r="AG399" i="6"/>
  <c r="AG400" i="6"/>
  <c r="AG401" i="6"/>
  <c r="AG402" i="6"/>
  <c r="AG403" i="6"/>
  <c r="AG404" i="6"/>
  <c r="AG405" i="6"/>
  <c r="AG406" i="6"/>
  <c r="AG407" i="6"/>
  <c r="AG408" i="6"/>
  <c r="AG409" i="6"/>
  <c r="AG410" i="6"/>
  <c r="AG411" i="6"/>
  <c r="AG412" i="6"/>
  <c r="AG413" i="6"/>
  <c r="AG414" i="6"/>
  <c r="AG415" i="6"/>
  <c r="AG416" i="6"/>
  <c r="AG417" i="6"/>
  <c r="AG418" i="6"/>
  <c r="AG419" i="6"/>
  <c r="AG420" i="6"/>
  <c r="AG421" i="6"/>
  <c r="AG422" i="6"/>
  <c r="AG423" i="6"/>
  <c r="AG424" i="6"/>
  <c r="AG425" i="6"/>
  <c r="AG426" i="6"/>
  <c r="AG427" i="6"/>
  <c r="AG428" i="6"/>
  <c r="AG429" i="6"/>
  <c r="AG430" i="6"/>
  <c r="AG431" i="6"/>
  <c r="AG432" i="6"/>
  <c r="AG433" i="6"/>
  <c r="AG434" i="6"/>
  <c r="AG435" i="6"/>
  <c r="AG436" i="6"/>
  <c r="AG437" i="6"/>
  <c r="AG438" i="6"/>
  <c r="AG439" i="6"/>
  <c r="AG440" i="6"/>
  <c r="AG441" i="6"/>
  <c r="AG442" i="6"/>
  <c r="AG443" i="6"/>
  <c r="AG444" i="6"/>
  <c r="AG445" i="6"/>
  <c r="AG446" i="6"/>
  <c r="AG447" i="6"/>
  <c r="AG448" i="6"/>
  <c r="AG449" i="6"/>
  <c r="AG450" i="6"/>
  <c r="AG451" i="6"/>
  <c r="AG452" i="6"/>
  <c r="AG453" i="6"/>
  <c r="AG454" i="6"/>
  <c r="AG455" i="6"/>
  <c r="AG456" i="6"/>
  <c r="AG457" i="6"/>
  <c r="AG458" i="6"/>
  <c r="AG459" i="6"/>
  <c r="AG460" i="6"/>
  <c r="AG461" i="6"/>
  <c r="AG462" i="6"/>
  <c r="AG463" i="6"/>
  <c r="AG464" i="6"/>
  <c r="AG465" i="6"/>
  <c r="AG466" i="6"/>
  <c r="AG467" i="6"/>
  <c r="AG468" i="6"/>
  <c r="AG469" i="6"/>
  <c r="AG470" i="6"/>
  <c r="AG471" i="6"/>
  <c r="AG472" i="6"/>
  <c r="AG473" i="6"/>
  <c r="AG474" i="6"/>
  <c r="AG475" i="6"/>
  <c r="AG476" i="6"/>
  <c r="AG477" i="6"/>
  <c r="AG478" i="6"/>
  <c r="AG479" i="6"/>
  <c r="AG480" i="6"/>
  <c r="AG481" i="6"/>
  <c r="AG482" i="6"/>
  <c r="AG483" i="6"/>
  <c r="AG484" i="6"/>
  <c r="AG485" i="6"/>
  <c r="AG486" i="6"/>
  <c r="AG487" i="6"/>
  <c r="AG488" i="6"/>
  <c r="AG489" i="6"/>
  <c r="AG490" i="6"/>
  <c r="AG491" i="6"/>
  <c r="AG492" i="6"/>
  <c r="AG493" i="6"/>
  <c r="AG494" i="6"/>
  <c r="AG495" i="6"/>
  <c r="AG496" i="6"/>
  <c r="AG497" i="6"/>
  <c r="AG498" i="6"/>
  <c r="AG499" i="6"/>
  <c r="AG500" i="6"/>
  <c r="AG501" i="6"/>
  <c r="AG502" i="6"/>
  <c r="AG503" i="6"/>
  <c r="AG504" i="6"/>
  <c r="AG505" i="6"/>
  <c r="AG506" i="6"/>
  <c r="AG507" i="6"/>
  <c r="AG508" i="6"/>
  <c r="AG509" i="6"/>
  <c r="AG510" i="6"/>
  <c r="AG511" i="6"/>
  <c r="AG512" i="6"/>
  <c r="AG513" i="6"/>
  <c r="AG514" i="6"/>
  <c r="AG515" i="6"/>
  <c r="AG516" i="6"/>
  <c r="AG517" i="6"/>
  <c r="AG518" i="6"/>
  <c r="AG519" i="6"/>
  <c r="AG520" i="6"/>
  <c r="AG521" i="6"/>
  <c r="AG522" i="6"/>
  <c r="AG523" i="6"/>
  <c r="AG524" i="6"/>
  <c r="AG525" i="6"/>
  <c r="AG526" i="6"/>
  <c r="AG527" i="6"/>
  <c r="AG528" i="6"/>
  <c r="AG529" i="6"/>
  <c r="AG530" i="6"/>
  <c r="AG531" i="6"/>
  <c r="AG532" i="6"/>
  <c r="AG533" i="6"/>
  <c r="AG534" i="6"/>
  <c r="AG535" i="6"/>
  <c r="AG536" i="6"/>
  <c r="AG537" i="6"/>
  <c r="AG538" i="6"/>
  <c r="AG539" i="6"/>
  <c r="AG540" i="6"/>
  <c r="AG541" i="6"/>
  <c r="AG542" i="6"/>
  <c r="AG543" i="6"/>
  <c r="AG544" i="6"/>
  <c r="AG545" i="6"/>
  <c r="AG546" i="6"/>
  <c r="AG547" i="6"/>
  <c r="AG548" i="6"/>
  <c r="AG549" i="6"/>
  <c r="AG550" i="6"/>
  <c r="AG551" i="6"/>
  <c r="AG552" i="6"/>
  <c r="AG553" i="6"/>
  <c r="AG554" i="6"/>
  <c r="AG555" i="6"/>
  <c r="AG556" i="6"/>
  <c r="AG557" i="6"/>
  <c r="AG558" i="6"/>
  <c r="AG559" i="6"/>
  <c r="AG560" i="6"/>
  <c r="AG561" i="6"/>
  <c r="AG562" i="6"/>
  <c r="AG563" i="6"/>
  <c r="AG564" i="6"/>
  <c r="AG565" i="6"/>
  <c r="AG566" i="6"/>
  <c r="AG567" i="6"/>
  <c r="AG568" i="6"/>
  <c r="AG569" i="6"/>
  <c r="AG570" i="6"/>
  <c r="AG571" i="6"/>
  <c r="AG572" i="6"/>
  <c r="AG573" i="6"/>
  <c r="AG574" i="6"/>
  <c r="AG575" i="6"/>
  <c r="AG576" i="6"/>
  <c r="AG577" i="6"/>
  <c r="AG578" i="6"/>
  <c r="AG579" i="6"/>
  <c r="AG580" i="6"/>
  <c r="AG581" i="6"/>
  <c r="AG582" i="6"/>
  <c r="AG583" i="6"/>
  <c r="AG584" i="6"/>
  <c r="AG585" i="6"/>
  <c r="AG586" i="6"/>
  <c r="AG587" i="6"/>
  <c r="AG588" i="6"/>
  <c r="AG589" i="6"/>
  <c r="AG590" i="6"/>
  <c r="AG591" i="6"/>
  <c r="AG592" i="6"/>
  <c r="AG593" i="6"/>
  <c r="AG594" i="6"/>
  <c r="AG595" i="6"/>
  <c r="AG596" i="6"/>
  <c r="AG597" i="6"/>
  <c r="AG598" i="6"/>
  <c r="AG599" i="6"/>
  <c r="AG600" i="6"/>
  <c r="AG601" i="6"/>
  <c r="AG602" i="6"/>
  <c r="AG603" i="6"/>
  <c r="AG604" i="6"/>
  <c r="AG605" i="6"/>
  <c r="AG606" i="6"/>
  <c r="AG607" i="6"/>
  <c r="AG608" i="6"/>
  <c r="AG609" i="6"/>
  <c r="AG610" i="6"/>
  <c r="AG611" i="6"/>
  <c r="AG612" i="6"/>
  <c r="AG613" i="6"/>
  <c r="AG614" i="6"/>
  <c r="AG615" i="6"/>
  <c r="AG616" i="6"/>
  <c r="AG617" i="6"/>
  <c r="AG618" i="6"/>
  <c r="AG619" i="6"/>
  <c r="AG620" i="6"/>
  <c r="AG621" i="6"/>
  <c r="AG622" i="6"/>
  <c r="AG623" i="6"/>
  <c r="AG624" i="6"/>
  <c r="AG625" i="6"/>
  <c r="AG626" i="6"/>
  <c r="AG627" i="6"/>
  <c r="AG628" i="6"/>
  <c r="AG629" i="6"/>
  <c r="AG630" i="6"/>
  <c r="AG631" i="6"/>
  <c r="AG632" i="6"/>
  <c r="AG633" i="6"/>
  <c r="AG634" i="6"/>
  <c r="AG635" i="6"/>
  <c r="AG636" i="6"/>
  <c r="AG637" i="6"/>
  <c r="AG638" i="6"/>
  <c r="AG639" i="6"/>
  <c r="AG640" i="6"/>
  <c r="AG641" i="6"/>
  <c r="AG642" i="6"/>
  <c r="AG643" i="6"/>
  <c r="AG644" i="6"/>
  <c r="AG645" i="6"/>
  <c r="AG646" i="6"/>
  <c r="AG647" i="6"/>
  <c r="AG648" i="6"/>
  <c r="AG649" i="6"/>
  <c r="AG650" i="6"/>
  <c r="AG651" i="6"/>
  <c r="AG652" i="6"/>
  <c r="AG653" i="6"/>
  <c r="AG654" i="6"/>
  <c r="AG655" i="6"/>
  <c r="AG656" i="6"/>
  <c r="AG657" i="6"/>
  <c r="AG658" i="6"/>
  <c r="AG659" i="6"/>
  <c r="AG660" i="6"/>
  <c r="AG661" i="6"/>
  <c r="AG662" i="6"/>
  <c r="AG663" i="6"/>
  <c r="AG664" i="6"/>
  <c r="AG665" i="6"/>
  <c r="AG666" i="6"/>
  <c r="AG667" i="6"/>
  <c r="AG668" i="6"/>
  <c r="AG669" i="6"/>
  <c r="AG670" i="6"/>
  <c r="AG671" i="6"/>
  <c r="AG672" i="6"/>
  <c r="AG673" i="6"/>
  <c r="AG674" i="6"/>
  <c r="AG675" i="6"/>
  <c r="AG676" i="6"/>
  <c r="AG677" i="6"/>
  <c r="AG678" i="6"/>
  <c r="AG679" i="6"/>
  <c r="AG680" i="6"/>
  <c r="AG681" i="6"/>
  <c r="AG682" i="6"/>
  <c r="AG683" i="6"/>
  <c r="AG684" i="6"/>
  <c r="AG685" i="6"/>
  <c r="AG686" i="6"/>
  <c r="AG687" i="6"/>
  <c r="AG688" i="6"/>
  <c r="AG689" i="6"/>
  <c r="AG690" i="6"/>
  <c r="AG691" i="6"/>
  <c r="AG692" i="6"/>
  <c r="AG693" i="6"/>
  <c r="AG694" i="6"/>
  <c r="AG695" i="6"/>
  <c r="AG696" i="6"/>
  <c r="AG697" i="6"/>
  <c r="AG698" i="6"/>
  <c r="AG699" i="6"/>
  <c r="AG700" i="6"/>
  <c r="AG701" i="6"/>
  <c r="AG702" i="6"/>
  <c r="AG703" i="6"/>
  <c r="AG704" i="6"/>
  <c r="AG705" i="6"/>
  <c r="AG706" i="6"/>
  <c r="AG707" i="6"/>
  <c r="AG708" i="6"/>
  <c r="AG709" i="6"/>
  <c r="AG710" i="6"/>
  <c r="AG711" i="6"/>
  <c r="AG712" i="6"/>
  <c r="AG713" i="6"/>
  <c r="AG714" i="6"/>
  <c r="AG715" i="6"/>
  <c r="AG716" i="6"/>
  <c r="AG717" i="6"/>
  <c r="AG718" i="6"/>
  <c r="AG719" i="6"/>
  <c r="AG720" i="6"/>
  <c r="AG721" i="6"/>
  <c r="AG722" i="6"/>
  <c r="AG723" i="6"/>
  <c r="AG724" i="6"/>
  <c r="AG725" i="6"/>
  <c r="AG726" i="6"/>
  <c r="AG727" i="6"/>
  <c r="AG728" i="6"/>
  <c r="AG729" i="6"/>
  <c r="AG730" i="6"/>
  <c r="AG731" i="6"/>
  <c r="AG732" i="6"/>
  <c r="AG733" i="6"/>
  <c r="AG734" i="6"/>
  <c r="AG735" i="6"/>
  <c r="AG736" i="6"/>
  <c r="AG737" i="6"/>
  <c r="AG738" i="6"/>
  <c r="AG739" i="6"/>
  <c r="AG740" i="6"/>
  <c r="AG741" i="6"/>
  <c r="AG742" i="6"/>
  <c r="AG743" i="6"/>
  <c r="AG744" i="6"/>
  <c r="AG745" i="6"/>
  <c r="AG746" i="6"/>
  <c r="AG747" i="6"/>
  <c r="AG748" i="6"/>
  <c r="AG749" i="6"/>
  <c r="AG750" i="6"/>
  <c r="AG751" i="6"/>
  <c r="AG752" i="6"/>
  <c r="AG753" i="6"/>
  <c r="AG754" i="6"/>
  <c r="AG755" i="6"/>
  <c r="AG756" i="6"/>
  <c r="AG757" i="6"/>
  <c r="AG758" i="6"/>
  <c r="AG759" i="6"/>
  <c r="AG760" i="6"/>
  <c r="AG761" i="6"/>
  <c r="AG762" i="6"/>
  <c r="AG763" i="6"/>
  <c r="AG764" i="6"/>
  <c r="AG765" i="6"/>
  <c r="AG766" i="6"/>
  <c r="AG767" i="6"/>
  <c r="AG768" i="6"/>
  <c r="AG769" i="6"/>
  <c r="AG770" i="6"/>
  <c r="AG771" i="6"/>
  <c r="AG772" i="6"/>
  <c r="AG773" i="6"/>
  <c r="AG774" i="6"/>
  <c r="AG775" i="6"/>
  <c r="AG776" i="6"/>
  <c r="AG777" i="6"/>
  <c r="AG778" i="6"/>
  <c r="AG779" i="6"/>
  <c r="AG780" i="6"/>
  <c r="AG781" i="6"/>
  <c r="AG782" i="6"/>
  <c r="AG783" i="6"/>
  <c r="AG784" i="6"/>
  <c r="AG785" i="6"/>
  <c r="AG786" i="6"/>
  <c r="AG787" i="6"/>
  <c r="AG788" i="6"/>
  <c r="AG789" i="6"/>
  <c r="AG790" i="6"/>
  <c r="AG791" i="6"/>
  <c r="AG792" i="6"/>
  <c r="AG793" i="6"/>
  <c r="AG794" i="6"/>
  <c r="AG795" i="6"/>
  <c r="AG796" i="6"/>
  <c r="AG797" i="6"/>
  <c r="AG798" i="6"/>
  <c r="AG799" i="6"/>
  <c r="AG800" i="6"/>
  <c r="AG801" i="6"/>
  <c r="AG802" i="6"/>
  <c r="AG803" i="6"/>
  <c r="AG804" i="6"/>
  <c r="AG805" i="6"/>
  <c r="AG806" i="6"/>
  <c r="AG807" i="6"/>
  <c r="AG808" i="6"/>
  <c r="AG809" i="6"/>
  <c r="AG810" i="6"/>
  <c r="AG811" i="6"/>
  <c r="AG812" i="6"/>
  <c r="AG813" i="6"/>
  <c r="AG814" i="6"/>
  <c r="AG815" i="6"/>
  <c r="AG816" i="6"/>
  <c r="AG817" i="6"/>
  <c r="AG818" i="6"/>
  <c r="AG819" i="6"/>
  <c r="AG820" i="6"/>
  <c r="AG821" i="6"/>
  <c r="AG822" i="6"/>
  <c r="AG823" i="6"/>
  <c r="AG824" i="6"/>
  <c r="AG825" i="6"/>
  <c r="AG826" i="6"/>
  <c r="AG827" i="6"/>
  <c r="AG828" i="6"/>
  <c r="AG829" i="6"/>
  <c r="AG830" i="6"/>
  <c r="AG831" i="6"/>
  <c r="AG832" i="6"/>
  <c r="AG833" i="6"/>
  <c r="AG834" i="6"/>
  <c r="AG835" i="6"/>
  <c r="AG836" i="6"/>
  <c r="AG837" i="6"/>
  <c r="AG838" i="6"/>
  <c r="AG839" i="6"/>
  <c r="AG840" i="6"/>
  <c r="AG841" i="6"/>
  <c r="AG842" i="6"/>
  <c r="AG843" i="6"/>
  <c r="AG844" i="6"/>
  <c r="AG845" i="6"/>
  <c r="AG846" i="6"/>
  <c r="AG847" i="6"/>
  <c r="AG848" i="6"/>
  <c r="AG849" i="6"/>
  <c r="AG850" i="6"/>
  <c r="AG851" i="6"/>
  <c r="AG852" i="6"/>
  <c r="AG853" i="6"/>
  <c r="AG854" i="6"/>
  <c r="AG855" i="6"/>
  <c r="AG856" i="6"/>
  <c r="AG857" i="6"/>
  <c r="AG858" i="6"/>
  <c r="AG859" i="6"/>
  <c r="AG860" i="6"/>
  <c r="AG861" i="6"/>
  <c r="AG862" i="6"/>
  <c r="AG863" i="6"/>
  <c r="AG864" i="6"/>
  <c r="AG865" i="6"/>
  <c r="AG866" i="6"/>
  <c r="AG867" i="6"/>
  <c r="AG868" i="6"/>
  <c r="AG869" i="6"/>
  <c r="AG870" i="6"/>
  <c r="AG871" i="6"/>
  <c r="AG872" i="6"/>
  <c r="AG873" i="6"/>
  <c r="AG874" i="6"/>
  <c r="AG875" i="6"/>
  <c r="AG876" i="6"/>
  <c r="AG877" i="6"/>
  <c r="AG878" i="6"/>
  <c r="AG879" i="6"/>
  <c r="AG880" i="6"/>
  <c r="AG881" i="6"/>
  <c r="AG882" i="6"/>
  <c r="AG883" i="6"/>
  <c r="AG884" i="6"/>
  <c r="AG885" i="6"/>
  <c r="AG886" i="6"/>
  <c r="AG887" i="6"/>
  <c r="AG888" i="6"/>
  <c r="AG889" i="6"/>
  <c r="AG890" i="6"/>
  <c r="AG891" i="6"/>
  <c r="AG892" i="6"/>
  <c r="AG893" i="6"/>
  <c r="AG894" i="6"/>
  <c r="AG895" i="6"/>
  <c r="AG896" i="6"/>
  <c r="AG897" i="6"/>
  <c r="AG898" i="6"/>
  <c r="AG899" i="6"/>
  <c r="AG900" i="6"/>
  <c r="AG901" i="6"/>
  <c r="AG902" i="6"/>
  <c r="AG903" i="6"/>
  <c r="AG904" i="6"/>
  <c r="AG905" i="6"/>
  <c r="AG906" i="6"/>
  <c r="AG907" i="6"/>
  <c r="AG908" i="6"/>
  <c r="AG909" i="6"/>
  <c r="AG910" i="6"/>
  <c r="AG911" i="6"/>
  <c r="AG912" i="6"/>
  <c r="AG913" i="6"/>
  <c r="AG914" i="6"/>
  <c r="AG915" i="6"/>
  <c r="AG916" i="6"/>
  <c r="AG917" i="6"/>
  <c r="AG918" i="6"/>
  <c r="AG919" i="6"/>
  <c r="AG920" i="6"/>
  <c r="AG921" i="6"/>
  <c r="AG922" i="6"/>
  <c r="AG923" i="6"/>
  <c r="AG924" i="6"/>
  <c r="AG925" i="6"/>
  <c r="AG926" i="6"/>
  <c r="AG927" i="6"/>
  <c r="AG928" i="6"/>
  <c r="AG929" i="6"/>
  <c r="AG930" i="6"/>
  <c r="AG931" i="6"/>
  <c r="AG932" i="6"/>
  <c r="AG933" i="6"/>
  <c r="AG934" i="6"/>
  <c r="AG935" i="6"/>
  <c r="AG936" i="6"/>
  <c r="AG937" i="6"/>
  <c r="AG938" i="6"/>
  <c r="AG939" i="6"/>
  <c r="AG940" i="6"/>
  <c r="AG941" i="6"/>
  <c r="AG942" i="6"/>
  <c r="AG943" i="6"/>
  <c r="AG944" i="6"/>
  <c r="AG945" i="6"/>
  <c r="AG946" i="6"/>
  <c r="AG947" i="6"/>
  <c r="AG948" i="6"/>
  <c r="AG949" i="6"/>
  <c r="AG950" i="6"/>
  <c r="AG951" i="6"/>
  <c r="AG952" i="6"/>
  <c r="AG953" i="6"/>
  <c r="AG954" i="6"/>
  <c r="AG955" i="6"/>
  <c r="AG956" i="6"/>
  <c r="AG957" i="6"/>
  <c r="AG958" i="6"/>
  <c r="AG959" i="6"/>
  <c r="AG960" i="6"/>
  <c r="AG961" i="6"/>
  <c r="AG962" i="6"/>
  <c r="AG963" i="6"/>
  <c r="AG964" i="6"/>
  <c r="AG965" i="6"/>
  <c r="AG966" i="6"/>
  <c r="AG967" i="6"/>
  <c r="AG968" i="6"/>
  <c r="AG969" i="6"/>
  <c r="AG970" i="6"/>
  <c r="AG971" i="6"/>
  <c r="AG972" i="6"/>
  <c r="AG973" i="6"/>
  <c r="AG974" i="6"/>
  <c r="AG975" i="6"/>
  <c r="AG976" i="6"/>
  <c r="AG977" i="6"/>
  <c r="AG978" i="6"/>
  <c r="AG979" i="6"/>
  <c r="AG980" i="6"/>
  <c r="AG981" i="6"/>
  <c r="AG982" i="6"/>
  <c r="AG983" i="6"/>
  <c r="AG984" i="6"/>
  <c r="AG985" i="6"/>
  <c r="AG986" i="6"/>
  <c r="AG987" i="6"/>
  <c r="AG988" i="6"/>
  <c r="AG989" i="6"/>
  <c r="AG990" i="6"/>
  <c r="AG991" i="6"/>
  <c r="AG992" i="6"/>
  <c r="AG993" i="6"/>
  <c r="AG994" i="6"/>
  <c r="AG995" i="6"/>
  <c r="AG996" i="6"/>
  <c r="AG997" i="6"/>
  <c r="AG998" i="6"/>
  <c r="AG999" i="6"/>
  <c r="AG1000" i="6"/>
  <c r="AG1001" i="6"/>
  <c r="D197" i="4"/>
  <c r="S3" i="6"/>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2" i="6"/>
  <c r="K3" i="15"/>
  <c r="K4" i="15"/>
  <c r="K5" i="15"/>
  <c r="K6" i="15"/>
  <c r="K7" i="15"/>
  <c r="K8" i="15"/>
  <c r="K2" i="15"/>
  <c r="AA4" i="6"/>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77" i="6"/>
  <c r="AA278" i="6"/>
  <c r="AA279" i="6"/>
  <c r="AA280" i="6"/>
  <c r="AA281" i="6"/>
  <c r="AA282" i="6"/>
  <c r="AA283" i="6"/>
  <c r="AA284" i="6"/>
  <c r="AA285" i="6"/>
  <c r="AA286" i="6"/>
  <c r="AA287" i="6"/>
  <c r="AA288" i="6"/>
  <c r="AA289" i="6"/>
  <c r="AA290" i="6"/>
  <c r="AA291" i="6"/>
  <c r="AA292" i="6"/>
  <c r="AA293" i="6"/>
  <c r="AA294" i="6"/>
  <c r="AA295" i="6"/>
  <c r="AA296" i="6"/>
  <c r="AA297" i="6"/>
  <c r="AA298" i="6"/>
  <c r="AA299" i="6"/>
  <c r="AA300" i="6"/>
  <c r="AA301" i="6"/>
  <c r="AA302" i="6"/>
  <c r="AA303" i="6"/>
  <c r="AA304" i="6"/>
  <c r="AA305" i="6"/>
  <c r="AA306" i="6"/>
  <c r="AA307" i="6"/>
  <c r="AA308" i="6"/>
  <c r="AA309" i="6"/>
  <c r="AA310" i="6"/>
  <c r="AA311" i="6"/>
  <c r="AA312" i="6"/>
  <c r="AA313" i="6"/>
  <c r="AA314" i="6"/>
  <c r="AA315" i="6"/>
  <c r="AA316" i="6"/>
  <c r="AA317" i="6"/>
  <c r="AA318" i="6"/>
  <c r="AA319" i="6"/>
  <c r="AA320" i="6"/>
  <c r="AA321" i="6"/>
  <c r="AA322" i="6"/>
  <c r="AA323" i="6"/>
  <c r="AA324" i="6"/>
  <c r="AA325" i="6"/>
  <c r="AA326" i="6"/>
  <c r="AA327" i="6"/>
  <c r="AA328" i="6"/>
  <c r="AA329" i="6"/>
  <c r="AA330" i="6"/>
  <c r="AA331" i="6"/>
  <c r="AA332" i="6"/>
  <c r="AA333" i="6"/>
  <c r="AA334" i="6"/>
  <c r="AA335" i="6"/>
  <c r="AA336" i="6"/>
  <c r="AA337" i="6"/>
  <c r="AA338" i="6"/>
  <c r="AA339" i="6"/>
  <c r="AA340" i="6"/>
  <c r="AA341" i="6"/>
  <c r="AA342" i="6"/>
  <c r="AA343" i="6"/>
  <c r="AA344" i="6"/>
  <c r="AA345" i="6"/>
  <c r="AA346" i="6"/>
  <c r="AA347" i="6"/>
  <c r="AA348" i="6"/>
  <c r="AA349" i="6"/>
  <c r="AA350" i="6"/>
  <c r="AA351" i="6"/>
  <c r="AA352" i="6"/>
  <c r="AA353" i="6"/>
  <c r="AA354" i="6"/>
  <c r="AA355"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AA403" i="6"/>
  <c r="AA404" i="6"/>
  <c r="AA405" i="6"/>
  <c r="AA406" i="6"/>
  <c r="AA407" i="6"/>
  <c r="AA408" i="6"/>
  <c r="AA409" i="6"/>
  <c r="AA410" i="6"/>
  <c r="AA411" i="6"/>
  <c r="AA412" i="6"/>
  <c r="AA413" i="6"/>
  <c r="AA414" i="6"/>
  <c r="AA415" i="6"/>
  <c r="AA416" i="6"/>
  <c r="AA417" i="6"/>
  <c r="AA418" i="6"/>
  <c r="AA419" i="6"/>
  <c r="AA420" i="6"/>
  <c r="AA421" i="6"/>
  <c r="AA422" i="6"/>
  <c r="AA423" i="6"/>
  <c r="AA424" i="6"/>
  <c r="AA425" i="6"/>
  <c r="AA426" i="6"/>
  <c r="AA427" i="6"/>
  <c r="AA428" i="6"/>
  <c r="AA429" i="6"/>
  <c r="AA430" i="6"/>
  <c r="AA431" i="6"/>
  <c r="AA432" i="6"/>
  <c r="AA433" i="6"/>
  <c r="AA434" i="6"/>
  <c r="AA435" i="6"/>
  <c r="AA436" i="6"/>
  <c r="AA437" i="6"/>
  <c r="AA438" i="6"/>
  <c r="AA439" i="6"/>
  <c r="AA440" i="6"/>
  <c r="AA441" i="6"/>
  <c r="AA442" i="6"/>
  <c r="AA443" i="6"/>
  <c r="AA444" i="6"/>
  <c r="AA445" i="6"/>
  <c r="AA446" i="6"/>
  <c r="AA447" i="6"/>
  <c r="AA448" i="6"/>
  <c r="AA449" i="6"/>
  <c r="AA450" i="6"/>
  <c r="AA451" i="6"/>
  <c r="AA452" i="6"/>
  <c r="AA453" i="6"/>
  <c r="AA454" i="6"/>
  <c r="AA455" i="6"/>
  <c r="AA456" i="6"/>
  <c r="AA457" i="6"/>
  <c r="AA458" i="6"/>
  <c r="AA459" i="6"/>
  <c r="AA460" i="6"/>
  <c r="AA461" i="6"/>
  <c r="AA462" i="6"/>
  <c r="AA463" i="6"/>
  <c r="AA464" i="6"/>
  <c r="AA465" i="6"/>
  <c r="AA466" i="6"/>
  <c r="AA467" i="6"/>
  <c r="AA468" i="6"/>
  <c r="AA469" i="6"/>
  <c r="AA470" i="6"/>
  <c r="AA471" i="6"/>
  <c r="AA472" i="6"/>
  <c r="AA473" i="6"/>
  <c r="AA474" i="6"/>
  <c r="AA475" i="6"/>
  <c r="AA476" i="6"/>
  <c r="AA477" i="6"/>
  <c r="AA478" i="6"/>
  <c r="AA479" i="6"/>
  <c r="AA480" i="6"/>
  <c r="AA481" i="6"/>
  <c r="AA482" i="6"/>
  <c r="AA483" i="6"/>
  <c r="AA484" i="6"/>
  <c r="AA485" i="6"/>
  <c r="AA486" i="6"/>
  <c r="AA487" i="6"/>
  <c r="AA488" i="6"/>
  <c r="AA489" i="6"/>
  <c r="AA490" i="6"/>
  <c r="AA491" i="6"/>
  <c r="AA492" i="6"/>
  <c r="AA493" i="6"/>
  <c r="AA494" i="6"/>
  <c r="AA495" i="6"/>
  <c r="AA496" i="6"/>
  <c r="AA497" i="6"/>
  <c r="AA498" i="6"/>
  <c r="AA499" i="6"/>
  <c r="AA500" i="6"/>
  <c r="AA501" i="6"/>
  <c r="AA502" i="6"/>
  <c r="AA503" i="6"/>
  <c r="AA504" i="6"/>
  <c r="AA505" i="6"/>
  <c r="AA506" i="6"/>
  <c r="AA507" i="6"/>
  <c r="AA508" i="6"/>
  <c r="AA509" i="6"/>
  <c r="AA510" i="6"/>
  <c r="AA511" i="6"/>
  <c r="AA512" i="6"/>
  <c r="AA513" i="6"/>
  <c r="AA514" i="6"/>
  <c r="AA515" i="6"/>
  <c r="AA516" i="6"/>
  <c r="AA517" i="6"/>
  <c r="AA518" i="6"/>
  <c r="AA519" i="6"/>
  <c r="AA520" i="6"/>
  <c r="AA521" i="6"/>
  <c r="AA522" i="6"/>
  <c r="AA523" i="6"/>
  <c r="AA524" i="6"/>
  <c r="AA525" i="6"/>
  <c r="AA526" i="6"/>
  <c r="AA527" i="6"/>
  <c r="AA528" i="6"/>
  <c r="AA529" i="6"/>
  <c r="AA530" i="6"/>
  <c r="AA531" i="6"/>
  <c r="AA532" i="6"/>
  <c r="AA533" i="6"/>
  <c r="AA534" i="6"/>
  <c r="AA535" i="6"/>
  <c r="AA536" i="6"/>
  <c r="AA537" i="6"/>
  <c r="AA538" i="6"/>
  <c r="AA539" i="6"/>
  <c r="AA540" i="6"/>
  <c r="AA541" i="6"/>
  <c r="AA542" i="6"/>
  <c r="AA543" i="6"/>
  <c r="AA544" i="6"/>
  <c r="AA545" i="6"/>
  <c r="AA546" i="6"/>
  <c r="AA547" i="6"/>
  <c r="AA548" i="6"/>
  <c r="AA549" i="6"/>
  <c r="AA550" i="6"/>
  <c r="AA551" i="6"/>
  <c r="AA552" i="6"/>
  <c r="AA553" i="6"/>
  <c r="AA554" i="6"/>
  <c r="AA555" i="6"/>
  <c r="AA556" i="6"/>
  <c r="AA557" i="6"/>
  <c r="AA558" i="6"/>
  <c r="AA559" i="6"/>
  <c r="AA560" i="6"/>
  <c r="AA561" i="6"/>
  <c r="AA562" i="6"/>
  <c r="AA563" i="6"/>
  <c r="AA564" i="6"/>
  <c r="AA565" i="6"/>
  <c r="AA566" i="6"/>
  <c r="AA567" i="6"/>
  <c r="AA568" i="6"/>
  <c r="AA569" i="6"/>
  <c r="AA570" i="6"/>
  <c r="AA571" i="6"/>
  <c r="AA572" i="6"/>
  <c r="AA573" i="6"/>
  <c r="AA574" i="6"/>
  <c r="AA575" i="6"/>
  <c r="AA576" i="6"/>
  <c r="AA577" i="6"/>
  <c r="AA578" i="6"/>
  <c r="AA579" i="6"/>
  <c r="AA580" i="6"/>
  <c r="AA581" i="6"/>
  <c r="AA582" i="6"/>
  <c r="AA583" i="6"/>
  <c r="AA584" i="6"/>
  <c r="AA585" i="6"/>
  <c r="AA586" i="6"/>
  <c r="AA587" i="6"/>
  <c r="AA588" i="6"/>
  <c r="AA589" i="6"/>
  <c r="AA590" i="6"/>
  <c r="AA591" i="6"/>
  <c r="AA592" i="6"/>
  <c r="AA593" i="6"/>
  <c r="AA594" i="6"/>
  <c r="AA595" i="6"/>
  <c r="AA596" i="6"/>
  <c r="AA597" i="6"/>
  <c r="AA598" i="6"/>
  <c r="AA599" i="6"/>
  <c r="AA600" i="6"/>
  <c r="AA601" i="6"/>
  <c r="AA602" i="6"/>
  <c r="AA603" i="6"/>
  <c r="AA604" i="6"/>
  <c r="AA605" i="6"/>
  <c r="AA606" i="6"/>
  <c r="AA607" i="6"/>
  <c r="AA608" i="6"/>
  <c r="AA609" i="6"/>
  <c r="AA610" i="6"/>
  <c r="AA611" i="6"/>
  <c r="AA612" i="6"/>
  <c r="AA613" i="6"/>
  <c r="AA614" i="6"/>
  <c r="AA615" i="6"/>
  <c r="AA616" i="6"/>
  <c r="AA617" i="6"/>
  <c r="AA618" i="6"/>
  <c r="AA619" i="6"/>
  <c r="AA620" i="6"/>
  <c r="AA621" i="6"/>
  <c r="AA622" i="6"/>
  <c r="AA623" i="6"/>
  <c r="AA624" i="6"/>
  <c r="AA625" i="6"/>
  <c r="AA626" i="6"/>
  <c r="AA627" i="6"/>
  <c r="AA628" i="6"/>
  <c r="AA629" i="6"/>
  <c r="AA630" i="6"/>
  <c r="AA631" i="6"/>
  <c r="AA632" i="6"/>
  <c r="AA633" i="6"/>
  <c r="AA634" i="6"/>
  <c r="AA635" i="6"/>
  <c r="AA636" i="6"/>
  <c r="AA637" i="6"/>
  <c r="AA638" i="6"/>
  <c r="AA639" i="6"/>
  <c r="AA640" i="6"/>
  <c r="AA641" i="6"/>
  <c r="AA642" i="6"/>
  <c r="AA643" i="6"/>
  <c r="AA644" i="6"/>
  <c r="AA645" i="6"/>
  <c r="AA646" i="6"/>
  <c r="AA647" i="6"/>
  <c r="AA648" i="6"/>
  <c r="AA649" i="6"/>
  <c r="AA650" i="6"/>
  <c r="AA651" i="6"/>
  <c r="AA652" i="6"/>
  <c r="AA653" i="6"/>
  <c r="AA654" i="6"/>
  <c r="AA655" i="6"/>
  <c r="AA656" i="6"/>
  <c r="AA657" i="6"/>
  <c r="AA658" i="6"/>
  <c r="AA659" i="6"/>
  <c r="AA660" i="6"/>
  <c r="AA661" i="6"/>
  <c r="AA662" i="6"/>
  <c r="AA663" i="6"/>
  <c r="AA664" i="6"/>
  <c r="AA665" i="6"/>
  <c r="AA666" i="6"/>
  <c r="AA667" i="6"/>
  <c r="AA668" i="6"/>
  <c r="AA669" i="6"/>
  <c r="AA670" i="6"/>
  <c r="AA671" i="6"/>
  <c r="AA672" i="6"/>
  <c r="AA673" i="6"/>
  <c r="AA674" i="6"/>
  <c r="AA675" i="6"/>
  <c r="AA676" i="6"/>
  <c r="AA677" i="6"/>
  <c r="AA678" i="6"/>
  <c r="AA679" i="6"/>
  <c r="AA680" i="6"/>
  <c r="AA681" i="6"/>
  <c r="AA682" i="6"/>
  <c r="AA683" i="6"/>
  <c r="AA684" i="6"/>
  <c r="AA685" i="6"/>
  <c r="AA686" i="6"/>
  <c r="AA687" i="6"/>
  <c r="AA688" i="6"/>
  <c r="AA689" i="6"/>
  <c r="AA690" i="6"/>
  <c r="AA691" i="6"/>
  <c r="AA692" i="6"/>
  <c r="AA693" i="6"/>
  <c r="AA694" i="6"/>
  <c r="AA695" i="6"/>
  <c r="AA696" i="6"/>
  <c r="AA697" i="6"/>
  <c r="AA698" i="6"/>
  <c r="AA699" i="6"/>
  <c r="AA700" i="6"/>
  <c r="AA701" i="6"/>
  <c r="AA702" i="6"/>
  <c r="AA703" i="6"/>
  <c r="AA704" i="6"/>
  <c r="AA705" i="6"/>
  <c r="AA706" i="6"/>
  <c r="AA707" i="6"/>
  <c r="AA708" i="6"/>
  <c r="AA709" i="6"/>
  <c r="AA710" i="6"/>
  <c r="AA711" i="6"/>
  <c r="AA712" i="6"/>
  <c r="AA713" i="6"/>
  <c r="AA714" i="6"/>
  <c r="AA715" i="6"/>
  <c r="AA716" i="6"/>
  <c r="AA717" i="6"/>
  <c r="AA718" i="6"/>
  <c r="AA719" i="6"/>
  <c r="AA720" i="6"/>
  <c r="AA721" i="6"/>
  <c r="AA722" i="6"/>
  <c r="AA723" i="6"/>
  <c r="AA724" i="6"/>
  <c r="AA725" i="6"/>
  <c r="AA726" i="6"/>
  <c r="AA727" i="6"/>
  <c r="AA728" i="6"/>
  <c r="AA729" i="6"/>
  <c r="AA730" i="6"/>
  <c r="AA731" i="6"/>
  <c r="AA732" i="6"/>
  <c r="AA733" i="6"/>
  <c r="AA734" i="6"/>
  <c r="AA735" i="6"/>
  <c r="AA736" i="6"/>
  <c r="AA737" i="6"/>
  <c r="AA738" i="6"/>
  <c r="AA739" i="6"/>
  <c r="AA740" i="6"/>
  <c r="AA741" i="6"/>
  <c r="AA742" i="6"/>
  <c r="AA743" i="6"/>
  <c r="AA744" i="6"/>
  <c r="AA745" i="6"/>
  <c r="AA746" i="6"/>
  <c r="AA747" i="6"/>
  <c r="AA748" i="6"/>
  <c r="AA749" i="6"/>
  <c r="AA750" i="6"/>
  <c r="AA751" i="6"/>
  <c r="AA752" i="6"/>
  <c r="AA753" i="6"/>
  <c r="AA754" i="6"/>
  <c r="AA755" i="6"/>
  <c r="AA756" i="6"/>
  <c r="AA757" i="6"/>
  <c r="AA758" i="6"/>
  <c r="AA759" i="6"/>
  <c r="AA760" i="6"/>
  <c r="AA761" i="6"/>
  <c r="AA762" i="6"/>
  <c r="AA763" i="6"/>
  <c r="AA764" i="6"/>
  <c r="AA765" i="6"/>
  <c r="AA766" i="6"/>
  <c r="AA767" i="6"/>
  <c r="AA768" i="6"/>
  <c r="AA769" i="6"/>
  <c r="AA770" i="6"/>
  <c r="AA771" i="6"/>
  <c r="AA772" i="6"/>
  <c r="AA773" i="6"/>
  <c r="AA774" i="6"/>
  <c r="AA775" i="6"/>
  <c r="AA776" i="6"/>
  <c r="AA777" i="6"/>
  <c r="AA778" i="6"/>
  <c r="AA779" i="6"/>
  <c r="AA780" i="6"/>
  <c r="AA781" i="6"/>
  <c r="AA782" i="6"/>
  <c r="AA783" i="6"/>
  <c r="AA784" i="6"/>
  <c r="AA785" i="6"/>
  <c r="AA786" i="6"/>
  <c r="AA787" i="6"/>
  <c r="AA788" i="6"/>
  <c r="AA789" i="6"/>
  <c r="AA790" i="6"/>
  <c r="AA791" i="6"/>
  <c r="AA792" i="6"/>
  <c r="AA793" i="6"/>
  <c r="AA794" i="6"/>
  <c r="AA795" i="6"/>
  <c r="AA796" i="6"/>
  <c r="AA797" i="6"/>
  <c r="AA798" i="6"/>
  <c r="AA799" i="6"/>
  <c r="AA800" i="6"/>
  <c r="AA801" i="6"/>
  <c r="AA802" i="6"/>
  <c r="AA803" i="6"/>
  <c r="AA804" i="6"/>
  <c r="AA805" i="6"/>
  <c r="AA806" i="6"/>
  <c r="AA807" i="6"/>
  <c r="AA808" i="6"/>
  <c r="AA809" i="6"/>
  <c r="AA810" i="6"/>
  <c r="AA811" i="6"/>
  <c r="AA812" i="6"/>
  <c r="AA813" i="6"/>
  <c r="AA814" i="6"/>
  <c r="AA815" i="6"/>
  <c r="AA816" i="6"/>
  <c r="AA817" i="6"/>
  <c r="AA818" i="6"/>
  <c r="AA819" i="6"/>
  <c r="AA820" i="6"/>
  <c r="AA821" i="6"/>
  <c r="AA822" i="6"/>
  <c r="AA823" i="6"/>
  <c r="AA824" i="6"/>
  <c r="AA825" i="6"/>
  <c r="AA826" i="6"/>
  <c r="AA827" i="6"/>
  <c r="AA828" i="6"/>
  <c r="AA829" i="6"/>
  <c r="AA830" i="6"/>
  <c r="AA831" i="6"/>
  <c r="AA832" i="6"/>
  <c r="AA833" i="6"/>
  <c r="AA834" i="6"/>
  <c r="AA835" i="6"/>
  <c r="AA836" i="6"/>
  <c r="AA837" i="6"/>
  <c r="AA838" i="6"/>
  <c r="AA839" i="6"/>
  <c r="AA840" i="6"/>
  <c r="AA841" i="6"/>
  <c r="AA842" i="6"/>
  <c r="AA843" i="6"/>
  <c r="AA844" i="6"/>
  <c r="AA845" i="6"/>
  <c r="AA846" i="6"/>
  <c r="AA847" i="6"/>
  <c r="AA848" i="6"/>
  <c r="AA849" i="6"/>
  <c r="AA850" i="6"/>
  <c r="AA851" i="6"/>
  <c r="AA852" i="6"/>
  <c r="AA853" i="6"/>
  <c r="AA854" i="6"/>
  <c r="AA855" i="6"/>
  <c r="AA856" i="6"/>
  <c r="AA857" i="6"/>
  <c r="AA858" i="6"/>
  <c r="AA859" i="6"/>
  <c r="AA860" i="6"/>
  <c r="AA861" i="6"/>
  <c r="AA862" i="6"/>
  <c r="AA863" i="6"/>
  <c r="AA864" i="6"/>
  <c r="AA865" i="6"/>
  <c r="AA866" i="6"/>
  <c r="AA867" i="6"/>
  <c r="AA868" i="6"/>
  <c r="AA869" i="6"/>
  <c r="AA870" i="6"/>
  <c r="AA871" i="6"/>
  <c r="AA872" i="6"/>
  <c r="AA873" i="6"/>
  <c r="AA874" i="6"/>
  <c r="AA875" i="6"/>
  <c r="AA876" i="6"/>
  <c r="AA877" i="6"/>
  <c r="AA878" i="6"/>
  <c r="AA879" i="6"/>
  <c r="AA880" i="6"/>
  <c r="AA881" i="6"/>
  <c r="AA882" i="6"/>
  <c r="AA883" i="6"/>
  <c r="AA884" i="6"/>
  <c r="AA885" i="6"/>
  <c r="AA886" i="6"/>
  <c r="AA887" i="6"/>
  <c r="AA888" i="6"/>
  <c r="AA889" i="6"/>
  <c r="AA890" i="6"/>
  <c r="AA891" i="6"/>
  <c r="AA892" i="6"/>
  <c r="AA893" i="6"/>
  <c r="AA894" i="6"/>
  <c r="AA895" i="6"/>
  <c r="AA896" i="6"/>
  <c r="AA897" i="6"/>
  <c r="AA898" i="6"/>
  <c r="AA899" i="6"/>
  <c r="AA900" i="6"/>
  <c r="AA901" i="6"/>
  <c r="AA902" i="6"/>
  <c r="AA903" i="6"/>
  <c r="AA904" i="6"/>
  <c r="AA905" i="6"/>
  <c r="AA906" i="6"/>
  <c r="AA907" i="6"/>
  <c r="AA908" i="6"/>
  <c r="AA909" i="6"/>
  <c r="AA910" i="6"/>
  <c r="AA911" i="6"/>
  <c r="AA912" i="6"/>
  <c r="AA913" i="6"/>
  <c r="AA914" i="6"/>
  <c r="AA915" i="6"/>
  <c r="AA916" i="6"/>
  <c r="AA917" i="6"/>
  <c r="AA918" i="6"/>
  <c r="AA919" i="6"/>
  <c r="AA920" i="6"/>
  <c r="AA921" i="6"/>
  <c r="AA922" i="6"/>
  <c r="AA923" i="6"/>
  <c r="AA924" i="6"/>
  <c r="AA925" i="6"/>
  <c r="AA926" i="6"/>
  <c r="AA927" i="6"/>
  <c r="AA928" i="6"/>
  <c r="AA929" i="6"/>
  <c r="AA930" i="6"/>
  <c r="AA931" i="6"/>
  <c r="AA932" i="6"/>
  <c r="AA933" i="6"/>
  <c r="AA934" i="6"/>
  <c r="AA935" i="6"/>
  <c r="AA936" i="6"/>
  <c r="AA937" i="6"/>
  <c r="AA938" i="6"/>
  <c r="AA939" i="6"/>
  <c r="AA940" i="6"/>
  <c r="AA941" i="6"/>
  <c r="AA942" i="6"/>
  <c r="AA943" i="6"/>
  <c r="AA944" i="6"/>
  <c r="AA945" i="6"/>
  <c r="AA946" i="6"/>
  <c r="AA947" i="6"/>
  <c r="AA948" i="6"/>
  <c r="AA949" i="6"/>
  <c r="AA950" i="6"/>
  <c r="AA951" i="6"/>
  <c r="AA952" i="6"/>
  <c r="AA953" i="6"/>
  <c r="AA954" i="6"/>
  <c r="AA955" i="6"/>
  <c r="AA956" i="6"/>
  <c r="AA957" i="6"/>
  <c r="AA958" i="6"/>
  <c r="AA959" i="6"/>
  <c r="AA960" i="6"/>
  <c r="AA961" i="6"/>
  <c r="AA962" i="6"/>
  <c r="AA963" i="6"/>
  <c r="AA964" i="6"/>
  <c r="AA965" i="6"/>
  <c r="AA966" i="6"/>
  <c r="AA967" i="6"/>
  <c r="AA968" i="6"/>
  <c r="AA969" i="6"/>
  <c r="AA970" i="6"/>
  <c r="AA971" i="6"/>
  <c r="AA972" i="6"/>
  <c r="AA973" i="6"/>
  <c r="AA974" i="6"/>
  <c r="AA975" i="6"/>
  <c r="AA976" i="6"/>
  <c r="AA977" i="6"/>
  <c r="AA978" i="6"/>
  <c r="AA979" i="6"/>
  <c r="AA980" i="6"/>
  <c r="AA981" i="6"/>
  <c r="AA982" i="6"/>
  <c r="AA983" i="6"/>
  <c r="AA984" i="6"/>
  <c r="AA985" i="6"/>
  <c r="AA986" i="6"/>
  <c r="AA987" i="6"/>
  <c r="AA988" i="6"/>
  <c r="AA989" i="6"/>
  <c r="AA990" i="6"/>
  <c r="AA991" i="6"/>
  <c r="AA992" i="6"/>
  <c r="AA993" i="6"/>
  <c r="AA994" i="6"/>
  <c r="AA995" i="6"/>
  <c r="AA996" i="6"/>
  <c r="AA997" i="6"/>
  <c r="AA998" i="6"/>
  <c r="AA999" i="6"/>
  <c r="AA1000" i="6"/>
  <c r="AA1001" i="6"/>
  <c r="AA3" i="6"/>
  <c r="AA2" i="6"/>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2" i="6"/>
  <c r="Q3" i="6"/>
  <c r="R3" i="6"/>
  <c r="Q4" i="6"/>
  <c r="R4" i="6"/>
  <c r="Q5" i="6"/>
  <c r="R5" i="6"/>
  <c r="Q6" i="6"/>
  <c r="R6" i="6"/>
  <c r="Q7" i="6"/>
  <c r="R7" i="6"/>
  <c r="Q8" i="6"/>
  <c r="R8" i="6"/>
  <c r="Q9" i="6"/>
  <c r="R9" i="6"/>
  <c r="Q10" i="6"/>
  <c r="R10" i="6"/>
  <c r="Q11" i="6"/>
  <c r="R11" i="6"/>
  <c r="Q12" i="6"/>
  <c r="R12" i="6"/>
  <c r="Q13" i="6"/>
  <c r="R13" i="6"/>
  <c r="Q14" i="6"/>
  <c r="R14" i="6"/>
  <c r="Q15" i="6"/>
  <c r="R15" i="6"/>
  <c r="Q16" i="6"/>
  <c r="R16" i="6"/>
  <c r="Q17" i="6"/>
  <c r="R17" i="6"/>
  <c r="Q18" i="6"/>
  <c r="R18" i="6"/>
  <c r="Q19" i="6"/>
  <c r="R19" i="6"/>
  <c r="Q20" i="6"/>
  <c r="R20" i="6"/>
  <c r="Q21" i="6"/>
  <c r="R21" i="6"/>
  <c r="Q22" i="6"/>
  <c r="R22" i="6"/>
  <c r="Q23" i="6"/>
  <c r="R23" i="6"/>
  <c r="Q24" i="6"/>
  <c r="R24" i="6"/>
  <c r="Q25" i="6"/>
  <c r="R25" i="6"/>
  <c r="Q26" i="6"/>
  <c r="R26" i="6"/>
  <c r="Q27" i="6"/>
  <c r="R27" i="6"/>
  <c r="Q28" i="6"/>
  <c r="R28" i="6"/>
  <c r="Q29" i="6"/>
  <c r="R29" i="6"/>
  <c r="Q30" i="6"/>
  <c r="R30" i="6"/>
  <c r="Q31" i="6"/>
  <c r="R31" i="6"/>
  <c r="Q32" i="6"/>
  <c r="R32" i="6"/>
  <c r="Q33" i="6"/>
  <c r="R33" i="6"/>
  <c r="Q34" i="6"/>
  <c r="R34" i="6"/>
  <c r="Q35" i="6"/>
  <c r="R35" i="6"/>
  <c r="Q36" i="6"/>
  <c r="R36" i="6"/>
  <c r="Q37" i="6"/>
  <c r="R37" i="6"/>
  <c r="Q38" i="6"/>
  <c r="R38" i="6"/>
  <c r="Q39" i="6"/>
  <c r="R39" i="6"/>
  <c r="Q40" i="6"/>
  <c r="R40" i="6"/>
  <c r="Q41" i="6"/>
  <c r="R41" i="6"/>
  <c r="Q42" i="6"/>
  <c r="R42" i="6"/>
  <c r="Q43" i="6"/>
  <c r="R43" i="6"/>
  <c r="Q44" i="6"/>
  <c r="R44" i="6"/>
  <c r="Q45" i="6"/>
  <c r="R45" i="6"/>
  <c r="Q46" i="6"/>
  <c r="R46" i="6"/>
  <c r="Q47" i="6"/>
  <c r="R47" i="6"/>
  <c r="Q48" i="6"/>
  <c r="R48" i="6"/>
  <c r="Q49" i="6"/>
  <c r="R49" i="6"/>
  <c r="Q50" i="6"/>
  <c r="R50" i="6"/>
  <c r="Q51" i="6"/>
  <c r="R51" i="6"/>
  <c r="Q52" i="6"/>
  <c r="R52" i="6"/>
  <c r="Q53" i="6"/>
  <c r="R53" i="6"/>
  <c r="Q54" i="6"/>
  <c r="R54" i="6"/>
  <c r="Q55" i="6"/>
  <c r="R55" i="6"/>
  <c r="Q56" i="6"/>
  <c r="R56" i="6"/>
  <c r="Q57" i="6"/>
  <c r="R57" i="6"/>
  <c r="Q58" i="6"/>
  <c r="R58" i="6"/>
  <c r="Q59" i="6"/>
  <c r="R59" i="6"/>
  <c r="Q60" i="6"/>
  <c r="R60" i="6"/>
  <c r="Q61" i="6"/>
  <c r="R61" i="6"/>
  <c r="Q62" i="6"/>
  <c r="R62" i="6"/>
  <c r="Q63" i="6"/>
  <c r="R63" i="6"/>
  <c r="Q64" i="6"/>
  <c r="R64" i="6"/>
  <c r="Q65" i="6"/>
  <c r="R65" i="6"/>
  <c r="Q66" i="6"/>
  <c r="R66" i="6"/>
  <c r="Q67" i="6"/>
  <c r="R67" i="6"/>
  <c r="Q68" i="6"/>
  <c r="R68" i="6"/>
  <c r="Q69" i="6"/>
  <c r="R69" i="6"/>
  <c r="Q70" i="6"/>
  <c r="R70" i="6"/>
  <c r="Q71" i="6"/>
  <c r="R71" i="6"/>
  <c r="Q72" i="6"/>
  <c r="R72" i="6"/>
  <c r="Q73" i="6"/>
  <c r="R73" i="6"/>
  <c r="Q74" i="6"/>
  <c r="R74" i="6"/>
  <c r="Q75" i="6"/>
  <c r="R75" i="6"/>
  <c r="Q76" i="6"/>
  <c r="R76" i="6"/>
  <c r="Q77" i="6"/>
  <c r="R77" i="6"/>
  <c r="Q78" i="6"/>
  <c r="R78" i="6"/>
  <c r="Q79" i="6"/>
  <c r="R79" i="6"/>
  <c r="Q80" i="6"/>
  <c r="R80" i="6"/>
  <c r="Q81" i="6"/>
  <c r="R81" i="6"/>
  <c r="Q82" i="6"/>
  <c r="R82" i="6"/>
  <c r="Q83" i="6"/>
  <c r="R83" i="6"/>
  <c r="Q84" i="6"/>
  <c r="R84" i="6"/>
  <c r="Q85" i="6"/>
  <c r="R85" i="6"/>
  <c r="Q86" i="6"/>
  <c r="R86" i="6"/>
  <c r="Q87" i="6"/>
  <c r="R87" i="6"/>
  <c r="Q88" i="6"/>
  <c r="R88" i="6"/>
  <c r="Q89" i="6"/>
  <c r="R89" i="6"/>
  <c r="Q90" i="6"/>
  <c r="R90" i="6"/>
  <c r="Q91" i="6"/>
  <c r="R91" i="6"/>
  <c r="Q92" i="6"/>
  <c r="R92" i="6"/>
  <c r="Q93" i="6"/>
  <c r="R93" i="6"/>
  <c r="Q94" i="6"/>
  <c r="R94" i="6"/>
  <c r="Q95" i="6"/>
  <c r="R95" i="6"/>
  <c r="Q96" i="6"/>
  <c r="R96" i="6"/>
  <c r="Q97" i="6"/>
  <c r="R97" i="6"/>
  <c r="Q98" i="6"/>
  <c r="R98" i="6"/>
  <c r="Q99" i="6"/>
  <c r="R99" i="6"/>
  <c r="Q100" i="6"/>
  <c r="R100" i="6"/>
  <c r="Q101" i="6"/>
  <c r="R101" i="6"/>
  <c r="Q102" i="6"/>
  <c r="R102" i="6"/>
  <c r="Q103" i="6"/>
  <c r="R103" i="6"/>
  <c r="Q104" i="6"/>
  <c r="R104" i="6"/>
  <c r="Q105" i="6"/>
  <c r="R105" i="6"/>
  <c r="Q106" i="6"/>
  <c r="R106" i="6"/>
  <c r="Q107" i="6"/>
  <c r="R107" i="6"/>
  <c r="Q108" i="6"/>
  <c r="R108" i="6"/>
  <c r="Q109" i="6"/>
  <c r="R109" i="6"/>
  <c r="Q110" i="6"/>
  <c r="R110" i="6"/>
  <c r="Q111" i="6"/>
  <c r="R111" i="6"/>
  <c r="Q112" i="6"/>
  <c r="R112" i="6"/>
  <c r="Q113" i="6"/>
  <c r="R113" i="6"/>
  <c r="Q114" i="6"/>
  <c r="R114" i="6"/>
  <c r="Q115" i="6"/>
  <c r="R115" i="6"/>
  <c r="Q116" i="6"/>
  <c r="R116" i="6"/>
  <c r="Q117" i="6"/>
  <c r="R117" i="6"/>
  <c r="Q118" i="6"/>
  <c r="R118" i="6"/>
  <c r="Q119" i="6"/>
  <c r="R119" i="6"/>
  <c r="Q120" i="6"/>
  <c r="R120" i="6"/>
  <c r="Q121" i="6"/>
  <c r="R121" i="6"/>
  <c r="Q122" i="6"/>
  <c r="R122" i="6"/>
  <c r="Q123" i="6"/>
  <c r="R123" i="6"/>
  <c r="Q124" i="6"/>
  <c r="R124" i="6"/>
  <c r="Q125" i="6"/>
  <c r="R125" i="6"/>
  <c r="Q126" i="6"/>
  <c r="R126" i="6"/>
  <c r="Q127" i="6"/>
  <c r="R127" i="6"/>
  <c r="Q128" i="6"/>
  <c r="R128" i="6"/>
  <c r="Q129" i="6"/>
  <c r="R129" i="6"/>
  <c r="Q130" i="6"/>
  <c r="R130" i="6"/>
  <c r="Q131" i="6"/>
  <c r="R131" i="6"/>
  <c r="Q132" i="6"/>
  <c r="R132" i="6"/>
  <c r="Q133" i="6"/>
  <c r="R133" i="6"/>
  <c r="Q134" i="6"/>
  <c r="R134" i="6"/>
  <c r="Q135" i="6"/>
  <c r="R135" i="6"/>
  <c r="Q136" i="6"/>
  <c r="R136" i="6"/>
  <c r="Q137" i="6"/>
  <c r="R137" i="6"/>
  <c r="Q138" i="6"/>
  <c r="R138" i="6"/>
  <c r="Q139" i="6"/>
  <c r="R139" i="6"/>
  <c r="Q140" i="6"/>
  <c r="R140" i="6"/>
  <c r="Q141" i="6"/>
  <c r="R141" i="6"/>
  <c r="Q142" i="6"/>
  <c r="R142" i="6"/>
  <c r="Q143" i="6"/>
  <c r="R143" i="6"/>
  <c r="Q144" i="6"/>
  <c r="R144" i="6"/>
  <c r="Q145" i="6"/>
  <c r="R145" i="6"/>
  <c r="Q146" i="6"/>
  <c r="R146" i="6"/>
  <c r="Q147" i="6"/>
  <c r="R147" i="6"/>
  <c r="Q148" i="6"/>
  <c r="R148" i="6"/>
  <c r="Q149" i="6"/>
  <c r="R149" i="6"/>
  <c r="Q150" i="6"/>
  <c r="R150" i="6"/>
  <c r="Q151" i="6"/>
  <c r="R151" i="6"/>
  <c r="Q152" i="6"/>
  <c r="R152" i="6"/>
  <c r="Q153" i="6"/>
  <c r="R153" i="6"/>
  <c r="Q154" i="6"/>
  <c r="R154" i="6"/>
  <c r="Q155" i="6"/>
  <c r="R155" i="6"/>
  <c r="Q156" i="6"/>
  <c r="R156" i="6"/>
  <c r="Q157" i="6"/>
  <c r="R157" i="6"/>
  <c r="Q158" i="6"/>
  <c r="R158" i="6"/>
  <c r="Q159" i="6"/>
  <c r="R159" i="6"/>
  <c r="Q160" i="6"/>
  <c r="R160" i="6"/>
  <c r="Q161" i="6"/>
  <c r="R161" i="6"/>
  <c r="Q162" i="6"/>
  <c r="R162" i="6"/>
  <c r="Q163" i="6"/>
  <c r="R163" i="6"/>
  <c r="Q164" i="6"/>
  <c r="R164" i="6"/>
  <c r="Q165" i="6"/>
  <c r="R165" i="6"/>
  <c r="Q166" i="6"/>
  <c r="R166" i="6"/>
  <c r="Q167" i="6"/>
  <c r="R167" i="6"/>
  <c r="Q168" i="6"/>
  <c r="R168" i="6"/>
  <c r="Q169" i="6"/>
  <c r="R169" i="6"/>
  <c r="Q170" i="6"/>
  <c r="R170" i="6"/>
  <c r="Q171" i="6"/>
  <c r="R171" i="6"/>
  <c r="Q172" i="6"/>
  <c r="R172" i="6"/>
  <c r="Q173" i="6"/>
  <c r="R173" i="6"/>
  <c r="Q174" i="6"/>
  <c r="R174" i="6"/>
  <c r="Q175" i="6"/>
  <c r="R175" i="6"/>
  <c r="Q176" i="6"/>
  <c r="R176" i="6"/>
  <c r="Q177" i="6"/>
  <c r="R177" i="6"/>
  <c r="Q178" i="6"/>
  <c r="R178" i="6"/>
  <c r="Q179" i="6"/>
  <c r="R179" i="6"/>
  <c r="Q180" i="6"/>
  <c r="R180" i="6"/>
  <c r="Q181" i="6"/>
  <c r="R181" i="6"/>
  <c r="Q182" i="6"/>
  <c r="R182" i="6"/>
  <c r="Q183" i="6"/>
  <c r="R183" i="6"/>
  <c r="Q184" i="6"/>
  <c r="R184" i="6"/>
  <c r="Q185" i="6"/>
  <c r="R185" i="6"/>
  <c r="Q186" i="6"/>
  <c r="R186" i="6"/>
  <c r="Q187" i="6"/>
  <c r="R187" i="6"/>
  <c r="Q188" i="6"/>
  <c r="R188" i="6"/>
  <c r="Q189" i="6"/>
  <c r="R189" i="6"/>
  <c r="Q190" i="6"/>
  <c r="R190" i="6"/>
  <c r="Q191" i="6"/>
  <c r="R191" i="6"/>
  <c r="Q192" i="6"/>
  <c r="R192" i="6"/>
  <c r="Q193" i="6"/>
  <c r="R193" i="6"/>
  <c r="Q194" i="6"/>
  <c r="R194" i="6"/>
  <c r="Q195" i="6"/>
  <c r="R195" i="6"/>
  <c r="Q196" i="6"/>
  <c r="R196" i="6"/>
  <c r="Q197" i="6"/>
  <c r="R197" i="6"/>
  <c r="Q198" i="6"/>
  <c r="R198" i="6"/>
  <c r="Q199" i="6"/>
  <c r="R199" i="6"/>
  <c r="Q200" i="6"/>
  <c r="R200" i="6"/>
  <c r="Q201" i="6"/>
  <c r="R201" i="6"/>
  <c r="Q202" i="6"/>
  <c r="R202" i="6"/>
  <c r="Q203" i="6"/>
  <c r="R203" i="6"/>
  <c r="Q204" i="6"/>
  <c r="R204" i="6"/>
  <c r="Q205" i="6"/>
  <c r="R205" i="6"/>
  <c r="Q206" i="6"/>
  <c r="R206" i="6"/>
  <c r="Q207" i="6"/>
  <c r="R207" i="6"/>
  <c r="Q208" i="6"/>
  <c r="R208" i="6"/>
  <c r="Q209" i="6"/>
  <c r="R209" i="6"/>
  <c r="Q210" i="6"/>
  <c r="R210" i="6"/>
  <c r="Q211" i="6"/>
  <c r="R211" i="6"/>
  <c r="Q212" i="6"/>
  <c r="R212" i="6"/>
  <c r="Q213" i="6"/>
  <c r="R213" i="6"/>
  <c r="Q214" i="6"/>
  <c r="R214" i="6"/>
  <c r="Q215" i="6"/>
  <c r="R215" i="6"/>
  <c r="Q216" i="6"/>
  <c r="R216" i="6"/>
  <c r="Q217" i="6"/>
  <c r="R217" i="6"/>
  <c r="Q218" i="6"/>
  <c r="R218" i="6"/>
  <c r="Q219" i="6"/>
  <c r="R219" i="6"/>
  <c r="Q220" i="6"/>
  <c r="R220" i="6"/>
  <c r="Q221" i="6"/>
  <c r="R221" i="6"/>
  <c r="Q222" i="6"/>
  <c r="R222" i="6"/>
  <c r="Q223" i="6"/>
  <c r="R223" i="6"/>
  <c r="Q224" i="6"/>
  <c r="R224" i="6"/>
  <c r="Q225" i="6"/>
  <c r="R225" i="6"/>
  <c r="Q226" i="6"/>
  <c r="R226" i="6"/>
  <c r="Q227" i="6"/>
  <c r="R227" i="6"/>
  <c r="Q228" i="6"/>
  <c r="R228" i="6"/>
  <c r="Q229" i="6"/>
  <c r="R229" i="6"/>
  <c r="Q230" i="6"/>
  <c r="R230" i="6"/>
  <c r="Q231" i="6"/>
  <c r="R231" i="6"/>
  <c r="Q232" i="6"/>
  <c r="R232" i="6"/>
  <c r="Q233" i="6"/>
  <c r="R233" i="6"/>
  <c r="Q234" i="6"/>
  <c r="R234" i="6"/>
  <c r="Q235" i="6"/>
  <c r="R235" i="6"/>
  <c r="Q236" i="6"/>
  <c r="R236" i="6"/>
  <c r="Q237" i="6"/>
  <c r="R237" i="6"/>
  <c r="Q238" i="6"/>
  <c r="R238" i="6"/>
  <c r="Q239" i="6"/>
  <c r="R239" i="6"/>
  <c r="Q240" i="6"/>
  <c r="R240" i="6"/>
  <c r="Q241" i="6"/>
  <c r="R241" i="6"/>
  <c r="Q242" i="6"/>
  <c r="R242" i="6"/>
  <c r="Q243" i="6"/>
  <c r="R243" i="6"/>
  <c r="Q244" i="6"/>
  <c r="R244" i="6"/>
  <c r="Q245" i="6"/>
  <c r="R245" i="6"/>
  <c r="Q246" i="6"/>
  <c r="R246" i="6"/>
  <c r="Q247" i="6"/>
  <c r="R247" i="6"/>
  <c r="Q248" i="6"/>
  <c r="R248" i="6"/>
  <c r="Q249" i="6"/>
  <c r="R249" i="6"/>
  <c r="Q250" i="6"/>
  <c r="R250" i="6"/>
  <c r="Q251" i="6"/>
  <c r="R251" i="6"/>
  <c r="Q252" i="6"/>
  <c r="R252" i="6"/>
  <c r="Q253" i="6"/>
  <c r="R253" i="6"/>
  <c r="Q254" i="6"/>
  <c r="R254" i="6"/>
  <c r="Q255" i="6"/>
  <c r="R255" i="6"/>
  <c r="Q256" i="6"/>
  <c r="R256" i="6"/>
  <c r="Q257" i="6"/>
  <c r="R257" i="6"/>
  <c r="Q258" i="6"/>
  <c r="R258" i="6"/>
  <c r="Q259" i="6"/>
  <c r="R259" i="6"/>
  <c r="Q260" i="6"/>
  <c r="R260" i="6"/>
  <c r="Q261" i="6"/>
  <c r="R261" i="6"/>
  <c r="Q262" i="6"/>
  <c r="R262" i="6"/>
  <c r="Q263" i="6"/>
  <c r="R263" i="6"/>
  <c r="Q264" i="6"/>
  <c r="R264" i="6"/>
  <c r="Q265" i="6"/>
  <c r="R265" i="6"/>
  <c r="Q266" i="6"/>
  <c r="R266" i="6"/>
  <c r="Q267" i="6"/>
  <c r="R267" i="6"/>
  <c r="Q268" i="6"/>
  <c r="R268" i="6"/>
  <c r="Q269" i="6"/>
  <c r="R269" i="6"/>
  <c r="Q270" i="6"/>
  <c r="R270" i="6"/>
  <c r="Q271" i="6"/>
  <c r="R271" i="6"/>
  <c r="Q272" i="6"/>
  <c r="R272" i="6"/>
  <c r="Q273" i="6"/>
  <c r="R273" i="6"/>
  <c r="Q274" i="6"/>
  <c r="R274" i="6"/>
  <c r="Q275" i="6"/>
  <c r="R275" i="6"/>
  <c r="Q276" i="6"/>
  <c r="R276" i="6"/>
  <c r="Q277" i="6"/>
  <c r="R277" i="6"/>
  <c r="Q278" i="6"/>
  <c r="R278" i="6"/>
  <c r="Q279" i="6"/>
  <c r="R279" i="6"/>
  <c r="Q280" i="6"/>
  <c r="R280" i="6"/>
  <c r="Q281" i="6"/>
  <c r="R281" i="6"/>
  <c r="Q282" i="6"/>
  <c r="R282" i="6"/>
  <c r="Q283" i="6"/>
  <c r="R283" i="6"/>
  <c r="Q284" i="6"/>
  <c r="R284" i="6"/>
  <c r="Q285" i="6"/>
  <c r="R285" i="6"/>
  <c r="Q286" i="6"/>
  <c r="R286" i="6"/>
  <c r="Q287" i="6"/>
  <c r="R287" i="6"/>
  <c r="Q288" i="6"/>
  <c r="R288" i="6"/>
  <c r="Q289" i="6"/>
  <c r="R289" i="6"/>
  <c r="Q290" i="6"/>
  <c r="R290" i="6"/>
  <c r="Q291" i="6"/>
  <c r="R291" i="6"/>
  <c r="Q292" i="6"/>
  <c r="R292" i="6"/>
  <c r="Q293" i="6"/>
  <c r="R293" i="6"/>
  <c r="Q294" i="6"/>
  <c r="R294" i="6"/>
  <c r="Q295" i="6"/>
  <c r="R295" i="6"/>
  <c r="Q296" i="6"/>
  <c r="R296" i="6"/>
  <c r="Q297" i="6"/>
  <c r="R297" i="6"/>
  <c r="Q298" i="6"/>
  <c r="R298" i="6"/>
  <c r="Q299" i="6"/>
  <c r="R299" i="6"/>
  <c r="Q300" i="6"/>
  <c r="R300" i="6"/>
  <c r="Q301" i="6"/>
  <c r="R301" i="6"/>
  <c r="Q302" i="6"/>
  <c r="R302" i="6"/>
  <c r="Q303" i="6"/>
  <c r="R303" i="6"/>
  <c r="Q304" i="6"/>
  <c r="R304" i="6"/>
  <c r="Q305" i="6"/>
  <c r="R305" i="6"/>
  <c r="Q306" i="6"/>
  <c r="R306" i="6"/>
  <c r="Q307" i="6"/>
  <c r="R307" i="6"/>
  <c r="Q308" i="6"/>
  <c r="R308" i="6"/>
  <c r="Q309" i="6"/>
  <c r="R309" i="6"/>
  <c r="Q310" i="6"/>
  <c r="R310" i="6"/>
  <c r="Q311" i="6"/>
  <c r="R311" i="6"/>
  <c r="Q312" i="6"/>
  <c r="R312" i="6"/>
  <c r="Q313" i="6"/>
  <c r="R313" i="6"/>
  <c r="Q314" i="6"/>
  <c r="R314" i="6"/>
  <c r="Q315" i="6"/>
  <c r="R315" i="6"/>
  <c r="Q316" i="6"/>
  <c r="R316" i="6"/>
  <c r="Q317" i="6"/>
  <c r="R317" i="6"/>
  <c r="Q318" i="6"/>
  <c r="R318" i="6"/>
  <c r="Q319" i="6"/>
  <c r="R319" i="6"/>
  <c r="Q320" i="6"/>
  <c r="R320" i="6"/>
  <c r="Q321" i="6"/>
  <c r="R321" i="6"/>
  <c r="Q322" i="6"/>
  <c r="R322" i="6"/>
  <c r="Q323" i="6"/>
  <c r="R323" i="6"/>
  <c r="Q324" i="6"/>
  <c r="R324" i="6"/>
  <c r="Q325" i="6"/>
  <c r="R325" i="6"/>
  <c r="Q326" i="6"/>
  <c r="R326" i="6"/>
  <c r="Q327" i="6"/>
  <c r="R327" i="6"/>
  <c r="Q328" i="6"/>
  <c r="R328" i="6"/>
  <c r="Q329" i="6"/>
  <c r="R329" i="6"/>
  <c r="Q330" i="6"/>
  <c r="R330" i="6"/>
  <c r="Q331" i="6"/>
  <c r="R331" i="6"/>
  <c r="Q332" i="6"/>
  <c r="R332" i="6"/>
  <c r="Q333" i="6"/>
  <c r="R333" i="6"/>
  <c r="Q334" i="6"/>
  <c r="R334" i="6"/>
  <c r="Q335" i="6"/>
  <c r="R335" i="6"/>
  <c r="Q336" i="6"/>
  <c r="R336" i="6"/>
  <c r="Q337" i="6"/>
  <c r="R337" i="6"/>
  <c r="Q338" i="6"/>
  <c r="R338" i="6"/>
  <c r="Q339" i="6"/>
  <c r="R339" i="6"/>
  <c r="Q340" i="6"/>
  <c r="R340" i="6"/>
  <c r="Q341" i="6"/>
  <c r="R341" i="6"/>
  <c r="Q342" i="6"/>
  <c r="R342" i="6"/>
  <c r="Q343" i="6"/>
  <c r="R343" i="6"/>
  <c r="Q344" i="6"/>
  <c r="R344" i="6"/>
  <c r="Q345" i="6"/>
  <c r="R345" i="6"/>
  <c r="Q346" i="6"/>
  <c r="R346" i="6"/>
  <c r="Q347" i="6"/>
  <c r="R347" i="6"/>
  <c r="Q348" i="6"/>
  <c r="R348" i="6"/>
  <c r="Q349" i="6"/>
  <c r="R349" i="6"/>
  <c r="Q350" i="6"/>
  <c r="R350" i="6"/>
  <c r="Q351" i="6"/>
  <c r="R351" i="6"/>
  <c r="Q352" i="6"/>
  <c r="R352" i="6"/>
  <c r="Q353" i="6"/>
  <c r="R353" i="6"/>
  <c r="Q354" i="6"/>
  <c r="R354" i="6"/>
  <c r="Q355" i="6"/>
  <c r="R355" i="6"/>
  <c r="Q356" i="6"/>
  <c r="R356" i="6"/>
  <c r="Q357" i="6"/>
  <c r="R357" i="6"/>
  <c r="Q358" i="6"/>
  <c r="R358" i="6"/>
  <c r="Q359" i="6"/>
  <c r="R359" i="6"/>
  <c r="Q360" i="6"/>
  <c r="R360" i="6"/>
  <c r="Q361" i="6"/>
  <c r="R361" i="6"/>
  <c r="Q362" i="6"/>
  <c r="R362" i="6"/>
  <c r="Q363" i="6"/>
  <c r="R363" i="6"/>
  <c r="Q364" i="6"/>
  <c r="R364" i="6"/>
  <c r="Q365" i="6"/>
  <c r="R365" i="6"/>
  <c r="Q366" i="6"/>
  <c r="R366" i="6"/>
  <c r="Q367" i="6"/>
  <c r="R367" i="6"/>
  <c r="Q368" i="6"/>
  <c r="R368" i="6"/>
  <c r="Q369" i="6"/>
  <c r="R369" i="6"/>
  <c r="Q370" i="6"/>
  <c r="R370" i="6"/>
  <c r="Q371" i="6"/>
  <c r="R371" i="6"/>
  <c r="Q372" i="6"/>
  <c r="R372" i="6"/>
  <c r="Q373" i="6"/>
  <c r="R373" i="6"/>
  <c r="Q374" i="6"/>
  <c r="R374" i="6"/>
  <c r="Q375" i="6"/>
  <c r="R375" i="6"/>
  <c r="Q376" i="6"/>
  <c r="R376" i="6"/>
  <c r="Q377" i="6"/>
  <c r="R377" i="6"/>
  <c r="Q378" i="6"/>
  <c r="R378" i="6"/>
  <c r="Q379" i="6"/>
  <c r="R379" i="6"/>
  <c r="Q380" i="6"/>
  <c r="R380" i="6"/>
  <c r="Q381" i="6"/>
  <c r="R381" i="6"/>
  <c r="Q382" i="6"/>
  <c r="R382" i="6"/>
  <c r="Q383" i="6"/>
  <c r="R383" i="6"/>
  <c r="Q384" i="6"/>
  <c r="R384" i="6"/>
  <c r="Q385" i="6"/>
  <c r="R385" i="6"/>
  <c r="Q386" i="6"/>
  <c r="R386" i="6"/>
  <c r="Q387" i="6"/>
  <c r="R387" i="6"/>
  <c r="Q388" i="6"/>
  <c r="R388" i="6"/>
  <c r="Q389" i="6"/>
  <c r="R389" i="6"/>
  <c r="Q390" i="6"/>
  <c r="R390" i="6"/>
  <c r="Q391" i="6"/>
  <c r="R391" i="6"/>
  <c r="Q392" i="6"/>
  <c r="R392" i="6"/>
  <c r="Q393" i="6"/>
  <c r="R393" i="6"/>
  <c r="Q394" i="6"/>
  <c r="R394" i="6"/>
  <c r="Q395" i="6"/>
  <c r="R395" i="6"/>
  <c r="Q396" i="6"/>
  <c r="R396" i="6"/>
  <c r="Q397" i="6"/>
  <c r="R397" i="6"/>
  <c r="Q398" i="6"/>
  <c r="R398" i="6"/>
  <c r="Q399" i="6"/>
  <c r="R399" i="6"/>
  <c r="Q400" i="6"/>
  <c r="R400" i="6"/>
  <c r="Q401" i="6"/>
  <c r="R401" i="6"/>
  <c r="Q402" i="6"/>
  <c r="R402" i="6"/>
  <c r="Q403" i="6"/>
  <c r="R403" i="6"/>
  <c r="Q404" i="6"/>
  <c r="R404" i="6"/>
  <c r="Q405" i="6"/>
  <c r="R405" i="6"/>
  <c r="Q406" i="6"/>
  <c r="R406" i="6"/>
  <c r="Q407" i="6"/>
  <c r="R407" i="6"/>
  <c r="Q408" i="6"/>
  <c r="R408" i="6"/>
  <c r="Q409" i="6"/>
  <c r="R409" i="6"/>
  <c r="Q410" i="6"/>
  <c r="R410" i="6"/>
  <c r="Q411" i="6"/>
  <c r="R411" i="6"/>
  <c r="Q412" i="6"/>
  <c r="R412" i="6"/>
  <c r="Q413" i="6"/>
  <c r="R413" i="6"/>
  <c r="Q414" i="6"/>
  <c r="R414" i="6"/>
  <c r="Q415" i="6"/>
  <c r="R415" i="6"/>
  <c r="Q416" i="6"/>
  <c r="R416" i="6"/>
  <c r="Q417" i="6"/>
  <c r="R417" i="6"/>
  <c r="Q418" i="6"/>
  <c r="R418" i="6"/>
  <c r="Q419" i="6"/>
  <c r="R419" i="6"/>
  <c r="Q420" i="6"/>
  <c r="R420" i="6"/>
  <c r="Q421" i="6"/>
  <c r="R421" i="6"/>
  <c r="Q422" i="6"/>
  <c r="R422" i="6"/>
  <c r="Q423" i="6"/>
  <c r="R423" i="6"/>
  <c r="Q424" i="6"/>
  <c r="R424" i="6"/>
  <c r="Q425" i="6"/>
  <c r="R425" i="6"/>
  <c r="Q426" i="6"/>
  <c r="R426" i="6"/>
  <c r="Q427" i="6"/>
  <c r="R427" i="6"/>
  <c r="Q428" i="6"/>
  <c r="R428" i="6"/>
  <c r="Q429" i="6"/>
  <c r="R429" i="6"/>
  <c r="Q430" i="6"/>
  <c r="R430" i="6"/>
  <c r="Q431" i="6"/>
  <c r="R431" i="6"/>
  <c r="Q432" i="6"/>
  <c r="R432" i="6"/>
  <c r="Q433" i="6"/>
  <c r="R433" i="6"/>
  <c r="Q434" i="6"/>
  <c r="R434" i="6"/>
  <c r="Q435" i="6"/>
  <c r="R435" i="6"/>
  <c r="Q436" i="6"/>
  <c r="R436" i="6"/>
  <c r="Q437" i="6"/>
  <c r="R437" i="6"/>
  <c r="Q438" i="6"/>
  <c r="R438" i="6"/>
  <c r="Q439" i="6"/>
  <c r="R439" i="6"/>
  <c r="Q440" i="6"/>
  <c r="R440" i="6"/>
  <c r="Q441" i="6"/>
  <c r="R441" i="6"/>
  <c r="Q442" i="6"/>
  <c r="R442" i="6"/>
  <c r="Q443" i="6"/>
  <c r="R443" i="6"/>
  <c r="Q444" i="6"/>
  <c r="R444" i="6"/>
  <c r="Q445" i="6"/>
  <c r="R445" i="6"/>
  <c r="Q446" i="6"/>
  <c r="R446" i="6"/>
  <c r="Q447" i="6"/>
  <c r="R447" i="6"/>
  <c r="Q448" i="6"/>
  <c r="R448" i="6"/>
  <c r="Q449" i="6"/>
  <c r="R449" i="6"/>
  <c r="Q450" i="6"/>
  <c r="R450" i="6"/>
  <c r="Q451" i="6"/>
  <c r="R451" i="6"/>
  <c r="Q452" i="6"/>
  <c r="R452" i="6"/>
  <c r="Q453" i="6"/>
  <c r="R453" i="6"/>
  <c r="Q454" i="6"/>
  <c r="R454" i="6"/>
  <c r="Q455" i="6"/>
  <c r="R455" i="6"/>
  <c r="Q456" i="6"/>
  <c r="R456" i="6"/>
  <c r="Q457" i="6"/>
  <c r="R457" i="6"/>
  <c r="Q458" i="6"/>
  <c r="R458" i="6"/>
  <c r="Q459" i="6"/>
  <c r="R459" i="6"/>
  <c r="Q460" i="6"/>
  <c r="R460" i="6"/>
  <c r="Q461" i="6"/>
  <c r="R461" i="6"/>
  <c r="Q462" i="6"/>
  <c r="R462" i="6"/>
  <c r="Q463" i="6"/>
  <c r="R463" i="6"/>
  <c r="Q464" i="6"/>
  <c r="R464" i="6"/>
  <c r="Q465" i="6"/>
  <c r="R465" i="6"/>
  <c r="Q466" i="6"/>
  <c r="R466" i="6"/>
  <c r="Q467" i="6"/>
  <c r="R467" i="6"/>
  <c r="Q468" i="6"/>
  <c r="R468" i="6"/>
  <c r="Q469" i="6"/>
  <c r="R469" i="6"/>
  <c r="Q470" i="6"/>
  <c r="R470" i="6"/>
  <c r="Q471" i="6"/>
  <c r="R471" i="6"/>
  <c r="Q472" i="6"/>
  <c r="R472" i="6"/>
  <c r="Q473" i="6"/>
  <c r="R473" i="6"/>
  <c r="Q474" i="6"/>
  <c r="R474" i="6"/>
  <c r="Q475" i="6"/>
  <c r="R475" i="6"/>
  <c r="Q476" i="6"/>
  <c r="R476" i="6"/>
  <c r="Q477" i="6"/>
  <c r="R477" i="6"/>
  <c r="Q478" i="6"/>
  <c r="R478" i="6"/>
  <c r="Q479" i="6"/>
  <c r="R479" i="6"/>
  <c r="Q480" i="6"/>
  <c r="R480" i="6"/>
  <c r="Q481" i="6"/>
  <c r="R481" i="6"/>
  <c r="Q482" i="6"/>
  <c r="R482" i="6"/>
  <c r="Q483" i="6"/>
  <c r="R483" i="6"/>
  <c r="Q484" i="6"/>
  <c r="R484" i="6"/>
  <c r="Q485" i="6"/>
  <c r="R485" i="6"/>
  <c r="Q486" i="6"/>
  <c r="R486" i="6"/>
  <c r="Q487" i="6"/>
  <c r="R487" i="6"/>
  <c r="Q488" i="6"/>
  <c r="R488" i="6"/>
  <c r="Q489" i="6"/>
  <c r="R489" i="6"/>
  <c r="Q490" i="6"/>
  <c r="R490" i="6"/>
  <c r="Q491" i="6"/>
  <c r="R491" i="6"/>
  <c r="Q492" i="6"/>
  <c r="R492" i="6"/>
  <c r="Q493" i="6"/>
  <c r="R493" i="6"/>
  <c r="Q494" i="6"/>
  <c r="R494" i="6"/>
  <c r="Q495" i="6"/>
  <c r="R495" i="6"/>
  <c r="Q496" i="6"/>
  <c r="R496" i="6"/>
  <c r="Q497" i="6"/>
  <c r="R497" i="6"/>
  <c r="Q498" i="6"/>
  <c r="R498" i="6"/>
  <c r="Q499" i="6"/>
  <c r="R499" i="6"/>
  <c r="Q500" i="6"/>
  <c r="R500" i="6"/>
  <c r="Q501" i="6"/>
  <c r="R501" i="6"/>
  <c r="Q502" i="6"/>
  <c r="R502" i="6"/>
  <c r="Q503" i="6"/>
  <c r="R503" i="6"/>
  <c r="Q504" i="6"/>
  <c r="R504" i="6"/>
  <c r="Q505" i="6"/>
  <c r="R505" i="6"/>
  <c r="Q506" i="6"/>
  <c r="R506" i="6"/>
  <c r="Q507" i="6"/>
  <c r="R507" i="6"/>
  <c r="Q508" i="6"/>
  <c r="R508" i="6"/>
  <c r="Q509" i="6"/>
  <c r="R509" i="6"/>
  <c r="Q510" i="6"/>
  <c r="R510" i="6"/>
  <c r="Q511" i="6"/>
  <c r="R511" i="6"/>
  <c r="Q512" i="6"/>
  <c r="R512" i="6"/>
  <c r="Q513" i="6"/>
  <c r="R513" i="6"/>
  <c r="Q514" i="6"/>
  <c r="R514" i="6"/>
  <c r="Q515" i="6"/>
  <c r="R515" i="6"/>
  <c r="Q516" i="6"/>
  <c r="R516" i="6"/>
  <c r="Q517" i="6"/>
  <c r="R517" i="6"/>
  <c r="Q518" i="6"/>
  <c r="R518" i="6"/>
  <c r="Q519" i="6"/>
  <c r="R519" i="6"/>
  <c r="Q520" i="6"/>
  <c r="R520" i="6"/>
  <c r="Q521" i="6"/>
  <c r="R521" i="6"/>
  <c r="Q522" i="6"/>
  <c r="R522" i="6"/>
  <c r="Q523" i="6"/>
  <c r="R523" i="6"/>
  <c r="Q524" i="6"/>
  <c r="R524" i="6"/>
  <c r="Q525" i="6"/>
  <c r="R525" i="6"/>
  <c r="Q526" i="6"/>
  <c r="R526" i="6"/>
  <c r="Q527" i="6"/>
  <c r="R527" i="6"/>
  <c r="Q528" i="6"/>
  <c r="R528" i="6"/>
  <c r="Q529" i="6"/>
  <c r="R529" i="6"/>
  <c r="Q530" i="6"/>
  <c r="R530" i="6"/>
  <c r="Q531" i="6"/>
  <c r="R531" i="6"/>
  <c r="Q532" i="6"/>
  <c r="R532" i="6"/>
  <c r="Q533" i="6"/>
  <c r="R533" i="6"/>
  <c r="Q534" i="6"/>
  <c r="R534" i="6"/>
  <c r="Q535" i="6"/>
  <c r="R535" i="6"/>
  <c r="Q536" i="6"/>
  <c r="R536" i="6"/>
  <c r="Q537" i="6"/>
  <c r="R537" i="6"/>
  <c r="Q538" i="6"/>
  <c r="R538" i="6"/>
  <c r="Q539" i="6"/>
  <c r="R539" i="6"/>
  <c r="Q540" i="6"/>
  <c r="R540" i="6"/>
  <c r="Q541" i="6"/>
  <c r="R541" i="6"/>
  <c r="Q542" i="6"/>
  <c r="R542" i="6"/>
  <c r="Q543" i="6"/>
  <c r="R543" i="6"/>
  <c r="Q544" i="6"/>
  <c r="R544" i="6"/>
  <c r="Q545" i="6"/>
  <c r="R545" i="6"/>
  <c r="Q546" i="6"/>
  <c r="R546" i="6"/>
  <c r="Q547" i="6"/>
  <c r="R547" i="6"/>
  <c r="Q548" i="6"/>
  <c r="R548" i="6"/>
  <c r="Q549" i="6"/>
  <c r="R549" i="6"/>
  <c r="Q550" i="6"/>
  <c r="R550" i="6"/>
  <c r="Q551" i="6"/>
  <c r="R551" i="6"/>
  <c r="Q552" i="6"/>
  <c r="R552" i="6"/>
  <c r="Q553" i="6"/>
  <c r="R553" i="6"/>
  <c r="Q554" i="6"/>
  <c r="R554" i="6"/>
  <c r="Q555" i="6"/>
  <c r="R555" i="6"/>
  <c r="Q556" i="6"/>
  <c r="R556" i="6"/>
  <c r="Q557" i="6"/>
  <c r="R557" i="6"/>
  <c r="Q558" i="6"/>
  <c r="R558" i="6"/>
  <c r="Q559" i="6"/>
  <c r="R559" i="6"/>
  <c r="Q560" i="6"/>
  <c r="R560" i="6"/>
  <c r="Q561" i="6"/>
  <c r="R561" i="6"/>
  <c r="Q562" i="6"/>
  <c r="R562" i="6"/>
  <c r="Q563" i="6"/>
  <c r="R563" i="6"/>
  <c r="Q564" i="6"/>
  <c r="R564" i="6"/>
  <c r="Q565" i="6"/>
  <c r="R565" i="6"/>
  <c r="Q566" i="6"/>
  <c r="R566" i="6"/>
  <c r="Q567" i="6"/>
  <c r="R567" i="6"/>
  <c r="Q568" i="6"/>
  <c r="R568" i="6"/>
  <c r="Q569" i="6"/>
  <c r="R569" i="6"/>
  <c r="Q570" i="6"/>
  <c r="R570" i="6"/>
  <c r="Q571" i="6"/>
  <c r="R571" i="6"/>
  <c r="Q572" i="6"/>
  <c r="R572" i="6"/>
  <c r="Q573" i="6"/>
  <c r="R573" i="6"/>
  <c r="Q574" i="6"/>
  <c r="R574" i="6"/>
  <c r="Q575" i="6"/>
  <c r="R575" i="6"/>
  <c r="Q576" i="6"/>
  <c r="R576" i="6"/>
  <c r="Q577" i="6"/>
  <c r="R577" i="6"/>
  <c r="Q578" i="6"/>
  <c r="R578" i="6"/>
  <c r="Q579" i="6"/>
  <c r="R579" i="6"/>
  <c r="Q580" i="6"/>
  <c r="R580" i="6"/>
  <c r="Q581" i="6"/>
  <c r="R581" i="6"/>
  <c r="Q582" i="6"/>
  <c r="R582" i="6"/>
  <c r="Q583" i="6"/>
  <c r="R583" i="6"/>
  <c r="Q584" i="6"/>
  <c r="R584" i="6"/>
  <c r="Q585" i="6"/>
  <c r="R585" i="6"/>
  <c r="Q586" i="6"/>
  <c r="R586" i="6"/>
  <c r="Q587" i="6"/>
  <c r="R587" i="6"/>
  <c r="Q588" i="6"/>
  <c r="R588" i="6"/>
  <c r="Q589" i="6"/>
  <c r="R589" i="6"/>
  <c r="Q590" i="6"/>
  <c r="R590" i="6"/>
  <c r="Q591" i="6"/>
  <c r="R591" i="6"/>
  <c r="Q592" i="6"/>
  <c r="R592" i="6"/>
  <c r="Q593" i="6"/>
  <c r="R593" i="6"/>
  <c r="Q594" i="6"/>
  <c r="R594" i="6"/>
  <c r="Q595" i="6"/>
  <c r="R595" i="6"/>
  <c r="Q596" i="6"/>
  <c r="R596" i="6"/>
  <c r="Q597" i="6"/>
  <c r="R597" i="6"/>
  <c r="Q598" i="6"/>
  <c r="R598" i="6"/>
  <c r="Q599" i="6"/>
  <c r="R599" i="6"/>
  <c r="Q600" i="6"/>
  <c r="R600" i="6"/>
  <c r="Q601" i="6"/>
  <c r="R601" i="6"/>
  <c r="Q602" i="6"/>
  <c r="R602" i="6"/>
  <c r="Q603" i="6"/>
  <c r="R603" i="6"/>
  <c r="Q604" i="6"/>
  <c r="R604" i="6"/>
  <c r="Q605" i="6"/>
  <c r="R605" i="6"/>
  <c r="Q606" i="6"/>
  <c r="R606" i="6"/>
  <c r="Q607" i="6"/>
  <c r="R607" i="6"/>
  <c r="Q608" i="6"/>
  <c r="R608" i="6"/>
  <c r="Q609" i="6"/>
  <c r="R609" i="6"/>
  <c r="Q610" i="6"/>
  <c r="R610" i="6"/>
  <c r="Q611" i="6"/>
  <c r="R611" i="6"/>
  <c r="Q612" i="6"/>
  <c r="R612" i="6"/>
  <c r="Q613" i="6"/>
  <c r="R613" i="6"/>
  <c r="Q614" i="6"/>
  <c r="R614" i="6"/>
  <c r="Q615" i="6"/>
  <c r="R615" i="6"/>
  <c r="Q616" i="6"/>
  <c r="R616" i="6"/>
  <c r="Q617" i="6"/>
  <c r="R617" i="6"/>
  <c r="Q618" i="6"/>
  <c r="R618" i="6"/>
  <c r="Q619" i="6"/>
  <c r="R619" i="6"/>
  <c r="Q620" i="6"/>
  <c r="R620" i="6"/>
  <c r="Q621" i="6"/>
  <c r="R621" i="6"/>
  <c r="Q622" i="6"/>
  <c r="R622" i="6"/>
  <c r="Q623" i="6"/>
  <c r="R623" i="6"/>
  <c r="Q624" i="6"/>
  <c r="R624" i="6"/>
  <c r="Q625" i="6"/>
  <c r="R625" i="6"/>
  <c r="Q626" i="6"/>
  <c r="R626" i="6"/>
  <c r="Q627" i="6"/>
  <c r="R627" i="6"/>
  <c r="Q628" i="6"/>
  <c r="R628" i="6"/>
  <c r="Q629" i="6"/>
  <c r="R629" i="6"/>
  <c r="Q630" i="6"/>
  <c r="R630" i="6"/>
  <c r="Q631" i="6"/>
  <c r="R631" i="6"/>
  <c r="Q632" i="6"/>
  <c r="R632" i="6"/>
  <c r="Q633" i="6"/>
  <c r="R633" i="6"/>
  <c r="Q634" i="6"/>
  <c r="R634" i="6"/>
  <c r="Q635" i="6"/>
  <c r="R635" i="6"/>
  <c r="Q636" i="6"/>
  <c r="R636" i="6"/>
  <c r="Q637" i="6"/>
  <c r="R637" i="6"/>
  <c r="Q638" i="6"/>
  <c r="R638" i="6"/>
  <c r="Q639" i="6"/>
  <c r="R639" i="6"/>
  <c r="Q640" i="6"/>
  <c r="R640" i="6"/>
  <c r="Q641" i="6"/>
  <c r="R641" i="6"/>
  <c r="Q642" i="6"/>
  <c r="R642" i="6"/>
  <c r="Q643" i="6"/>
  <c r="R643" i="6"/>
  <c r="Q644" i="6"/>
  <c r="R644" i="6"/>
  <c r="Q645" i="6"/>
  <c r="R645" i="6"/>
  <c r="Q646" i="6"/>
  <c r="R646" i="6"/>
  <c r="Q647" i="6"/>
  <c r="R647" i="6"/>
  <c r="Q648" i="6"/>
  <c r="R648" i="6"/>
  <c r="Q649" i="6"/>
  <c r="R649" i="6"/>
  <c r="Q650" i="6"/>
  <c r="R650" i="6"/>
  <c r="Q651" i="6"/>
  <c r="R651" i="6"/>
  <c r="Q652" i="6"/>
  <c r="R652" i="6"/>
  <c r="Q653" i="6"/>
  <c r="R653" i="6"/>
  <c r="Q654" i="6"/>
  <c r="R654" i="6"/>
  <c r="Q655" i="6"/>
  <c r="R655" i="6"/>
  <c r="Q656" i="6"/>
  <c r="R656" i="6"/>
  <c r="Q657" i="6"/>
  <c r="R657" i="6"/>
  <c r="Q658" i="6"/>
  <c r="R658" i="6"/>
  <c r="Q659" i="6"/>
  <c r="R659" i="6"/>
  <c r="Q660" i="6"/>
  <c r="R660" i="6"/>
  <c r="Q661" i="6"/>
  <c r="R661" i="6"/>
  <c r="Q662" i="6"/>
  <c r="R662" i="6"/>
  <c r="Q663" i="6"/>
  <c r="R663" i="6"/>
  <c r="Q664" i="6"/>
  <c r="R664" i="6"/>
  <c r="Q665" i="6"/>
  <c r="R665" i="6"/>
  <c r="Q666" i="6"/>
  <c r="R666" i="6"/>
  <c r="Q667" i="6"/>
  <c r="R667" i="6"/>
  <c r="Q668" i="6"/>
  <c r="R668" i="6"/>
  <c r="Q669" i="6"/>
  <c r="R669" i="6"/>
  <c r="Q670" i="6"/>
  <c r="R670" i="6"/>
  <c r="Q671" i="6"/>
  <c r="R671" i="6"/>
  <c r="Q672" i="6"/>
  <c r="R672" i="6"/>
  <c r="Q673" i="6"/>
  <c r="R673" i="6"/>
  <c r="Q674" i="6"/>
  <c r="R674" i="6"/>
  <c r="Q675" i="6"/>
  <c r="R675" i="6"/>
  <c r="Q676" i="6"/>
  <c r="R676" i="6"/>
  <c r="Q677" i="6"/>
  <c r="R677" i="6"/>
  <c r="Q678" i="6"/>
  <c r="R678" i="6"/>
  <c r="Q679" i="6"/>
  <c r="R679" i="6"/>
  <c r="Q680" i="6"/>
  <c r="R680" i="6"/>
  <c r="Q681" i="6"/>
  <c r="R681" i="6"/>
  <c r="Q682" i="6"/>
  <c r="R682" i="6"/>
  <c r="Q683" i="6"/>
  <c r="R683" i="6"/>
  <c r="Q684" i="6"/>
  <c r="R684" i="6"/>
  <c r="Q685" i="6"/>
  <c r="R685" i="6"/>
  <c r="Q686" i="6"/>
  <c r="R686" i="6"/>
  <c r="Q687" i="6"/>
  <c r="R687" i="6"/>
  <c r="Q688" i="6"/>
  <c r="R688" i="6"/>
  <c r="Q689" i="6"/>
  <c r="R689" i="6"/>
  <c r="Q690" i="6"/>
  <c r="R690" i="6"/>
  <c r="Q691" i="6"/>
  <c r="R691" i="6"/>
  <c r="Q692" i="6"/>
  <c r="R692" i="6"/>
  <c r="Q693" i="6"/>
  <c r="R693" i="6"/>
  <c r="Q694" i="6"/>
  <c r="R694" i="6"/>
  <c r="Q695" i="6"/>
  <c r="R695" i="6"/>
  <c r="Q696" i="6"/>
  <c r="R696" i="6"/>
  <c r="Q697" i="6"/>
  <c r="R697" i="6"/>
  <c r="Q698" i="6"/>
  <c r="R698" i="6"/>
  <c r="Q699" i="6"/>
  <c r="R699" i="6"/>
  <c r="Q700" i="6"/>
  <c r="R700" i="6"/>
  <c r="Q701" i="6"/>
  <c r="R701" i="6"/>
  <c r="Q702" i="6"/>
  <c r="R702" i="6"/>
  <c r="Q703" i="6"/>
  <c r="R703" i="6"/>
  <c r="Q704" i="6"/>
  <c r="R704" i="6"/>
  <c r="Q705" i="6"/>
  <c r="R705" i="6"/>
  <c r="Q706" i="6"/>
  <c r="R706" i="6"/>
  <c r="Q707" i="6"/>
  <c r="R707" i="6"/>
  <c r="Q708" i="6"/>
  <c r="R708" i="6"/>
  <c r="Q709" i="6"/>
  <c r="R709" i="6"/>
  <c r="Q710" i="6"/>
  <c r="R710" i="6"/>
  <c r="Q711" i="6"/>
  <c r="R711" i="6"/>
  <c r="Q712" i="6"/>
  <c r="R712" i="6"/>
  <c r="Q713" i="6"/>
  <c r="R713" i="6"/>
  <c r="Q714" i="6"/>
  <c r="R714" i="6"/>
  <c r="Q715" i="6"/>
  <c r="R715" i="6"/>
  <c r="Q716" i="6"/>
  <c r="R716" i="6"/>
  <c r="Q717" i="6"/>
  <c r="R717" i="6"/>
  <c r="Q718" i="6"/>
  <c r="R718" i="6"/>
  <c r="Q719" i="6"/>
  <c r="R719" i="6"/>
  <c r="Q720" i="6"/>
  <c r="R720" i="6"/>
  <c r="Q721" i="6"/>
  <c r="R721" i="6"/>
  <c r="Q722" i="6"/>
  <c r="R722" i="6"/>
  <c r="Q723" i="6"/>
  <c r="R723" i="6"/>
  <c r="Q724" i="6"/>
  <c r="R724" i="6"/>
  <c r="Q725" i="6"/>
  <c r="R725" i="6"/>
  <c r="Q726" i="6"/>
  <c r="R726" i="6"/>
  <c r="Q727" i="6"/>
  <c r="R727" i="6"/>
  <c r="Q728" i="6"/>
  <c r="R728" i="6"/>
  <c r="Q729" i="6"/>
  <c r="R729" i="6"/>
  <c r="Q730" i="6"/>
  <c r="R730" i="6"/>
  <c r="Q731" i="6"/>
  <c r="R731" i="6"/>
  <c r="Q732" i="6"/>
  <c r="R732" i="6"/>
  <c r="Q733" i="6"/>
  <c r="R733" i="6"/>
  <c r="Q734" i="6"/>
  <c r="R734" i="6"/>
  <c r="Q735" i="6"/>
  <c r="R735" i="6"/>
  <c r="Q736" i="6"/>
  <c r="R736" i="6"/>
  <c r="Q737" i="6"/>
  <c r="R737" i="6"/>
  <c r="Q738" i="6"/>
  <c r="R738" i="6"/>
  <c r="Q739" i="6"/>
  <c r="R739" i="6"/>
  <c r="Q740" i="6"/>
  <c r="R740" i="6"/>
  <c r="Q741" i="6"/>
  <c r="R741" i="6"/>
  <c r="Q742" i="6"/>
  <c r="R742" i="6"/>
  <c r="Q743" i="6"/>
  <c r="R743" i="6"/>
  <c r="Q744" i="6"/>
  <c r="R744" i="6"/>
  <c r="Q745" i="6"/>
  <c r="R745" i="6"/>
  <c r="Q746" i="6"/>
  <c r="R746" i="6"/>
  <c r="Q747" i="6"/>
  <c r="R747" i="6"/>
  <c r="Q748" i="6"/>
  <c r="R748" i="6"/>
  <c r="Q749" i="6"/>
  <c r="R749" i="6"/>
  <c r="Q750" i="6"/>
  <c r="R750" i="6"/>
  <c r="Q751" i="6"/>
  <c r="R751" i="6"/>
  <c r="Q752" i="6"/>
  <c r="R752" i="6"/>
  <c r="Q753" i="6"/>
  <c r="R753" i="6"/>
  <c r="Q754" i="6"/>
  <c r="R754" i="6"/>
  <c r="Q755" i="6"/>
  <c r="R755" i="6"/>
  <c r="Q756" i="6"/>
  <c r="R756" i="6"/>
  <c r="Q757" i="6"/>
  <c r="R757" i="6"/>
  <c r="Q758" i="6"/>
  <c r="R758" i="6"/>
  <c r="Q759" i="6"/>
  <c r="R759" i="6"/>
  <c r="Q760" i="6"/>
  <c r="R760" i="6"/>
  <c r="Q761" i="6"/>
  <c r="R761" i="6"/>
  <c r="Q762" i="6"/>
  <c r="R762" i="6"/>
  <c r="Q763" i="6"/>
  <c r="R763" i="6"/>
  <c r="Q764" i="6"/>
  <c r="R764" i="6"/>
  <c r="Q765" i="6"/>
  <c r="R765" i="6"/>
  <c r="Q766" i="6"/>
  <c r="R766" i="6"/>
  <c r="Q767" i="6"/>
  <c r="R767" i="6"/>
  <c r="Q768" i="6"/>
  <c r="R768" i="6"/>
  <c r="Q769" i="6"/>
  <c r="R769" i="6"/>
  <c r="Q770" i="6"/>
  <c r="R770" i="6"/>
  <c r="Q771" i="6"/>
  <c r="R771" i="6"/>
  <c r="Q772" i="6"/>
  <c r="R772" i="6"/>
  <c r="Q773" i="6"/>
  <c r="R773" i="6"/>
  <c r="Q774" i="6"/>
  <c r="R774" i="6"/>
  <c r="Q775" i="6"/>
  <c r="R775" i="6"/>
  <c r="Q776" i="6"/>
  <c r="R776" i="6"/>
  <c r="Q777" i="6"/>
  <c r="R777" i="6"/>
  <c r="Q778" i="6"/>
  <c r="R778" i="6"/>
  <c r="Q779" i="6"/>
  <c r="R779" i="6"/>
  <c r="Q780" i="6"/>
  <c r="R780" i="6"/>
  <c r="Q781" i="6"/>
  <c r="R781" i="6"/>
  <c r="Q782" i="6"/>
  <c r="R782" i="6"/>
  <c r="Q783" i="6"/>
  <c r="R783" i="6"/>
  <c r="Q784" i="6"/>
  <c r="R784" i="6"/>
  <c r="Q785" i="6"/>
  <c r="R785" i="6"/>
  <c r="Q786" i="6"/>
  <c r="R786" i="6"/>
  <c r="Q787" i="6"/>
  <c r="R787" i="6"/>
  <c r="Q788" i="6"/>
  <c r="R788" i="6"/>
  <c r="Q789" i="6"/>
  <c r="R789" i="6"/>
  <c r="Q790" i="6"/>
  <c r="R790" i="6"/>
  <c r="Q791" i="6"/>
  <c r="R791" i="6"/>
  <c r="Q792" i="6"/>
  <c r="R792" i="6"/>
  <c r="Q793" i="6"/>
  <c r="R793" i="6"/>
  <c r="Q794" i="6"/>
  <c r="R794" i="6"/>
  <c r="Q795" i="6"/>
  <c r="R795" i="6"/>
  <c r="Q796" i="6"/>
  <c r="R796" i="6"/>
  <c r="Q797" i="6"/>
  <c r="R797" i="6"/>
  <c r="Q798" i="6"/>
  <c r="R798" i="6"/>
  <c r="Q799" i="6"/>
  <c r="R799" i="6"/>
  <c r="Q800" i="6"/>
  <c r="R800" i="6"/>
  <c r="Q801" i="6"/>
  <c r="R801" i="6"/>
  <c r="Q802" i="6"/>
  <c r="R802" i="6"/>
  <c r="Q803" i="6"/>
  <c r="R803" i="6"/>
  <c r="Q804" i="6"/>
  <c r="R804" i="6"/>
  <c r="Q805" i="6"/>
  <c r="R805" i="6"/>
  <c r="Q806" i="6"/>
  <c r="R806" i="6"/>
  <c r="Q807" i="6"/>
  <c r="R807" i="6"/>
  <c r="Q808" i="6"/>
  <c r="R808" i="6"/>
  <c r="Q809" i="6"/>
  <c r="R809" i="6"/>
  <c r="Q810" i="6"/>
  <c r="R810" i="6"/>
  <c r="Q811" i="6"/>
  <c r="R811" i="6"/>
  <c r="Q812" i="6"/>
  <c r="R812" i="6"/>
  <c r="Q813" i="6"/>
  <c r="R813" i="6"/>
  <c r="Q814" i="6"/>
  <c r="R814" i="6"/>
  <c r="Q815" i="6"/>
  <c r="R815" i="6"/>
  <c r="Q816" i="6"/>
  <c r="R816" i="6"/>
  <c r="Q817" i="6"/>
  <c r="R817" i="6"/>
  <c r="Q818" i="6"/>
  <c r="R818" i="6"/>
  <c r="Q819" i="6"/>
  <c r="R819" i="6"/>
  <c r="Q820" i="6"/>
  <c r="R820" i="6"/>
  <c r="Q821" i="6"/>
  <c r="R821" i="6"/>
  <c r="Q822" i="6"/>
  <c r="R822" i="6"/>
  <c r="Q823" i="6"/>
  <c r="R823" i="6"/>
  <c r="Q824" i="6"/>
  <c r="R824" i="6"/>
  <c r="Q825" i="6"/>
  <c r="R825" i="6"/>
  <c r="Q826" i="6"/>
  <c r="R826" i="6"/>
  <c r="Q827" i="6"/>
  <c r="R827" i="6"/>
  <c r="Q828" i="6"/>
  <c r="R828" i="6"/>
  <c r="Q829" i="6"/>
  <c r="R829" i="6"/>
  <c r="Q830" i="6"/>
  <c r="R830" i="6"/>
  <c r="Q831" i="6"/>
  <c r="R831" i="6"/>
  <c r="Q832" i="6"/>
  <c r="R832" i="6"/>
  <c r="Q833" i="6"/>
  <c r="R833" i="6"/>
  <c r="Q834" i="6"/>
  <c r="R834" i="6"/>
  <c r="Q835" i="6"/>
  <c r="R835" i="6"/>
  <c r="Q836" i="6"/>
  <c r="R836" i="6"/>
  <c r="Q837" i="6"/>
  <c r="R837" i="6"/>
  <c r="Q838" i="6"/>
  <c r="R838" i="6"/>
  <c r="Q839" i="6"/>
  <c r="R839" i="6"/>
  <c r="Q840" i="6"/>
  <c r="R840" i="6"/>
  <c r="Q841" i="6"/>
  <c r="R841" i="6"/>
  <c r="Q842" i="6"/>
  <c r="R842" i="6"/>
  <c r="Q843" i="6"/>
  <c r="R843" i="6"/>
  <c r="Q844" i="6"/>
  <c r="R844" i="6"/>
  <c r="Q845" i="6"/>
  <c r="R845" i="6"/>
  <c r="Q846" i="6"/>
  <c r="R846" i="6"/>
  <c r="Q847" i="6"/>
  <c r="R847" i="6"/>
  <c r="Q848" i="6"/>
  <c r="R848" i="6"/>
  <c r="Q849" i="6"/>
  <c r="R849" i="6"/>
  <c r="Q850" i="6"/>
  <c r="R850" i="6"/>
  <c r="Q851" i="6"/>
  <c r="R851" i="6"/>
  <c r="Q852" i="6"/>
  <c r="R852" i="6"/>
  <c r="Q853" i="6"/>
  <c r="R853" i="6"/>
  <c r="Q854" i="6"/>
  <c r="R854" i="6"/>
  <c r="Q855" i="6"/>
  <c r="R855" i="6"/>
  <c r="Q856" i="6"/>
  <c r="R856" i="6"/>
  <c r="Q857" i="6"/>
  <c r="R857" i="6"/>
  <c r="Q858" i="6"/>
  <c r="R858" i="6"/>
  <c r="Q859" i="6"/>
  <c r="R859" i="6"/>
  <c r="Q860" i="6"/>
  <c r="R860" i="6"/>
  <c r="Q861" i="6"/>
  <c r="R861" i="6"/>
  <c r="Q862" i="6"/>
  <c r="R862" i="6"/>
  <c r="Q863" i="6"/>
  <c r="R863" i="6"/>
  <c r="Q864" i="6"/>
  <c r="R864" i="6"/>
  <c r="Q865" i="6"/>
  <c r="R865" i="6"/>
  <c r="Q866" i="6"/>
  <c r="R866" i="6"/>
  <c r="Q867" i="6"/>
  <c r="R867" i="6"/>
  <c r="Q868" i="6"/>
  <c r="R868" i="6"/>
  <c r="Q869" i="6"/>
  <c r="R869" i="6"/>
  <c r="Q870" i="6"/>
  <c r="R870" i="6"/>
  <c r="Q871" i="6"/>
  <c r="R871" i="6"/>
  <c r="Q872" i="6"/>
  <c r="R872" i="6"/>
  <c r="Q873" i="6"/>
  <c r="R873" i="6"/>
  <c r="Q874" i="6"/>
  <c r="R874" i="6"/>
  <c r="Q875" i="6"/>
  <c r="R875" i="6"/>
  <c r="Q876" i="6"/>
  <c r="R876" i="6"/>
  <c r="Q877" i="6"/>
  <c r="R877" i="6"/>
  <c r="Q878" i="6"/>
  <c r="R878" i="6"/>
  <c r="Q879" i="6"/>
  <c r="R879" i="6"/>
  <c r="Q880" i="6"/>
  <c r="R880" i="6"/>
  <c r="Q881" i="6"/>
  <c r="R881" i="6"/>
  <c r="Q882" i="6"/>
  <c r="R882" i="6"/>
  <c r="Q883" i="6"/>
  <c r="R883" i="6"/>
  <c r="Q884" i="6"/>
  <c r="R884" i="6"/>
  <c r="Q885" i="6"/>
  <c r="R885" i="6"/>
  <c r="Q886" i="6"/>
  <c r="R886" i="6"/>
  <c r="Q887" i="6"/>
  <c r="R887" i="6"/>
  <c r="Q888" i="6"/>
  <c r="R888" i="6"/>
  <c r="Q889" i="6"/>
  <c r="R889" i="6"/>
  <c r="Q890" i="6"/>
  <c r="R890" i="6"/>
  <c r="Q891" i="6"/>
  <c r="R891" i="6"/>
  <c r="Q892" i="6"/>
  <c r="R892" i="6"/>
  <c r="Q893" i="6"/>
  <c r="R893" i="6"/>
  <c r="Q894" i="6"/>
  <c r="R894" i="6"/>
  <c r="Q895" i="6"/>
  <c r="R895" i="6"/>
  <c r="Q896" i="6"/>
  <c r="R896" i="6"/>
  <c r="Q897" i="6"/>
  <c r="R897" i="6"/>
  <c r="Q898" i="6"/>
  <c r="R898" i="6"/>
  <c r="Q899" i="6"/>
  <c r="R899" i="6"/>
  <c r="Q900" i="6"/>
  <c r="R900" i="6"/>
  <c r="Q901" i="6"/>
  <c r="R901" i="6"/>
  <c r="Q902" i="6"/>
  <c r="R902" i="6"/>
  <c r="Q903" i="6"/>
  <c r="R903" i="6"/>
  <c r="Q904" i="6"/>
  <c r="R904" i="6"/>
  <c r="Q905" i="6"/>
  <c r="R905" i="6"/>
  <c r="Q906" i="6"/>
  <c r="R906" i="6"/>
  <c r="Q907" i="6"/>
  <c r="R907" i="6"/>
  <c r="Q908" i="6"/>
  <c r="R908" i="6"/>
  <c r="Q909" i="6"/>
  <c r="R909" i="6"/>
  <c r="Q910" i="6"/>
  <c r="R910" i="6"/>
  <c r="Q911" i="6"/>
  <c r="R911" i="6"/>
  <c r="Q912" i="6"/>
  <c r="R912" i="6"/>
  <c r="Q913" i="6"/>
  <c r="R913" i="6"/>
  <c r="Q914" i="6"/>
  <c r="R914" i="6"/>
  <c r="Q915" i="6"/>
  <c r="R915" i="6"/>
  <c r="Q916" i="6"/>
  <c r="R916" i="6"/>
  <c r="Q917" i="6"/>
  <c r="R917" i="6"/>
  <c r="Q918" i="6"/>
  <c r="R918" i="6"/>
  <c r="Q919" i="6"/>
  <c r="R919" i="6"/>
  <c r="Q920" i="6"/>
  <c r="R920" i="6"/>
  <c r="Q921" i="6"/>
  <c r="R921" i="6"/>
  <c r="Q922" i="6"/>
  <c r="R922" i="6"/>
  <c r="Q923" i="6"/>
  <c r="R923" i="6"/>
  <c r="Q924" i="6"/>
  <c r="R924" i="6"/>
  <c r="Q925" i="6"/>
  <c r="R925" i="6"/>
  <c r="Q926" i="6"/>
  <c r="R926" i="6"/>
  <c r="Q927" i="6"/>
  <c r="R927" i="6"/>
  <c r="Q928" i="6"/>
  <c r="R928" i="6"/>
  <c r="Q929" i="6"/>
  <c r="R929" i="6"/>
  <c r="Q930" i="6"/>
  <c r="R930" i="6"/>
  <c r="Q931" i="6"/>
  <c r="R931" i="6"/>
  <c r="Q932" i="6"/>
  <c r="R932" i="6"/>
  <c r="Q933" i="6"/>
  <c r="R933" i="6"/>
  <c r="Q934" i="6"/>
  <c r="R934" i="6"/>
  <c r="Q935" i="6"/>
  <c r="R935" i="6"/>
  <c r="Q936" i="6"/>
  <c r="R936" i="6"/>
  <c r="Q937" i="6"/>
  <c r="R937" i="6"/>
  <c r="Q938" i="6"/>
  <c r="R938" i="6"/>
  <c r="Q939" i="6"/>
  <c r="R939" i="6"/>
  <c r="Q940" i="6"/>
  <c r="R940" i="6"/>
  <c r="Q941" i="6"/>
  <c r="R941" i="6"/>
  <c r="Q942" i="6"/>
  <c r="R942" i="6"/>
  <c r="Q943" i="6"/>
  <c r="R943" i="6"/>
  <c r="Q944" i="6"/>
  <c r="R944" i="6"/>
  <c r="Q945" i="6"/>
  <c r="R945" i="6"/>
  <c r="Q946" i="6"/>
  <c r="R946" i="6"/>
  <c r="Q947" i="6"/>
  <c r="R947" i="6"/>
  <c r="Q948" i="6"/>
  <c r="R948" i="6"/>
  <c r="Q949" i="6"/>
  <c r="R949" i="6"/>
  <c r="Q950" i="6"/>
  <c r="R950" i="6"/>
  <c r="Q951" i="6"/>
  <c r="R951" i="6"/>
  <c r="Q952" i="6"/>
  <c r="R952" i="6"/>
  <c r="Q953" i="6"/>
  <c r="R953" i="6"/>
  <c r="Q954" i="6"/>
  <c r="R954" i="6"/>
  <c r="Q955" i="6"/>
  <c r="R955" i="6"/>
  <c r="Q956" i="6"/>
  <c r="R956" i="6"/>
  <c r="Q957" i="6"/>
  <c r="R957" i="6"/>
  <c r="Q958" i="6"/>
  <c r="R958" i="6"/>
  <c r="Q959" i="6"/>
  <c r="R959" i="6"/>
  <c r="Q960" i="6"/>
  <c r="R960" i="6"/>
  <c r="Q961" i="6"/>
  <c r="R961" i="6"/>
  <c r="Q962" i="6"/>
  <c r="R962" i="6"/>
  <c r="Q963" i="6"/>
  <c r="R963" i="6"/>
  <c r="Q964" i="6"/>
  <c r="R964" i="6"/>
  <c r="Q965" i="6"/>
  <c r="R965" i="6"/>
  <c r="Q966" i="6"/>
  <c r="R966" i="6"/>
  <c r="Q967" i="6"/>
  <c r="R967" i="6"/>
  <c r="Q968" i="6"/>
  <c r="R968" i="6"/>
  <c r="Q969" i="6"/>
  <c r="R969" i="6"/>
  <c r="Q970" i="6"/>
  <c r="R970" i="6"/>
  <c r="Q971" i="6"/>
  <c r="R971" i="6"/>
  <c r="Q972" i="6"/>
  <c r="R972" i="6"/>
  <c r="Q973" i="6"/>
  <c r="R973" i="6"/>
  <c r="Q974" i="6"/>
  <c r="R974" i="6"/>
  <c r="Q975" i="6"/>
  <c r="R975" i="6"/>
  <c r="Q976" i="6"/>
  <c r="R976" i="6"/>
  <c r="Q977" i="6"/>
  <c r="R977" i="6"/>
  <c r="Q978" i="6"/>
  <c r="R978" i="6"/>
  <c r="Q979" i="6"/>
  <c r="R979" i="6"/>
  <c r="Q980" i="6"/>
  <c r="R980" i="6"/>
  <c r="Q981" i="6"/>
  <c r="R981" i="6"/>
  <c r="Q982" i="6"/>
  <c r="R982" i="6"/>
  <c r="Q983" i="6"/>
  <c r="R983" i="6"/>
  <c r="Q984" i="6"/>
  <c r="R984" i="6"/>
  <c r="Q985" i="6"/>
  <c r="R985" i="6"/>
  <c r="Q986" i="6"/>
  <c r="R986" i="6"/>
  <c r="Q987" i="6"/>
  <c r="R987" i="6"/>
  <c r="Q988" i="6"/>
  <c r="R988" i="6"/>
  <c r="Q989" i="6"/>
  <c r="R989" i="6"/>
  <c r="Q990" i="6"/>
  <c r="R990" i="6"/>
  <c r="Q991" i="6"/>
  <c r="R991" i="6"/>
  <c r="Q992" i="6"/>
  <c r="R992" i="6"/>
  <c r="Q993" i="6"/>
  <c r="R993" i="6"/>
  <c r="Q994" i="6"/>
  <c r="R994" i="6"/>
  <c r="Q995" i="6"/>
  <c r="R995" i="6"/>
  <c r="Q996" i="6"/>
  <c r="R996" i="6"/>
  <c r="Q997" i="6"/>
  <c r="R997" i="6"/>
  <c r="Q998" i="6"/>
  <c r="R998" i="6"/>
  <c r="Q999" i="6"/>
  <c r="R999" i="6"/>
  <c r="Q1000" i="6"/>
  <c r="R1000" i="6"/>
  <c r="Q1001" i="6"/>
  <c r="R1001" i="6"/>
  <c r="R2" i="6"/>
  <c r="Q2" i="6"/>
  <c r="P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P991" i="6"/>
  <c r="P992" i="6"/>
  <c r="P993" i="6"/>
  <c r="P994" i="6"/>
  <c r="P995" i="6"/>
  <c r="P996" i="6"/>
  <c r="P997" i="6"/>
  <c r="P998" i="6"/>
  <c r="P999" i="6"/>
  <c r="P1000" i="6"/>
  <c r="P1001" i="6"/>
  <c r="P2" i="6"/>
  <c r="G8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2" i="6"/>
  <c r="AJ15" i="6"/>
  <c r="AE3" i="6"/>
  <c r="AF3" i="6"/>
  <c r="AE4" i="6"/>
  <c r="AF4" i="6"/>
  <c r="AE5" i="6"/>
  <c r="AF5" i="6"/>
  <c r="AE6" i="6"/>
  <c r="AF6" i="6"/>
  <c r="AE7" i="6"/>
  <c r="AF7" i="6"/>
  <c r="AE8" i="6"/>
  <c r="AF8" i="6"/>
  <c r="AE9" i="6"/>
  <c r="AF9" i="6"/>
  <c r="AE10" i="6"/>
  <c r="AF10" i="6"/>
  <c r="AE11" i="6"/>
  <c r="AF11" i="6"/>
  <c r="AE12" i="6"/>
  <c r="AF12" i="6"/>
  <c r="AE13" i="6"/>
  <c r="AF13" i="6"/>
  <c r="AE14" i="6"/>
  <c r="AF14" i="6"/>
  <c r="AE15" i="6"/>
  <c r="AF15" i="6"/>
  <c r="AE16" i="6"/>
  <c r="AF16" i="6"/>
  <c r="AE17" i="6"/>
  <c r="AF17" i="6"/>
  <c r="AE18" i="6"/>
  <c r="AF18" i="6"/>
  <c r="AE19" i="6"/>
  <c r="AF19" i="6"/>
  <c r="AE20" i="6"/>
  <c r="AF20" i="6"/>
  <c r="AE21" i="6"/>
  <c r="AF21" i="6"/>
  <c r="AE22" i="6"/>
  <c r="AF22" i="6"/>
  <c r="AE23" i="6"/>
  <c r="AF23" i="6"/>
  <c r="AE24" i="6"/>
  <c r="AF24" i="6"/>
  <c r="AE25" i="6"/>
  <c r="AF25" i="6"/>
  <c r="AE26" i="6"/>
  <c r="AF26" i="6"/>
  <c r="AE27" i="6"/>
  <c r="AF27" i="6"/>
  <c r="AE28" i="6"/>
  <c r="AF28" i="6"/>
  <c r="AE29" i="6"/>
  <c r="AF29" i="6"/>
  <c r="AE30" i="6"/>
  <c r="AF30" i="6"/>
  <c r="AE31" i="6"/>
  <c r="AF31" i="6"/>
  <c r="AE32" i="6"/>
  <c r="AF32" i="6"/>
  <c r="AE33" i="6"/>
  <c r="AF33" i="6"/>
  <c r="AE34" i="6"/>
  <c r="AF34" i="6"/>
  <c r="AE35" i="6"/>
  <c r="AF35" i="6"/>
  <c r="AE36" i="6"/>
  <c r="AF36" i="6"/>
  <c r="AE37" i="6"/>
  <c r="AF37" i="6"/>
  <c r="AE38" i="6"/>
  <c r="AF38" i="6"/>
  <c r="AE39" i="6"/>
  <c r="AF39" i="6"/>
  <c r="AE40" i="6"/>
  <c r="AF40" i="6"/>
  <c r="AE41" i="6"/>
  <c r="AF41" i="6"/>
  <c r="AE42" i="6"/>
  <c r="AF42" i="6"/>
  <c r="AE43" i="6"/>
  <c r="AF43" i="6"/>
  <c r="AE44" i="6"/>
  <c r="AF44" i="6"/>
  <c r="AE45" i="6"/>
  <c r="AF45" i="6"/>
  <c r="AE46" i="6"/>
  <c r="AF46" i="6"/>
  <c r="AE47" i="6"/>
  <c r="AF47" i="6"/>
  <c r="AE48" i="6"/>
  <c r="AF48" i="6"/>
  <c r="AE49" i="6"/>
  <c r="AF49" i="6"/>
  <c r="AE50" i="6"/>
  <c r="AF50" i="6"/>
  <c r="AE51" i="6"/>
  <c r="AF51" i="6"/>
  <c r="AE52" i="6"/>
  <c r="AF52" i="6"/>
  <c r="AE53" i="6"/>
  <c r="AF53" i="6"/>
  <c r="AE54" i="6"/>
  <c r="AF54" i="6"/>
  <c r="AE55" i="6"/>
  <c r="AF55" i="6"/>
  <c r="AE56" i="6"/>
  <c r="AF56" i="6"/>
  <c r="AE57" i="6"/>
  <c r="AF57" i="6"/>
  <c r="AE58" i="6"/>
  <c r="AF58" i="6"/>
  <c r="AE59" i="6"/>
  <c r="AF59" i="6"/>
  <c r="AE60" i="6"/>
  <c r="AF60" i="6"/>
  <c r="AE61" i="6"/>
  <c r="AF61" i="6"/>
  <c r="AE62" i="6"/>
  <c r="AF62" i="6"/>
  <c r="AE63" i="6"/>
  <c r="AF63" i="6"/>
  <c r="AE64" i="6"/>
  <c r="AF64" i="6"/>
  <c r="AE65" i="6"/>
  <c r="AF65" i="6"/>
  <c r="AE66" i="6"/>
  <c r="AF66" i="6"/>
  <c r="AE67" i="6"/>
  <c r="AF67" i="6"/>
  <c r="AE68" i="6"/>
  <c r="AF68" i="6"/>
  <c r="AE69" i="6"/>
  <c r="AF69" i="6"/>
  <c r="AE70" i="6"/>
  <c r="AF70" i="6"/>
  <c r="AE71" i="6"/>
  <c r="AF71" i="6"/>
  <c r="AE72" i="6"/>
  <c r="AF72" i="6"/>
  <c r="AE73" i="6"/>
  <c r="AF73" i="6"/>
  <c r="AE74" i="6"/>
  <c r="AF74" i="6"/>
  <c r="AE75" i="6"/>
  <c r="AF75" i="6"/>
  <c r="AE76" i="6"/>
  <c r="AF76" i="6"/>
  <c r="AE77" i="6"/>
  <c r="AF77" i="6"/>
  <c r="AE78" i="6"/>
  <c r="AF78" i="6"/>
  <c r="AE79" i="6"/>
  <c r="AF79" i="6"/>
  <c r="AE80" i="6"/>
  <c r="AF80" i="6"/>
  <c r="AE81" i="6"/>
  <c r="AF81" i="6"/>
  <c r="AE82" i="6"/>
  <c r="AF82" i="6"/>
  <c r="AE83" i="6"/>
  <c r="AF83" i="6"/>
  <c r="AE84" i="6"/>
  <c r="AF84" i="6"/>
  <c r="AE85" i="6"/>
  <c r="AF85" i="6"/>
  <c r="AE86" i="6"/>
  <c r="AF86" i="6"/>
  <c r="AE87" i="6"/>
  <c r="AF87" i="6"/>
  <c r="AE88" i="6"/>
  <c r="AF88" i="6"/>
  <c r="AE89" i="6"/>
  <c r="AF89" i="6"/>
  <c r="AE90" i="6"/>
  <c r="AF90" i="6"/>
  <c r="AE91" i="6"/>
  <c r="AF91" i="6"/>
  <c r="AE92" i="6"/>
  <c r="AF92" i="6"/>
  <c r="AE93" i="6"/>
  <c r="AF93" i="6"/>
  <c r="AE94" i="6"/>
  <c r="AF94" i="6"/>
  <c r="AE95" i="6"/>
  <c r="AF95" i="6"/>
  <c r="AE96" i="6"/>
  <c r="AF96" i="6"/>
  <c r="AE97" i="6"/>
  <c r="AF97" i="6"/>
  <c r="AE98" i="6"/>
  <c r="AF98" i="6"/>
  <c r="AE99" i="6"/>
  <c r="AF99" i="6"/>
  <c r="AE100" i="6"/>
  <c r="AF100" i="6"/>
  <c r="AE101" i="6"/>
  <c r="AF101" i="6"/>
  <c r="AE102" i="6"/>
  <c r="AF102" i="6"/>
  <c r="AE103" i="6"/>
  <c r="AF103" i="6"/>
  <c r="AE104" i="6"/>
  <c r="AF104" i="6"/>
  <c r="AE105" i="6"/>
  <c r="AF105" i="6"/>
  <c r="AE106" i="6"/>
  <c r="AF106" i="6"/>
  <c r="AE107" i="6"/>
  <c r="AF107" i="6"/>
  <c r="AE108" i="6"/>
  <c r="AF108" i="6"/>
  <c r="AE109" i="6"/>
  <c r="AF109" i="6"/>
  <c r="AE110" i="6"/>
  <c r="AF110" i="6"/>
  <c r="AE111" i="6"/>
  <c r="AF111" i="6"/>
  <c r="AE112" i="6"/>
  <c r="AF112" i="6"/>
  <c r="AE113" i="6"/>
  <c r="AF113" i="6"/>
  <c r="AE114" i="6"/>
  <c r="AF114" i="6"/>
  <c r="AE115" i="6"/>
  <c r="AF115" i="6"/>
  <c r="AE116" i="6"/>
  <c r="AF116" i="6"/>
  <c r="AE117" i="6"/>
  <c r="AF117" i="6"/>
  <c r="AE118" i="6"/>
  <c r="AF118" i="6"/>
  <c r="AE119" i="6"/>
  <c r="AF119" i="6"/>
  <c r="AE120" i="6"/>
  <c r="AF120" i="6"/>
  <c r="AE121" i="6"/>
  <c r="AF121" i="6"/>
  <c r="AE122" i="6"/>
  <c r="AF122" i="6"/>
  <c r="AE123" i="6"/>
  <c r="AF123" i="6"/>
  <c r="AE124" i="6"/>
  <c r="AF124" i="6"/>
  <c r="AE125" i="6"/>
  <c r="AF125" i="6"/>
  <c r="AE126" i="6"/>
  <c r="AF126" i="6"/>
  <c r="AE127" i="6"/>
  <c r="AF127" i="6"/>
  <c r="AE128" i="6"/>
  <c r="AF128" i="6"/>
  <c r="AE129" i="6"/>
  <c r="AF129" i="6"/>
  <c r="AE130" i="6"/>
  <c r="AF130" i="6"/>
  <c r="AE131" i="6"/>
  <c r="AF131" i="6"/>
  <c r="AE132" i="6"/>
  <c r="AF132" i="6"/>
  <c r="AE133" i="6"/>
  <c r="AF133" i="6"/>
  <c r="AE134" i="6"/>
  <c r="AF134" i="6"/>
  <c r="AE135" i="6"/>
  <c r="AF135" i="6"/>
  <c r="AE136" i="6"/>
  <c r="AF136" i="6"/>
  <c r="AE137" i="6"/>
  <c r="AF137" i="6"/>
  <c r="AE138" i="6"/>
  <c r="AF138" i="6"/>
  <c r="AE139" i="6"/>
  <c r="AF139" i="6"/>
  <c r="AE140" i="6"/>
  <c r="AF140" i="6"/>
  <c r="AE141" i="6"/>
  <c r="AF141" i="6"/>
  <c r="AE142" i="6"/>
  <c r="AF142" i="6"/>
  <c r="AE143" i="6"/>
  <c r="AF143" i="6"/>
  <c r="AE144" i="6"/>
  <c r="AF144" i="6"/>
  <c r="AE145" i="6"/>
  <c r="AF145" i="6"/>
  <c r="AE146" i="6"/>
  <c r="AF146" i="6"/>
  <c r="AE147" i="6"/>
  <c r="AF147" i="6"/>
  <c r="AE148" i="6"/>
  <c r="AF148" i="6"/>
  <c r="AE149" i="6"/>
  <c r="AF149" i="6"/>
  <c r="AE150" i="6"/>
  <c r="AF150" i="6"/>
  <c r="AE151" i="6"/>
  <c r="AF151" i="6"/>
  <c r="AE152" i="6"/>
  <c r="AF152" i="6"/>
  <c r="AE153" i="6"/>
  <c r="AF153" i="6"/>
  <c r="AE154" i="6"/>
  <c r="AF154" i="6"/>
  <c r="AE155" i="6"/>
  <c r="AF155" i="6"/>
  <c r="AE156" i="6"/>
  <c r="AF156" i="6"/>
  <c r="AE157" i="6"/>
  <c r="AF157" i="6"/>
  <c r="AE158" i="6"/>
  <c r="AF158" i="6"/>
  <c r="AE159" i="6"/>
  <c r="AF159" i="6"/>
  <c r="AE160" i="6"/>
  <c r="AF160" i="6"/>
  <c r="AE161" i="6"/>
  <c r="AF161" i="6"/>
  <c r="AE162" i="6"/>
  <c r="AF162" i="6"/>
  <c r="AE163" i="6"/>
  <c r="AF163" i="6"/>
  <c r="AE164" i="6"/>
  <c r="AF164" i="6"/>
  <c r="AE165" i="6"/>
  <c r="AF165" i="6"/>
  <c r="AE166" i="6"/>
  <c r="AF166" i="6"/>
  <c r="AE167" i="6"/>
  <c r="AF167" i="6"/>
  <c r="AE168" i="6"/>
  <c r="AF168" i="6"/>
  <c r="AE169" i="6"/>
  <c r="AF169" i="6"/>
  <c r="AE170" i="6"/>
  <c r="AF170" i="6"/>
  <c r="AE171" i="6"/>
  <c r="AF171" i="6"/>
  <c r="AE172" i="6"/>
  <c r="AF172" i="6"/>
  <c r="AE173" i="6"/>
  <c r="AF173" i="6"/>
  <c r="AE174" i="6"/>
  <c r="AF174" i="6"/>
  <c r="AE175" i="6"/>
  <c r="AF175" i="6"/>
  <c r="AE176" i="6"/>
  <c r="AF176" i="6"/>
  <c r="AE177" i="6"/>
  <c r="AF177" i="6"/>
  <c r="AE178" i="6"/>
  <c r="AF178" i="6"/>
  <c r="AE179" i="6"/>
  <c r="AF179" i="6"/>
  <c r="AE180" i="6"/>
  <c r="AF180" i="6"/>
  <c r="AE181" i="6"/>
  <c r="AF181" i="6"/>
  <c r="AE182" i="6"/>
  <c r="AF182" i="6"/>
  <c r="AE183" i="6"/>
  <c r="AF183" i="6"/>
  <c r="AE184" i="6"/>
  <c r="AF184" i="6"/>
  <c r="AE185" i="6"/>
  <c r="AF185" i="6"/>
  <c r="AE186" i="6"/>
  <c r="AF186" i="6"/>
  <c r="AE187" i="6"/>
  <c r="AF187" i="6"/>
  <c r="AE188" i="6"/>
  <c r="AF188" i="6"/>
  <c r="AE189" i="6"/>
  <c r="AF189" i="6"/>
  <c r="AE190" i="6"/>
  <c r="AF190" i="6"/>
  <c r="AE191" i="6"/>
  <c r="AF191" i="6"/>
  <c r="AE192" i="6"/>
  <c r="AF192" i="6"/>
  <c r="AE193" i="6"/>
  <c r="AF193" i="6"/>
  <c r="AE194" i="6"/>
  <c r="AF194" i="6"/>
  <c r="AE195" i="6"/>
  <c r="AF195" i="6"/>
  <c r="AE196" i="6"/>
  <c r="AF196" i="6"/>
  <c r="AE197" i="6"/>
  <c r="AF197" i="6"/>
  <c r="AE198" i="6"/>
  <c r="AF198" i="6"/>
  <c r="AE199" i="6"/>
  <c r="AF199" i="6"/>
  <c r="AE200" i="6"/>
  <c r="AF200" i="6"/>
  <c r="AE201" i="6"/>
  <c r="AF201" i="6"/>
  <c r="AE202" i="6"/>
  <c r="AF202" i="6"/>
  <c r="AE203" i="6"/>
  <c r="AF203" i="6"/>
  <c r="AE204" i="6"/>
  <c r="AF204" i="6"/>
  <c r="AE205" i="6"/>
  <c r="AF205" i="6"/>
  <c r="AE206" i="6"/>
  <c r="AF206" i="6"/>
  <c r="AE207" i="6"/>
  <c r="AF207" i="6"/>
  <c r="AE208" i="6"/>
  <c r="AF208" i="6"/>
  <c r="AE209" i="6"/>
  <c r="AF209" i="6"/>
  <c r="AE210" i="6"/>
  <c r="AF210" i="6"/>
  <c r="AE211" i="6"/>
  <c r="AF211" i="6"/>
  <c r="AE212" i="6"/>
  <c r="AF212" i="6"/>
  <c r="AE213" i="6"/>
  <c r="AF213" i="6"/>
  <c r="AE214" i="6"/>
  <c r="AF214" i="6"/>
  <c r="AE215" i="6"/>
  <c r="AF215" i="6"/>
  <c r="AE216" i="6"/>
  <c r="AF216" i="6"/>
  <c r="AE217" i="6"/>
  <c r="AF217" i="6"/>
  <c r="AE218" i="6"/>
  <c r="AF218" i="6"/>
  <c r="AE219" i="6"/>
  <c r="AF219" i="6"/>
  <c r="AE220" i="6"/>
  <c r="AF220" i="6"/>
  <c r="AE221" i="6"/>
  <c r="AF221" i="6"/>
  <c r="AE222" i="6"/>
  <c r="AF222" i="6"/>
  <c r="AE223" i="6"/>
  <c r="AF223" i="6"/>
  <c r="AE224" i="6"/>
  <c r="AF224" i="6"/>
  <c r="AE225" i="6"/>
  <c r="AF225" i="6"/>
  <c r="AE226" i="6"/>
  <c r="AF226" i="6"/>
  <c r="AE227" i="6"/>
  <c r="AF227" i="6"/>
  <c r="AE228" i="6"/>
  <c r="AF228" i="6"/>
  <c r="AE229" i="6"/>
  <c r="AF229" i="6"/>
  <c r="AE230" i="6"/>
  <c r="AF230" i="6"/>
  <c r="AE231" i="6"/>
  <c r="AF231" i="6"/>
  <c r="AE232" i="6"/>
  <c r="AF232" i="6"/>
  <c r="AE233" i="6"/>
  <c r="AF233" i="6"/>
  <c r="AE234" i="6"/>
  <c r="AF234" i="6"/>
  <c r="AE235" i="6"/>
  <c r="AF235" i="6"/>
  <c r="AE236" i="6"/>
  <c r="AF236" i="6"/>
  <c r="AE237" i="6"/>
  <c r="AF237" i="6"/>
  <c r="AE238" i="6"/>
  <c r="AF238" i="6"/>
  <c r="AE239" i="6"/>
  <c r="AF239" i="6"/>
  <c r="AE240" i="6"/>
  <c r="AF240" i="6"/>
  <c r="AE241" i="6"/>
  <c r="AF241" i="6"/>
  <c r="AE242" i="6"/>
  <c r="AF242" i="6"/>
  <c r="AE243" i="6"/>
  <c r="AF243" i="6"/>
  <c r="AE244" i="6"/>
  <c r="AF244" i="6"/>
  <c r="AE245" i="6"/>
  <c r="AF245" i="6"/>
  <c r="AE246" i="6"/>
  <c r="AF246" i="6"/>
  <c r="AE247" i="6"/>
  <c r="AF247" i="6"/>
  <c r="AE248" i="6"/>
  <c r="AF248" i="6"/>
  <c r="AE249" i="6"/>
  <c r="AF249" i="6"/>
  <c r="AE250" i="6"/>
  <c r="AF250" i="6"/>
  <c r="AE251" i="6"/>
  <c r="AF251" i="6"/>
  <c r="AE252" i="6"/>
  <c r="AF252" i="6"/>
  <c r="AE253" i="6"/>
  <c r="AF253" i="6"/>
  <c r="AE254" i="6"/>
  <c r="AF254" i="6"/>
  <c r="AE255" i="6"/>
  <c r="AF255" i="6"/>
  <c r="AE256" i="6"/>
  <c r="AF256" i="6"/>
  <c r="AE257" i="6"/>
  <c r="AF257" i="6"/>
  <c r="AE258" i="6"/>
  <c r="AF258" i="6"/>
  <c r="AE259" i="6"/>
  <c r="AF259" i="6"/>
  <c r="AE260" i="6"/>
  <c r="AF260" i="6"/>
  <c r="AE261" i="6"/>
  <c r="AF261" i="6"/>
  <c r="AE262" i="6"/>
  <c r="AF262" i="6"/>
  <c r="AE263" i="6"/>
  <c r="AF263" i="6"/>
  <c r="AE264" i="6"/>
  <c r="AF264" i="6"/>
  <c r="AE265" i="6"/>
  <c r="AF265" i="6"/>
  <c r="AE266" i="6"/>
  <c r="AF266" i="6"/>
  <c r="AE267" i="6"/>
  <c r="AF267" i="6"/>
  <c r="AE268" i="6"/>
  <c r="AF268" i="6"/>
  <c r="AE269" i="6"/>
  <c r="AF269" i="6"/>
  <c r="AE270" i="6"/>
  <c r="AF270" i="6"/>
  <c r="AE271" i="6"/>
  <c r="AF271" i="6"/>
  <c r="AE272" i="6"/>
  <c r="AF272" i="6"/>
  <c r="AE273" i="6"/>
  <c r="AF273" i="6"/>
  <c r="AE274" i="6"/>
  <c r="AF274" i="6"/>
  <c r="AE275" i="6"/>
  <c r="AF275" i="6"/>
  <c r="AE276" i="6"/>
  <c r="AF276" i="6"/>
  <c r="AE277" i="6"/>
  <c r="AF277" i="6"/>
  <c r="AE278" i="6"/>
  <c r="AF278" i="6"/>
  <c r="AE279" i="6"/>
  <c r="AF279" i="6"/>
  <c r="AE280" i="6"/>
  <c r="AF280" i="6"/>
  <c r="AE281" i="6"/>
  <c r="AF281" i="6"/>
  <c r="AE282" i="6"/>
  <c r="AF282" i="6"/>
  <c r="AE283" i="6"/>
  <c r="AF283" i="6"/>
  <c r="AE284" i="6"/>
  <c r="AF284" i="6"/>
  <c r="AE285" i="6"/>
  <c r="AF285" i="6"/>
  <c r="AE286" i="6"/>
  <c r="AF286" i="6"/>
  <c r="AE287" i="6"/>
  <c r="AF287" i="6"/>
  <c r="AE288" i="6"/>
  <c r="AF288" i="6"/>
  <c r="AE289" i="6"/>
  <c r="AF289" i="6"/>
  <c r="AE290" i="6"/>
  <c r="AF290" i="6"/>
  <c r="AE291" i="6"/>
  <c r="AF291" i="6"/>
  <c r="AE292" i="6"/>
  <c r="AF292" i="6"/>
  <c r="AE293" i="6"/>
  <c r="AF293" i="6"/>
  <c r="AE294" i="6"/>
  <c r="AF294" i="6"/>
  <c r="AE295" i="6"/>
  <c r="AF295" i="6"/>
  <c r="AE296" i="6"/>
  <c r="AF296" i="6"/>
  <c r="AE297" i="6"/>
  <c r="AF297" i="6"/>
  <c r="AE298" i="6"/>
  <c r="AF298" i="6"/>
  <c r="AE299" i="6"/>
  <c r="AF299" i="6"/>
  <c r="AE300" i="6"/>
  <c r="AF300" i="6"/>
  <c r="AE301" i="6"/>
  <c r="AF301" i="6"/>
  <c r="AE302" i="6"/>
  <c r="AF302" i="6"/>
  <c r="AE303" i="6"/>
  <c r="AF303" i="6"/>
  <c r="AE304" i="6"/>
  <c r="AF304" i="6"/>
  <c r="AE305" i="6"/>
  <c r="AF305" i="6"/>
  <c r="AE306" i="6"/>
  <c r="AF306" i="6"/>
  <c r="AE307" i="6"/>
  <c r="AF307" i="6"/>
  <c r="AE308" i="6"/>
  <c r="AF308" i="6"/>
  <c r="AE309" i="6"/>
  <c r="AF309" i="6"/>
  <c r="AE310" i="6"/>
  <c r="AF310" i="6"/>
  <c r="AE311" i="6"/>
  <c r="AF311" i="6"/>
  <c r="AE312" i="6"/>
  <c r="AF312" i="6"/>
  <c r="AE313" i="6"/>
  <c r="AF313" i="6"/>
  <c r="AE314" i="6"/>
  <c r="AF314" i="6"/>
  <c r="AE315" i="6"/>
  <c r="AF315" i="6"/>
  <c r="AE316" i="6"/>
  <c r="AF316" i="6"/>
  <c r="AE317" i="6"/>
  <c r="AF317" i="6"/>
  <c r="AE318" i="6"/>
  <c r="AF318" i="6"/>
  <c r="AE319" i="6"/>
  <c r="AF319" i="6"/>
  <c r="AE320" i="6"/>
  <c r="AF320" i="6"/>
  <c r="AE321" i="6"/>
  <c r="AF321" i="6"/>
  <c r="AE322" i="6"/>
  <c r="AF322" i="6"/>
  <c r="AE323" i="6"/>
  <c r="AF323" i="6"/>
  <c r="AE324" i="6"/>
  <c r="AF324" i="6"/>
  <c r="AE325" i="6"/>
  <c r="AF325" i="6"/>
  <c r="AE326" i="6"/>
  <c r="AF326" i="6"/>
  <c r="AE327" i="6"/>
  <c r="AF327" i="6"/>
  <c r="AE328" i="6"/>
  <c r="AF328" i="6"/>
  <c r="AE329" i="6"/>
  <c r="AF329" i="6"/>
  <c r="AE330" i="6"/>
  <c r="AF330" i="6"/>
  <c r="AE331" i="6"/>
  <c r="AF331" i="6"/>
  <c r="AE332" i="6"/>
  <c r="AF332" i="6"/>
  <c r="AE333" i="6"/>
  <c r="AF333" i="6"/>
  <c r="AE334" i="6"/>
  <c r="AF334" i="6"/>
  <c r="AE335" i="6"/>
  <c r="AF335" i="6"/>
  <c r="AE336" i="6"/>
  <c r="AF336" i="6"/>
  <c r="AE337" i="6"/>
  <c r="AF337" i="6"/>
  <c r="AE338" i="6"/>
  <c r="AF338" i="6"/>
  <c r="AE339" i="6"/>
  <c r="AF339" i="6"/>
  <c r="AE340" i="6"/>
  <c r="AF340" i="6"/>
  <c r="AE341" i="6"/>
  <c r="AF341" i="6"/>
  <c r="AE342" i="6"/>
  <c r="AF342" i="6"/>
  <c r="AE343" i="6"/>
  <c r="AF343" i="6"/>
  <c r="AE344" i="6"/>
  <c r="AF344" i="6"/>
  <c r="AE345" i="6"/>
  <c r="AF345" i="6"/>
  <c r="AE346" i="6"/>
  <c r="AF346" i="6"/>
  <c r="AE347" i="6"/>
  <c r="AF347" i="6"/>
  <c r="AE348" i="6"/>
  <c r="AF348" i="6"/>
  <c r="AE349" i="6"/>
  <c r="AF349" i="6"/>
  <c r="AE350" i="6"/>
  <c r="AF350" i="6"/>
  <c r="AE351" i="6"/>
  <c r="AF351" i="6"/>
  <c r="AE352" i="6"/>
  <c r="AF352" i="6"/>
  <c r="AE353" i="6"/>
  <c r="AF353" i="6"/>
  <c r="AE354" i="6"/>
  <c r="AF354" i="6"/>
  <c r="AE355" i="6"/>
  <c r="AF355" i="6"/>
  <c r="AE356" i="6"/>
  <c r="AF356" i="6"/>
  <c r="AE357" i="6"/>
  <c r="AF357" i="6"/>
  <c r="AE358" i="6"/>
  <c r="AF358" i="6"/>
  <c r="AE359" i="6"/>
  <c r="AF359" i="6"/>
  <c r="AE360" i="6"/>
  <c r="AF360" i="6"/>
  <c r="AE361" i="6"/>
  <c r="AF361" i="6"/>
  <c r="AE362" i="6"/>
  <c r="AF362" i="6"/>
  <c r="AE363" i="6"/>
  <c r="AF363" i="6"/>
  <c r="AE364" i="6"/>
  <c r="AF364" i="6"/>
  <c r="AE365" i="6"/>
  <c r="AF365" i="6"/>
  <c r="AE366" i="6"/>
  <c r="AF366" i="6"/>
  <c r="AE367" i="6"/>
  <c r="AF367" i="6"/>
  <c r="AE368" i="6"/>
  <c r="AF368" i="6"/>
  <c r="AE369" i="6"/>
  <c r="AF369" i="6"/>
  <c r="AE370" i="6"/>
  <c r="AF370" i="6"/>
  <c r="AE371" i="6"/>
  <c r="AF371" i="6"/>
  <c r="AE372" i="6"/>
  <c r="AF372" i="6"/>
  <c r="AE373" i="6"/>
  <c r="AF373" i="6"/>
  <c r="AE374" i="6"/>
  <c r="AF374" i="6"/>
  <c r="AE375" i="6"/>
  <c r="AF375" i="6"/>
  <c r="AE376" i="6"/>
  <c r="AF376" i="6"/>
  <c r="AE377" i="6"/>
  <c r="AF377" i="6"/>
  <c r="AE378" i="6"/>
  <c r="AF378" i="6"/>
  <c r="AE379" i="6"/>
  <c r="AF379" i="6"/>
  <c r="AE380" i="6"/>
  <c r="AF380" i="6"/>
  <c r="AE381" i="6"/>
  <c r="AF381" i="6"/>
  <c r="AE382" i="6"/>
  <c r="AF382" i="6"/>
  <c r="AE383" i="6"/>
  <c r="AF383" i="6"/>
  <c r="AE384" i="6"/>
  <c r="AF384" i="6"/>
  <c r="AE385" i="6"/>
  <c r="AF385" i="6"/>
  <c r="AE386" i="6"/>
  <c r="AF386" i="6"/>
  <c r="AE387" i="6"/>
  <c r="AF387" i="6"/>
  <c r="AE388" i="6"/>
  <c r="AF388" i="6"/>
  <c r="AE389" i="6"/>
  <c r="AF389" i="6"/>
  <c r="AE390" i="6"/>
  <c r="AF390" i="6"/>
  <c r="AE391" i="6"/>
  <c r="AF391" i="6"/>
  <c r="AE392" i="6"/>
  <c r="AF392" i="6"/>
  <c r="AE393" i="6"/>
  <c r="AF393" i="6"/>
  <c r="AE394" i="6"/>
  <c r="AF394" i="6"/>
  <c r="AE395" i="6"/>
  <c r="AF395" i="6"/>
  <c r="AE396" i="6"/>
  <c r="AF396" i="6"/>
  <c r="AE397" i="6"/>
  <c r="AF397" i="6"/>
  <c r="AE398" i="6"/>
  <c r="AF398" i="6"/>
  <c r="AE399" i="6"/>
  <c r="AF399" i="6"/>
  <c r="AE400" i="6"/>
  <c r="AF400" i="6"/>
  <c r="AE401" i="6"/>
  <c r="AF401" i="6"/>
  <c r="AE402" i="6"/>
  <c r="AF402" i="6"/>
  <c r="AE403" i="6"/>
  <c r="AF403" i="6"/>
  <c r="AE404" i="6"/>
  <c r="AF404" i="6"/>
  <c r="AE405" i="6"/>
  <c r="AF405" i="6"/>
  <c r="AE406" i="6"/>
  <c r="AF406" i="6"/>
  <c r="AE407" i="6"/>
  <c r="AF407" i="6"/>
  <c r="AE408" i="6"/>
  <c r="AF408" i="6"/>
  <c r="AE409" i="6"/>
  <c r="AF409" i="6"/>
  <c r="AE410" i="6"/>
  <c r="AF410" i="6"/>
  <c r="AE411" i="6"/>
  <c r="AF411" i="6"/>
  <c r="AE412" i="6"/>
  <c r="AF412" i="6"/>
  <c r="AE413" i="6"/>
  <c r="AF413" i="6"/>
  <c r="AE414" i="6"/>
  <c r="AF414" i="6"/>
  <c r="AE415" i="6"/>
  <c r="AF415" i="6"/>
  <c r="AE416" i="6"/>
  <c r="AF416" i="6"/>
  <c r="AE417" i="6"/>
  <c r="AF417" i="6"/>
  <c r="AE418" i="6"/>
  <c r="AF418" i="6"/>
  <c r="AE419" i="6"/>
  <c r="AF419" i="6"/>
  <c r="AE420" i="6"/>
  <c r="AF420" i="6"/>
  <c r="AE421" i="6"/>
  <c r="AF421" i="6"/>
  <c r="AE422" i="6"/>
  <c r="AF422" i="6"/>
  <c r="AE423" i="6"/>
  <c r="AF423" i="6"/>
  <c r="AE424" i="6"/>
  <c r="AF424" i="6"/>
  <c r="AE425" i="6"/>
  <c r="AF425" i="6"/>
  <c r="AE426" i="6"/>
  <c r="AF426" i="6"/>
  <c r="AE427" i="6"/>
  <c r="AF427" i="6"/>
  <c r="AE428" i="6"/>
  <c r="AF428" i="6"/>
  <c r="AE429" i="6"/>
  <c r="AF429" i="6"/>
  <c r="AE430" i="6"/>
  <c r="AF430" i="6"/>
  <c r="AE431" i="6"/>
  <c r="AF431" i="6"/>
  <c r="AE432" i="6"/>
  <c r="AF432" i="6"/>
  <c r="AE433" i="6"/>
  <c r="AF433" i="6"/>
  <c r="AE434" i="6"/>
  <c r="AF434" i="6"/>
  <c r="AE435" i="6"/>
  <c r="AF435" i="6"/>
  <c r="AE436" i="6"/>
  <c r="AF436" i="6"/>
  <c r="AE437" i="6"/>
  <c r="AF437" i="6"/>
  <c r="AE438" i="6"/>
  <c r="AF438" i="6"/>
  <c r="AE439" i="6"/>
  <c r="AF439" i="6"/>
  <c r="AE440" i="6"/>
  <c r="AF440" i="6"/>
  <c r="AE441" i="6"/>
  <c r="AF441" i="6"/>
  <c r="AE442" i="6"/>
  <c r="AF442" i="6"/>
  <c r="AE443" i="6"/>
  <c r="AF443" i="6"/>
  <c r="AE444" i="6"/>
  <c r="AF444" i="6"/>
  <c r="AE445" i="6"/>
  <c r="AF445" i="6"/>
  <c r="AE446" i="6"/>
  <c r="AF446" i="6"/>
  <c r="AE447" i="6"/>
  <c r="AF447" i="6"/>
  <c r="AE448" i="6"/>
  <c r="AF448" i="6"/>
  <c r="AE449" i="6"/>
  <c r="AF449" i="6"/>
  <c r="AE450" i="6"/>
  <c r="AF450" i="6"/>
  <c r="AE451" i="6"/>
  <c r="AF451" i="6"/>
  <c r="AE452" i="6"/>
  <c r="AF452" i="6"/>
  <c r="AE453" i="6"/>
  <c r="AF453" i="6"/>
  <c r="AE454" i="6"/>
  <c r="AF454" i="6"/>
  <c r="AE455" i="6"/>
  <c r="AF455" i="6"/>
  <c r="AE456" i="6"/>
  <c r="AF456" i="6"/>
  <c r="AE457" i="6"/>
  <c r="AF457" i="6"/>
  <c r="AE458" i="6"/>
  <c r="AF458" i="6"/>
  <c r="AE459" i="6"/>
  <c r="AF459" i="6"/>
  <c r="AE460" i="6"/>
  <c r="AF460" i="6"/>
  <c r="AE461" i="6"/>
  <c r="AF461" i="6"/>
  <c r="AE462" i="6"/>
  <c r="AF462" i="6"/>
  <c r="AE463" i="6"/>
  <c r="AF463" i="6"/>
  <c r="AE464" i="6"/>
  <c r="AF464" i="6"/>
  <c r="AE465" i="6"/>
  <c r="AF465" i="6"/>
  <c r="AE466" i="6"/>
  <c r="AF466" i="6"/>
  <c r="AE467" i="6"/>
  <c r="AF467" i="6"/>
  <c r="AE468" i="6"/>
  <c r="AF468" i="6"/>
  <c r="AE469" i="6"/>
  <c r="AF469" i="6"/>
  <c r="AE470" i="6"/>
  <c r="AF470" i="6"/>
  <c r="AE471" i="6"/>
  <c r="AF471" i="6"/>
  <c r="AE472" i="6"/>
  <c r="AF472" i="6"/>
  <c r="AE473" i="6"/>
  <c r="AF473" i="6"/>
  <c r="AE474" i="6"/>
  <c r="AF474" i="6"/>
  <c r="AE475" i="6"/>
  <c r="AF475" i="6"/>
  <c r="AE476" i="6"/>
  <c r="AF476" i="6"/>
  <c r="AE477" i="6"/>
  <c r="AF477" i="6"/>
  <c r="AE478" i="6"/>
  <c r="AF478" i="6"/>
  <c r="AE479" i="6"/>
  <c r="AF479" i="6"/>
  <c r="AE480" i="6"/>
  <c r="AF480" i="6"/>
  <c r="AE481" i="6"/>
  <c r="AF481" i="6"/>
  <c r="AE482" i="6"/>
  <c r="AF482" i="6"/>
  <c r="AE483" i="6"/>
  <c r="AF483" i="6"/>
  <c r="AE484" i="6"/>
  <c r="AF484" i="6"/>
  <c r="AE485" i="6"/>
  <c r="AF485" i="6"/>
  <c r="AE486" i="6"/>
  <c r="AF486" i="6"/>
  <c r="AE487" i="6"/>
  <c r="AF487" i="6"/>
  <c r="AE488" i="6"/>
  <c r="AF488" i="6"/>
  <c r="AE489" i="6"/>
  <c r="AF489" i="6"/>
  <c r="AE490" i="6"/>
  <c r="AF490" i="6"/>
  <c r="AE491" i="6"/>
  <c r="AF491" i="6"/>
  <c r="AE492" i="6"/>
  <c r="AF492" i="6"/>
  <c r="AE493" i="6"/>
  <c r="AF493" i="6"/>
  <c r="AE494" i="6"/>
  <c r="AF494" i="6"/>
  <c r="AE495" i="6"/>
  <c r="AF495" i="6"/>
  <c r="AE496" i="6"/>
  <c r="AF496" i="6"/>
  <c r="AE497" i="6"/>
  <c r="AF497" i="6"/>
  <c r="AE498" i="6"/>
  <c r="AF498" i="6"/>
  <c r="AE499" i="6"/>
  <c r="AF499" i="6"/>
  <c r="AE500" i="6"/>
  <c r="AF500" i="6"/>
  <c r="AE501" i="6"/>
  <c r="AF501" i="6"/>
  <c r="AE502" i="6"/>
  <c r="AF502" i="6"/>
  <c r="AE503" i="6"/>
  <c r="AF503" i="6"/>
  <c r="AE504" i="6"/>
  <c r="AF504" i="6"/>
  <c r="AE505" i="6"/>
  <c r="AF505" i="6"/>
  <c r="AE506" i="6"/>
  <c r="AF506" i="6"/>
  <c r="AE507" i="6"/>
  <c r="AF507" i="6"/>
  <c r="AE508" i="6"/>
  <c r="AF508" i="6"/>
  <c r="AE509" i="6"/>
  <c r="AF509" i="6"/>
  <c r="AE510" i="6"/>
  <c r="AF510" i="6"/>
  <c r="AE511" i="6"/>
  <c r="AF511" i="6"/>
  <c r="AE512" i="6"/>
  <c r="AF512" i="6"/>
  <c r="AE513" i="6"/>
  <c r="AF513" i="6"/>
  <c r="AE514" i="6"/>
  <c r="AF514" i="6"/>
  <c r="AE515" i="6"/>
  <c r="AF515" i="6"/>
  <c r="AE516" i="6"/>
  <c r="AF516" i="6"/>
  <c r="AE517" i="6"/>
  <c r="AF517" i="6"/>
  <c r="AE518" i="6"/>
  <c r="AF518" i="6"/>
  <c r="AE519" i="6"/>
  <c r="AF519" i="6"/>
  <c r="AE520" i="6"/>
  <c r="AF520" i="6"/>
  <c r="AE521" i="6"/>
  <c r="AF521" i="6"/>
  <c r="AE522" i="6"/>
  <c r="AF522" i="6"/>
  <c r="AE523" i="6"/>
  <c r="AF523" i="6"/>
  <c r="AE524" i="6"/>
  <c r="AF524" i="6"/>
  <c r="AE525" i="6"/>
  <c r="AF525" i="6"/>
  <c r="AE526" i="6"/>
  <c r="AF526" i="6"/>
  <c r="AE527" i="6"/>
  <c r="AF527" i="6"/>
  <c r="AE528" i="6"/>
  <c r="AF528" i="6"/>
  <c r="AE529" i="6"/>
  <c r="AF529" i="6"/>
  <c r="AE530" i="6"/>
  <c r="AF530" i="6"/>
  <c r="AE531" i="6"/>
  <c r="AF531" i="6"/>
  <c r="AE532" i="6"/>
  <c r="AF532" i="6"/>
  <c r="AE533" i="6"/>
  <c r="AF533" i="6"/>
  <c r="AE534" i="6"/>
  <c r="AF534" i="6"/>
  <c r="AE535" i="6"/>
  <c r="AF535" i="6"/>
  <c r="AE536" i="6"/>
  <c r="AF536" i="6"/>
  <c r="AE537" i="6"/>
  <c r="AF537" i="6"/>
  <c r="AE538" i="6"/>
  <c r="AF538" i="6"/>
  <c r="AE539" i="6"/>
  <c r="AF539" i="6"/>
  <c r="AE540" i="6"/>
  <c r="AF540" i="6"/>
  <c r="AE541" i="6"/>
  <c r="AF541" i="6"/>
  <c r="AE542" i="6"/>
  <c r="AF542" i="6"/>
  <c r="AE543" i="6"/>
  <c r="AF543" i="6"/>
  <c r="AE544" i="6"/>
  <c r="AF544" i="6"/>
  <c r="AE545" i="6"/>
  <c r="AF545" i="6"/>
  <c r="AE546" i="6"/>
  <c r="AF546" i="6"/>
  <c r="AE547" i="6"/>
  <c r="AF547" i="6"/>
  <c r="AE548" i="6"/>
  <c r="AF548" i="6"/>
  <c r="AE549" i="6"/>
  <c r="AF549" i="6"/>
  <c r="AE550" i="6"/>
  <c r="AF550" i="6"/>
  <c r="AE551" i="6"/>
  <c r="AF551" i="6"/>
  <c r="AE552" i="6"/>
  <c r="AF552" i="6"/>
  <c r="AE553" i="6"/>
  <c r="AF553" i="6"/>
  <c r="AE554" i="6"/>
  <c r="AF554" i="6"/>
  <c r="AE555" i="6"/>
  <c r="AF555" i="6"/>
  <c r="AE556" i="6"/>
  <c r="AF556" i="6"/>
  <c r="AE557" i="6"/>
  <c r="AF557" i="6"/>
  <c r="AE558" i="6"/>
  <c r="AF558" i="6"/>
  <c r="AE559" i="6"/>
  <c r="AF559" i="6"/>
  <c r="AE560" i="6"/>
  <c r="AF560" i="6"/>
  <c r="AE561" i="6"/>
  <c r="AF561" i="6"/>
  <c r="AE562" i="6"/>
  <c r="AF562" i="6"/>
  <c r="AE563" i="6"/>
  <c r="AF563" i="6"/>
  <c r="AE564" i="6"/>
  <c r="AF564" i="6"/>
  <c r="AE565" i="6"/>
  <c r="AF565" i="6"/>
  <c r="AE566" i="6"/>
  <c r="AF566" i="6"/>
  <c r="AE567" i="6"/>
  <c r="AF567" i="6"/>
  <c r="AE568" i="6"/>
  <c r="AF568" i="6"/>
  <c r="AE569" i="6"/>
  <c r="AF569" i="6"/>
  <c r="AE570" i="6"/>
  <c r="AF570" i="6"/>
  <c r="AE571" i="6"/>
  <c r="AF571" i="6"/>
  <c r="AE572" i="6"/>
  <c r="AF572" i="6"/>
  <c r="AE573" i="6"/>
  <c r="AF573" i="6"/>
  <c r="AE574" i="6"/>
  <c r="AF574" i="6"/>
  <c r="AE575" i="6"/>
  <c r="AF575" i="6"/>
  <c r="AE576" i="6"/>
  <c r="AF576" i="6"/>
  <c r="AE577" i="6"/>
  <c r="AF577" i="6"/>
  <c r="AE578" i="6"/>
  <c r="AF578" i="6"/>
  <c r="AE579" i="6"/>
  <c r="AF579" i="6"/>
  <c r="AE580" i="6"/>
  <c r="AF580" i="6"/>
  <c r="AE581" i="6"/>
  <c r="AF581" i="6"/>
  <c r="AE582" i="6"/>
  <c r="AF582" i="6"/>
  <c r="AE583" i="6"/>
  <c r="AF583" i="6"/>
  <c r="AE584" i="6"/>
  <c r="AF584" i="6"/>
  <c r="AE585" i="6"/>
  <c r="AF585" i="6"/>
  <c r="AE586" i="6"/>
  <c r="AF586" i="6"/>
  <c r="AE587" i="6"/>
  <c r="AF587" i="6"/>
  <c r="AE588" i="6"/>
  <c r="AF588" i="6"/>
  <c r="AE589" i="6"/>
  <c r="AF589" i="6"/>
  <c r="AE590" i="6"/>
  <c r="AF590" i="6"/>
  <c r="AE591" i="6"/>
  <c r="AF591" i="6"/>
  <c r="AE592" i="6"/>
  <c r="AF592" i="6"/>
  <c r="AE593" i="6"/>
  <c r="AF593" i="6"/>
  <c r="AE594" i="6"/>
  <c r="AF594" i="6"/>
  <c r="AE595" i="6"/>
  <c r="AF595" i="6"/>
  <c r="AE596" i="6"/>
  <c r="AF596" i="6"/>
  <c r="AE597" i="6"/>
  <c r="AF597" i="6"/>
  <c r="AE598" i="6"/>
  <c r="AF598" i="6"/>
  <c r="AE599" i="6"/>
  <c r="AF599" i="6"/>
  <c r="AE600" i="6"/>
  <c r="AF600" i="6"/>
  <c r="AE601" i="6"/>
  <c r="AF601" i="6"/>
  <c r="AE602" i="6"/>
  <c r="AF602" i="6"/>
  <c r="AE603" i="6"/>
  <c r="AF603" i="6"/>
  <c r="AE604" i="6"/>
  <c r="AF604" i="6"/>
  <c r="AE605" i="6"/>
  <c r="AF605" i="6"/>
  <c r="AE606" i="6"/>
  <c r="AF606" i="6"/>
  <c r="AE607" i="6"/>
  <c r="AF607" i="6"/>
  <c r="AE608" i="6"/>
  <c r="AF608" i="6"/>
  <c r="AE609" i="6"/>
  <c r="AF609" i="6"/>
  <c r="AE610" i="6"/>
  <c r="AF610" i="6"/>
  <c r="AE611" i="6"/>
  <c r="AF611" i="6"/>
  <c r="AE612" i="6"/>
  <c r="AF612" i="6"/>
  <c r="AE613" i="6"/>
  <c r="AF613" i="6"/>
  <c r="AE614" i="6"/>
  <c r="AF614" i="6"/>
  <c r="AE615" i="6"/>
  <c r="AF615" i="6"/>
  <c r="AE616" i="6"/>
  <c r="AF616" i="6"/>
  <c r="AE617" i="6"/>
  <c r="AF617" i="6"/>
  <c r="AE618" i="6"/>
  <c r="AF618" i="6"/>
  <c r="AE619" i="6"/>
  <c r="AF619" i="6"/>
  <c r="AE620" i="6"/>
  <c r="AF620" i="6"/>
  <c r="AE621" i="6"/>
  <c r="AF621" i="6"/>
  <c r="AE622" i="6"/>
  <c r="AF622" i="6"/>
  <c r="AE623" i="6"/>
  <c r="AF623" i="6"/>
  <c r="AE624" i="6"/>
  <c r="AF624" i="6"/>
  <c r="AE625" i="6"/>
  <c r="AF625" i="6"/>
  <c r="AE626" i="6"/>
  <c r="AF626" i="6"/>
  <c r="AE627" i="6"/>
  <c r="AF627" i="6"/>
  <c r="AE628" i="6"/>
  <c r="AF628" i="6"/>
  <c r="AE629" i="6"/>
  <c r="AF629" i="6"/>
  <c r="AE630" i="6"/>
  <c r="AF630" i="6"/>
  <c r="AE631" i="6"/>
  <c r="AF631" i="6"/>
  <c r="AE632" i="6"/>
  <c r="AF632" i="6"/>
  <c r="AE633" i="6"/>
  <c r="AF633" i="6"/>
  <c r="AE634" i="6"/>
  <c r="AF634" i="6"/>
  <c r="AE635" i="6"/>
  <c r="AF635" i="6"/>
  <c r="AE636" i="6"/>
  <c r="AF636" i="6"/>
  <c r="AE637" i="6"/>
  <c r="AF637" i="6"/>
  <c r="AE638" i="6"/>
  <c r="AF638" i="6"/>
  <c r="AE639" i="6"/>
  <c r="AF639" i="6"/>
  <c r="AE640" i="6"/>
  <c r="AF640" i="6"/>
  <c r="AE641" i="6"/>
  <c r="AF641" i="6"/>
  <c r="AE642" i="6"/>
  <c r="AF642" i="6"/>
  <c r="AE643" i="6"/>
  <c r="AF643" i="6"/>
  <c r="AE644" i="6"/>
  <c r="AF644" i="6"/>
  <c r="AE645" i="6"/>
  <c r="AF645" i="6"/>
  <c r="AE646" i="6"/>
  <c r="AF646" i="6"/>
  <c r="AE647" i="6"/>
  <c r="AF647" i="6"/>
  <c r="AE648" i="6"/>
  <c r="AF648" i="6"/>
  <c r="AE649" i="6"/>
  <c r="AF649" i="6"/>
  <c r="AE650" i="6"/>
  <c r="AF650" i="6"/>
  <c r="AE651" i="6"/>
  <c r="AF651" i="6"/>
  <c r="AE652" i="6"/>
  <c r="AF652" i="6"/>
  <c r="AE653" i="6"/>
  <c r="AF653" i="6"/>
  <c r="AE654" i="6"/>
  <c r="AF654" i="6"/>
  <c r="AE655" i="6"/>
  <c r="AF655" i="6"/>
  <c r="AE656" i="6"/>
  <c r="AF656" i="6"/>
  <c r="AE657" i="6"/>
  <c r="AF657" i="6"/>
  <c r="AE658" i="6"/>
  <c r="AF658" i="6"/>
  <c r="AE659" i="6"/>
  <c r="AF659" i="6"/>
  <c r="AE660" i="6"/>
  <c r="AF660" i="6"/>
  <c r="AE661" i="6"/>
  <c r="AF661" i="6"/>
  <c r="AE662" i="6"/>
  <c r="AF662" i="6"/>
  <c r="AE663" i="6"/>
  <c r="AF663" i="6"/>
  <c r="AE664" i="6"/>
  <c r="AF664" i="6"/>
  <c r="AE665" i="6"/>
  <c r="AF665" i="6"/>
  <c r="AE666" i="6"/>
  <c r="AF666" i="6"/>
  <c r="AE667" i="6"/>
  <c r="AF667" i="6"/>
  <c r="AE668" i="6"/>
  <c r="AF668" i="6"/>
  <c r="AE669" i="6"/>
  <c r="AF669" i="6"/>
  <c r="AE670" i="6"/>
  <c r="AF670" i="6"/>
  <c r="AE671" i="6"/>
  <c r="AF671" i="6"/>
  <c r="AE672" i="6"/>
  <c r="AF672" i="6"/>
  <c r="AE673" i="6"/>
  <c r="AF673" i="6"/>
  <c r="AE674" i="6"/>
  <c r="AF674" i="6"/>
  <c r="AE675" i="6"/>
  <c r="AF675" i="6"/>
  <c r="AE676" i="6"/>
  <c r="AF676" i="6"/>
  <c r="AE677" i="6"/>
  <c r="AF677" i="6"/>
  <c r="AE678" i="6"/>
  <c r="AF678" i="6"/>
  <c r="AE679" i="6"/>
  <c r="AF679" i="6"/>
  <c r="AE680" i="6"/>
  <c r="AF680" i="6"/>
  <c r="AE681" i="6"/>
  <c r="AF681" i="6"/>
  <c r="AE682" i="6"/>
  <c r="AF682" i="6"/>
  <c r="AE683" i="6"/>
  <c r="AF683" i="6"/>
  <c r="AE684" i="6"/>
  <c r="AF684" i="6"/>
  <c r="AE685" i="6"/>
  <c r="AF685" i="6"/>
  <c r="AE686" i="6"/>
  <c r="AF686" i="6"/>
  <c r="AE687" i="6"/>
  <c r="AF687" i="6"/>
  <c r="AE688" i="6"/>
  <c r="AF688" i="6"/>
  <c r="AE689" i="6"/>
  <c r="AF689" i="6"/>
  <c r="AE690" i="6"/>
  <c r="AF690" i="6"/>
  <c r="AE691" i="6"/>
  <c r="AF691" i="6"/>
  <c r="AE692" i="6"/>
  <c r="AF692" i="6"/>
  <c r="AE693" i="6"/>
  <c r="AF693" i="6"/>
  <c r="AE694" i="6"/>
  <c r="AF694" i="6"/>
  <c r="AE695" i="6"/>
  <c r="AF695" i="6"/>
  <c r="AE696" i="6"/>
  <c r="AF696" i="6"/>
  <c r="AE697" i="6"/>
  <c r="AF697" i="6"/>
  <c r="AE698" i="6"/>
  <c r="AF698" i="6"/>
  <c r="AE699" i="6"/>
  <c r="AF699" i="6"/>
  <c r="AE700" i="6"/>
  <c r="AF700" i="6"/>
  <c r="AE701" i="6"/>
  <c r="AF701" i="6"/>
  <c r="AE702" i="6"/>
  <c r="AF702" i="6"/>
  <c r="AE703" i="6"/>
  <c r="AF703" i="6"/>
  <c r="AE704" i="6"/>
  <c r="AF704" i="6"/>
  <c r="AE705" i="6"/>
  <c r="AF705" i="6"/>
  <c r="AE706" i="6"/>
  <c r="AF706" i="6"/>
  <c r="AE707" i="6"/>
  <c r="AF707" i="6"/>
  <c r="AE708" i="6"/>
  <c r="AF708" i="6"/>
  <c r="AE709" i="6"/>
  <c r="AF709" i="6"/>
  <c r="AE710" i="6"/>
  <c r="AF710" i="6"/>
  <c r="AE711" i="6"/>
  <c r="AF711" i="6"/>
  <c r="AE712" i="6"/>
  <c r="AF712" i="6"/>
  <c r="AE713" i="6"/>
  <c r="AF713" i="6"/>
  <c r="AE714" i="6"/>
  <c r="AF714" i="6"/>
  <c r="AE715" i="6"/>
  <c r="AF715" i="6"/>
  <c r="AE716" i="6"/>
  <c r="AF716" i="6"/>
  <c r="AE717" i="6"/>
  <c r="AF717" i="6"/>
  <c r="AE718" i="6"/>
  <c r="AF718" i="6"/>
  <c r="AE719" i="6"/>
  <c r="AF719" i="6"/>
  <c r="AE720" i="6"/>
  <c r="AF720" i="6"/>
  <c r="AE721" i="6"/>
  <c r="AF721" i="6"/>
  <c r="AE722" i="6"/>
  <c r="AF722" i="6"/>
  <c r="AE723" i="6"/>
  <c r="AF723" i="6"/>
  <c r="AE724" i="6"/>
  <c r="AF724" i="6"/>
  <c r="AE725" i="6"/>
  <c r="AF725" i="6"/>
  <c r="AE726" i="6"/>
  <c r="AF726" i="6"/>
  <c r="AE727" i="6"/>
  <c r="AF727" i="6"/>
  <c r="AE728" i="6"/>
  <c r="AF728" i="6"/>
  <c r="AE729" i="6"/>
  <c r="AF729" i="6"/>
  <c r="AE730" i="6"/>
  <c r="AF730" i="6"/>
  <c r="AE731" i="6"/>
  <c r="AF731" i="6"/>
  <c r="AE732" i="6"/>
  <c r="AF732" i="6"/>
  <c r="AE733" i="6"/>
  <c r="AF733" i="6"/>
  <c r="AE734" i="6"/>
  <c r="AF734" i="6"/>
  <c r="AE735" i="6"/>
  <c r="AF735" i="6"/>
  <c r="AE736" i="6"/>
  <c r="AF736" i="6"/>
  <c r="AE737" i="6"/>
  <c r="AF737" i="6"/>
  <c r="AE738" i="6"/>
  <c r="AF738" i="6"/>
  <c r="AE739" i="6"/>
  <c r="AF739" i="6"/>
  <c r="AE740" i="6"/>
  <c r="AF740" i="6"/>
  <c r="AE741" i="6"/>
  <c r="AF741" i="6"/>
  <c r="AE742" i="6"/>
  <c r="AF742" i="6"/>
  <c r="AE743" i="6"/>
  <c r="AF743" i="6"/>
  <c r="AE744" i="6"/>
  <c r="AF744" i="6"/>
  <c r="AE745" i="6"/>
  <c r="AF745" i="6"/>
  <c r="AE746" i="6"/>
  <c r="AF746" i="6"/>
  <c r="AE747" i="6"/>
  <c r="AF747" i="6"/>
  <c r="AE748" i="6"/>
  <c r="AF748" i="6"/>
  <c r="AE749" i="6"/>
  <c r="AF749" i="6"/>
  <c r="AE750" i="6"/>
  <c r="AF750" i="6"/>
  <c r="AE751" i="6"/>
  <c r="AF751" i="6"/>
  <c r="AE752" i="6"/>
  <c r="AF752" i="6"/>
  <c r="AE753" i="6"/>
  <c r="AF753" i="6"/>
  <c r="AE754" i="6"/>
  <c r="AF754" i="6"/>
  <c r="AE755" i="6"/>
  <c r="AF755" i="6"/>
  <c r="AE756" i="6"/>
  <c r="AF756" i="6"/>
  <c r="AE757" i="6"/>
  <c r="AF757" i="6"/>
  <c r="AE758" i="6"/>
  <c r="AF758" i="6"/>
  <c r="AE759" i="6"/>
  <c r="AF759" i="6"/>
  <c r="AE760" i="6"/>
  <c r="AF760" i="6"/>
  <c r="AE761" i="6"/>
  <c r="AF761" i="6"/>
  <c r="AE762" i="6"/>
  <c r="AF762" i="6"/>
  <c r="AE763" i="6"/>
  <c r="AF763" i="6"/>
  <c r="AE764" i="6"/>
  <c r="AF764" i="6"/>
  <c r="AE765" i="6"/>
  <c r="AF765" i="6"/>
  <c r="AE766" i="6"/>
  <c r="AF766" i="6"/>
  <c r="AE767" i="6"/>
  <c r="AF767" i="6"/>
  <c r="AE768" i="6"/>
  <c r="AF768" i="6"/>
  <c r="AE769" i="6"/>
  <c r="AF769" i="6"/>
  <c r="AE770" i="6"/>
  <c r="AF770" i="6"/>
  <c r="AE771" i="6"/>
  <c r="AF771" i="6"/>
  <c r="AE772" i="6"/>
  <c r="AF772" i="6"/>
  <c r="AE773" i="6"/>
  <c r="AF773" i="6"/>
  <c r="AE774" i="6"/>
  <c r="AF774" i="6"/>
  <c r="AE775" i="6"/>
  <c r="AF775" i="6"/>
  <c r="AE776" i="6"/>
  <c r="AF776" i="6"/>
  <c r="AE777" i="6"/>
  <c r="AF777" i="6"/>
  <c r="AE778" i="6"/>
  <c r="AF778" i="6"/>
  <c r="AE779" i="6"/>
  <c r="AF779" i="6"/>
  <c r="AE780" i="6"/>
  <c r="AF780" i="6"/>
  <c r="AE781" i="6"/>
  <c r="AF781" i="6"/>
  <c r="AE782" i="6"/>
  <c r="AF782" i="6"/>
  <c r="AE783" i="6"/>
  <c r="AF783" i="6"/>
  <c r="AE784" i="6"/>
  <c r="AF784" i="6"/>
  <c r="AE785" i="6"/>
  <c r="AF785" i="6"/>
  <c r="AE786" i="6"/>
  <c r="AF786" i="6"/>
  <c r="AE787" i="6"/>
  <c r="AF787" i="6"/>
  <c r="AE788" i="6"/>
  <c r="AF788" i="6"/>
  <c r="AE789" i="6"/>
  <c r="AF789" i="6"/>
  <c r="AE790" i="6"/>
  <c r="AF790" i="6"/>
  <c r="AE791" i="6"/>
  <c r="AF791" i="6"/>
  <c r="AE792" i="6"/>
  <c r="AF792" i="6"/>
  <c r="AE793" i="6"/>
  <c r="AF793" i="6"/>
  <c r="AE794" i="6"/>
  <c r="AF794" i="6"/>
  <c r="AE795" i="6"/>
  <c r="AF795" i="6"/>
  <c r="AE796" i="6"/>
  <c r="AF796" i="6"/>
  <c r="AE797" i="6"/>
  <c r="AF797" i="6"/>
  <c r="AE798" i="6"/>
  <c r="AF798" i="6"/>
  <c r="AE799" i="6"/>
  <c r="AF799" i="6"/>
  <c r="AE800" i="6"/>
  <c r="AF800" i="6"/>
  <c r="AE801" i="6"/>
  <c r="AF801" i="6"/>
  <c r="AE802" i="6"/>
  <c r="AF802" i="6"/>
  <c r="AE803" i="6"/>
  <c r="AF803" i="6"/>
  <c r="AE804" i="6"/>
  <c r="AF804" i="6"/>
  <c r="AE805" i="6"/>
  <c r="AF805" i="6"/>
  <c r="AE806" i="6"/>
  <c r="AF806" i="6"/>
  <c r="AE807" i="6"/>
  <c r="AF807" i="6"/>
  <c r="AE808" i="6"/>
  <c r="AF808" i="6"/>
  <c r="AE809" i="6"/>
  <c r="AF809" i="6"/>
  <c r="AE810" i="6"/>
  <c r="AF810" i="6"/>
  <c r="AE811" i="6"/>
  <c r="AF811" i="6"/>
  <c r="AE812" i="6"/>
  <c r="AF812" i="6"/>
  <c r="AE813" i="6"/>
  <c r="AF813" i="6"/>
  <c r="AE814" i="6"/>
  <c r="AF814" i="6"/>
  <c r="AE815" i="6"/>
  <c r="AF815" i="6"/>
  <c r="AE816" i="6"/>
  <c r="AF816" i="6"/>
  <c r="AE817" i="6"/>
  <c r="AF817" i="6"/>
  <c r="AE818" i="6"/>
  <c r="AF818" i="6"/>
  <c r="AE819" i="6"/>
  <c r="AF819" i="6"/>
  <c r="AE820" i="6"/>
  <c r="AF820" i="6"/>
  <c r="AE821" i="6"/>
  <c r="AF821" i="6"/>
  <c r="AE822" i="6"/>
  <c r="AF822" i="6"/>
  <c r="AE823" i="6"/>
  <c r="AF823" i="6"/>
  <c r="AE824" i="6"/>
  <c r="AF824" i="6"/>
  <c r="AE825" i="6"/>
  <c r="AF825" i="6"/>
  <c r="AE826" i="6"/>
  <c r="AF826" i="6"/>
  <c r="AE827" i="6"/>
  <c r="AF827" i="6"/>
  <c r="AE828" i="6"/>
  <c r="AF828" i="6"/>
  <c r="AE829" i="6"/>
  <c r="AF829" i="6"/>
  <c r="AE830" i="6"/>
  <c r="AF830" i="6"/>
  <c r="AE831" i="6"/>
  <c r="AF831" i="6"/>
  <c r="AE832" i="6"/>
  <c r="AF832" i="6"/>
  <c r="AE833" i="6"/>
  <c r="AF833" i="6"/>
  <c r="AE834" i="6"/>
  <c r="AF834" i="6"/>
  <c r="AE835" i="6"/>
  <c r="AF835" i="6"/>
  <c r="AE836" i="6"/>
  <c r="AF836" i="6"/>
  <c r="AE837" i="6"/>
  <c r="AF837" i="6"/>
  <c r="AE838" i="6"/>
  <c r="AF838" i="6"/>
  <c r="AE839" i="6"/>
  <c r="AF839" i="6"/>
  <c r="AE840" i="6"/>
  <c r="AF840" i="6"/>
  <c r="AE841" i="6"/>
  <c r="AF841" i="6"/>
  <c r="AE842" i="6"/>
  <c r="AF842" i="6"/>
  <c r="AE843" i="6"/>
  <c r="AF843" i="6"/>
  <c r="AE844" i="6"/>
  <c r="AF844" i="6"/>
  <c r="AE845" i="6"/>
  <c r="AF845" i="6"/>
  <c r="AE846" i="6"/>
  <c r="AF846" i="6"/>
  <c r="AE847" i="6"/>
  <c r="AF847" i="6"/>
  <c r="AE848" i="6"/>
  <c r="AF848" i="6"/>
  <c r="AE849" i="6"/>
  <c r="AF849" i="6"/>
  <c r="AE850" i="6"/>
  <c r="AF850" i="6"/>
  <c r="AE851" i="6"/>
  <c r="AF851" i="6"/>
  <c r="AE852" i="6"/>
  <c r="AF852" i="6"/>
  <c r="AE853" i="6"/>
  <c r="AF853" i="6"/>
  <c r="AE854" i="6"/>
  <c r="AF854" i="6"/>
  <c r="AE855" i="6"/>
  <c r="AF855" i="6"/>
  <c r="AE856" i="6"/>
  <c r="AF856" i="6"/>
  <c r="AE857" i="6"/>
  <c r="AF857" i="6"/>
  <c r="AE858" i="6"/>
  <c r="AF858" i="6"/>
  <c r="AE859" i="6"/>
  <c r="AF859" i="6"/>
  <c r="AE860" i="6"/>
  <c r="AF860" i="6"/>
  <c r="AE861" i="6"/>
  <c r="AF861" i="6"/>
  <c r="AE862" i="6"/>
  <c r="AF862" i="6"/>
  <c r="AE863" i="6"/>
  <c r="AF863" i="6"/>
  <c r="AE864" i="6"/>
  <c r="AF864" i="6"/>
  <c r="AE865" i="6"/>
  <c r="AF865" i="6"/>
  <c r="AE866" i="6"/>
  <c r="AF866" i="6"/>
  <c r="AE867" i="6"/>
  <c r="AF867" i="6"/>
  <c r="AE868" i="6"/>
  <c r="AF868" i="6"/>
  <c r="AE869" i="6"/>
  <c r="AF869" i="6"/>
  <c r="AE870" i="6"/>
  <c r="AF870" i="6"/>
  <c r="AE871" i="6"/>
  <c r="AF871" i="6"/>
  <c r="AE872" i="6"/>
  <c r="AF872" i="6"/>
  <c r="AE873" i="6"/>
  <c r="AF873" i="6"/>
  <c r="AE874" i="6"/>
  <c r="AF874" i="6"/>
  <c r="AE875" i="6"/>
  <c r="AF875" i="6"/>
  <c r="AE876" i="6"/>
  <c r="AF876" i="6"/>
  <c r="AE877" i="6"/>
  <c r="AF877" i="6"/>
  <c r="AE878" i="6"/>
  <c r="AF878" i="6"/>
  <c r="AE879" i="6"/>
  <c r="AF879" i="6"/>
  <c r="AE880" i="6"/>
  <c r="AF880" i="6"/>
  <c r="AE881" i="6"/>
  <c r="AF881" i="6"/>
  <c r="AE882" i="6"/>
  <c r="AF882" i="6"/>
  <c r="AE883" i="6"/>
  <c r="AF883" i="6"/>
  <c r="AE884" i="6"/>
  <c r="AF884" i="6"/>
  <c r="AE885" i="6"/>
  <c r="AF885" i="6"/>
  <c r="AE886" i="6"/>
  <c r="AF886" i="6"/>
  <c r="AE887" i="6"/>
  <c r="AF887" i="6"/>
  <c r="AE888" i="6"/>
  <c r="AF888" i="6"/>
  <c r="AE889" i="6"/>
  <c r="AF889" i="6"/>
  <c r="AE890" i="6"/>
  <c r="AF890" i="6"/>
  <c r="AE891" i="6"/>
  <c r="AF891" i="6"/>
  <c r="AE892" i="6"/>
  <c r="AF892" i="6"/>
  <c r="AE893" i="6"/>
  <c r="AF893" i="6"/>
  <c r="AE894" i="6"/>
  <c r="AF894" i="6"/>
  <c r="AE895" i="6"/>
  <c r="AF895" i="6"/>
  <c r="AE896" i="6"/>
  <c r="AF896" i="6"/>
  <c r="AE897" i="6"/>
  <c r="AF897" i="6"/>
  <c r="AE898" i="6"/>
  <c r="AF898" i="6"/>
  <c r="AE899" i="6"/>
  <c r="AF899" i="6"/>
  <c r="AE900" i="6"/>
  <c r="AF900" i="6"/>
  <c r="AE901" i="6"/>
  <c r="AF901" i="6"/>
  <c r="AE902" i="6"/>
  <c r="AF902" i="6"/>
  <c r="AE903" i="6"/>
  <c r="AF903" i="6"/>
  <c r="AE904" i="6"/>
  <c r="AF904" i="6"/>
  <c r="AE905" i="6"/>
  <c r="AF905" i="6"/>
  <c r="AE906" i="6"/>
  <c r="AF906" i="6"/>
  <c r="AE907" i="6"/>
  <c r="AF907" i="6"/>
  <c r="AE908" i="6"/>
  <c r="AF908" i="6"/>
  <c r="AE909" i="6"/>
  <c r="AF909" i="6"/>
  <c r="AE910" i="6"/>
  <c r="AF910" i="6"/>
  <c r="AE911" i="6"/>
  <c r="AF911" i="6"/>
  <c r="AE912" i="6"/>
  <c r="AF912" i="6"/>
  <c r="AE913" i="6"/>
  <c r="AF913" i="6"/>
  <c r="AE914" i="6"/>
  <c r="AF914" i="6"/>
  <c r="AE915" i="6"/>
  <c r="AF915" i="6"/>
  <c r="AE916" i="6"/>
  <c r="AF916" i="6"/>
  <c r="AE917" i="6"/>
  <c r="AF917" i="6"/>
  <c r="AE918" i="6"/>
  <c r="AF918" i="6"/>
  <c r="AE919" i="6"/>
  <c r="AF919" i="6"/>
  <c r="AE920" i="6"/>
  <c r="AF920" i="6"/>
  <c r="AE921" i="6"/>
  <c r="AF921" i="6"/>
  <c r="AE922" i="6"/>
  <c r="AF922" i="6"/>
  <c r="AE923" i="6"/>
  <c r="AF923" i="6"/>
  <c r="AE924" i="6"/>
  <c r="AF924" i="6"/>
  <c r="AE925" i="6"/>
  <c r="AF925" i="6"/>
  <c r="AE926" i="6"/>
  <c r="AF926" i="6"/>
  <c r="AE927" i="6"/>
  <c r="AF927" i="6"/>
  <c r="AE928" i="6"/>
  <c r="AF928" i="6"/>
  <c r="AE929" i="6"/>
  <c r="AF929" i="6"/>
  <c r="AE930" i="6"/>
  <c r="AF930" i="6"/>
  <c r="AE931" i="6"/>
  <c r="AF931" i="6"/>
  <c r="AE932" i="6"/>
  <c r="AF932" i="6"/>
  <c r="AE933" i="6"/>
  <c r="AF933" i="6"/>
  <c r="AE934" i="6"/>
  <c r="AF934" i="6"/>
  <c r="AE935" i="6"/>
  <c r="AF935" i="6"/>
  <c r="AE936" i="6"/>
  <c r="AF936" i="6"/>
  <c r="AE937" i="6"/>
  <c r="AF937" i="6"/>
  <c r="AE938" i="6"/>
  <c r="AF938" i="6"/>
  <c r="AE939" i="6"/>
  <c r="AF939" i="6"/>
  <c r="AE940" i="6"/>
  <c r="AF940" i="6"/>
  <c r="AE941" i="6"/>
  <c r="AF941" i="6"/>
  <c r="AE942" i="6"/>
  <c r="AF942" i="6"/>
  <c r="AE943" i="6"/>
  <c r="AF943" i="6"/>
  <c r="AE944" i="6"/>
  <c r="AF944" i="6"/>
  <c r="AE945" i="6"/>
  <c r="AF945" i="6"/>
  <c r="AE946" i="6"/>
  <c r="AF946" i="6"/>
  <c r="AE947" i="6"/>
  <c r="AF947" i="6"/>
  <c r="AE948" i="6"/>
  <c r="AF948" i="6"/>
  <c r="AE949" i="6"/>
  <c r="AF949" i="6"/>
  <c r="AE950" i="6"/>
  <c r="AF950" i="6"/>
  <c r="AE951" i="6"/>
  <c r="AF951" i="6"/>
  <c r="AE952" i="6"/>
  <c r="AF952" i="6"/>
  <c r="AE953" i="6"/>
  <c r="AF953" i="6"/>
  <c r="AE954" i="6"/>
  <c r="AF954" i="6"/>
  <c r="AE955" i="6"/>
  <c r="AF955" i="6"/>
  <c r="AE956" i="6"/>
  <c r="AF956" i="6"/>
  <c r="AE957" i="6"/>
  <c r="AF957" i="6"/>
  <c r="AE958" i="6"/>
  <c r="AF958" i="6"/>
  <c r="AE959" i="6"/>
  <c r="AF959" i="6"/>
  <c r="AE960" i="6"/>
  <c r="AF960" i="6"/>
  <c r="AE961" i="6"/>
  <c r="AF961" i="6"/>
  <c r="AE962" i="6"/>
  <c r="AF962" i="6"/>
  <c r="AE963" i="6"/>
  <c r="AF963" i="6"/>
  <c r="AE964" i="6"/>
  <c r="AF964" i="6"/>
  <c r="AE965" i="6"/>
  <c r="AF965" i="6"/>
  <c r="AE966" i="6"/>
  <c r="AF966" i="6"/>
  <c r="AE967" i="6"/>
  <c r="AF967" i="6"/>
  <c r="AE968" i="6"/>
  <c r="AF968" i="6"/>
  <c r="AE969" i="6"/>
  <c r="AF969" i="6"/>
  <c r="AE970" i="6"/>
  <c r="AF970" i="6"/>
  <c r="AE971" i="6"/>
  <c r="AF971" i="6"/>
  <c r="AE972" i="6"/>
  <c r="AF972" i="6"/>
  <c r="AE973" i="6"/>
  <c r="AF973" i="6"/>
  <c r="AE974" i="6"/>
  <c r="AF974" i="6"/>
  <c r="AE975" i="6"/>
  <c r="AF975" i="6"/>
  <c r="AE976" i="6"/>
  <c r="AF976" i="6"/>
  <c r="AE977" i="6"/>
  <c r="AF977" i="6"/>
  <c r="AE978" i="6"/>
  <c r="AF978" i="6"/>
  <c r="AE979" i="6"/>
  <c r="AF979" i="6"/>
  <c r="AE980" i="6"/>
  <c r="AF980" i="6"/>
  <c r="AE981" i="6"/>
  <c r="AF981" i="6"/>
  <c r="AE982" i="6"/>
  <c r="AF982" i="6"/>
  <c r="AE983" i="6"/>
  <c r="AF983" i="6"/>
  <c r="AE984" i="6"/>
  <c r="AF984" i="6"/>
  <c r="AE985" i="6"/>
  <c r="AF985" i="6"/>
  <c r="AE986" i="6"/>
  <c r="AF986" i="6"/>
  <c r="AE987" i="6"/>
  <c r="AF987" i="6"/>
  <c r="AE988" i="6"/>
  <c r="AF988" i="6"/>
  <c r="AE989" i="6"/>
  <c r="AF989" i="6"/>
  <c r="AE990" i="6"/>
  <c r="AF990" i="6"/>
  <c r="AE991" i="6"/>
  <c r="AF991" i="6"/>
  <c r="AE992" i="6"/>
  <c r="AF992" i="6"/>
  <c r="AE993" i="6"/>
  <c r="AF993" i="6"/>
  <c r="AE994" i="6"/>
  <c r="AF994" i="6"/>
  <c r="AE995" i="6"/>
  <c r="AF995" i="6"/>
  <c r="AE996" i="6"/>
  <c r="AF996" i="6"/>
  <c r="AE997" i="6"/>
  <c r="AF997" i="6"/>
  <c r="AE998" i="6"/>
  <c r="AF998" i="6"/>
  <c r="AE999" i="6"/>
  <c r="AF999" i="6"/>
  <c r="AE1000" i="6"/>
  <c r="AF1000" i="6"/>
  <c r="AE1001" i="6"/>
  <c r="AF1001" i="6"/>
  <c r="AE2" i="6"/>
  <c r="AF2" i="6"/>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578" i="6"/>
  <c r="AB579" i="6"/>
  <c r="AB580" i="6"/>
  <c r="AB581" i="6"/>
  <c r="AB582" i="6"/>
  <c r="AB583" i="6"/>
  <c r="AB584" i="6"/>
  <c r="AB585" i="6"/>
  <c r="AB586" i="6"/>
  <c r="AB587" i="6"/>
  <c r="AB588" i="6"/>
  <c r="AB589" i="6"/>
  <c r="AB590" i="6"/>
  <c r="AB591" i="6"/>
  <c r="AB592" i="6"/>
  <c r="AB593" i="6"/>
  <c r="AB594" i="6"/>
  <c r="AB595" i="6"/>
  <c r="AB596" i="6"/>
  <c r="AB597" i="6"/>
  <c r="AB598" i="6"/>
  <c r="AB599" i="6"/>
  <c r="AB600" i="6"/>
  <c r="AB601" i="6"/>
  <c r="AB602" i="6"/>
  <c r="AB603" i="6"/>
  <c r="AB604" i="6"/>
  <c r="AB605" i="6"/>
  <c r="AB606" i="6"/>
  <c r="AB607" i="6"/>
  <c r="AB608" i="6"/>
  <c r="AB609" i="6"/>
  <c r="AB610" i="6"/>
  <c r="AB611" i="6"/>
  <c r="AB612" i="6"/>
  <c r="AB613" i="6"/>
  <c r="AB614" i="6"/>
  <c r="AB615" i="6"/>
  <c r="AB616" i="6"/>
  <c r="AB617" i="6"/>
  <c r="AB618" i="6"/>
  <c r="AB619" i="6"/>
  <c r="AB620" i="6"/>
  <c r="AB621" i="6"/>
  <c r="AB622" i="6"/>
  <c r="AB623" i="6"/>
  <c r="AB624" i="6"/>
  <c r="AB625" i="6"/>
  <c r="AB626" i="6"/>
  <c r="AB627" i="6"/>
  <c r="AB628" i="6"/>
  <c r="AB629" i="6"/>
  <c r="AB630" i="6"/>
  <c r="AB631" i="6"/>
  <c r="AB632" i="6"/>
  <c r="AB633" i="6"/>
  <c r="AB634" i="6"/>
  <c r="AB635" i="6"/>
  <c r="AB636" i="6"/>
  <c r="AB637" i="6"/>
  <c r="AB638" i="6"/>
  <c r="AB639" i="6"/>
  <c r="AB640" i="6"/>
  <c r="AB641" i="6"/>
  <c r="AB642" i="6"/>
  <c r="AB643" i="6"/>
  <c r="AB644" i="6"/>
  <c r="AB645" i="6"/>
  <c r="AB646" i="6"/>
  <c r="AB647" i="6"/>
  <c r="AB648" i="6"/>
  <c r="AB649" i="6"/>
  <c r="AB650" i="6"/>
  <c r="AB651" i="6"/>
  <c r="AB652" i="6"/>
  <c r="AB653" i="6"/>
  <c r="AB654" i="6"/>
  <c r="AB655" i="6"/>
  <c r="AB656" i="6"/>
  <c r="AB657" i="6"/>
  <c r="AB658" i="6"/>
  <c r="AB659" i="6"/>
  <c r="AB660" i="6"/>
  <c r="AB661" i="6"/>
  <c r="AB662" i="6"/>
  <c r="AB663" i="6"/>
  <c r="AB664" i="6"/>
  <c r="AB665" i="6"/>
  <c r="AB666" i="6"/>
  <c r="AB667" i="6"/>
  <c r="AB668" i="6"/>
  <c r="AB669" i="6"/>
  <c r="AB670" i="6"/>
  <c r="AB671" i="6"/>
  <c r="AB672" i="6"/>
  <c r="AB673" i="6"/>
  <c r="AB674" i="6"/>
  <c r="AB675" i="6"/>
  <c r="AB676" i="6"/>
  <c r="AB677" i="6"/>
  <c r="AB678" i="6"/>
  <c r="AB679" i="6"/>
  <c r="AB680" i="6"/>
  <c r="AB681" i="6"/>
  <c r="AB682" i="6"/>
  <c r="AB683" i="6"/>
  <c r="AB684" i="6"/>
  <c r="AB685" i="6"/>
  <c r="AB686" i="6"/>
  <c r="AB687" i="6"/>
  <c r="AB688" i="6"/>
  <c r="AB689" i="6"/>
  <c r="AB690" i="6"/>
  <c r="AB691" i="6"/>
  <c r="AB692" i="6"/>
  <c r="AB693" i="6"/>
  <c r="AB694" i="6"/>
  <c r="AB695" i="6"/>
  <c r="AB696" i="6"/>
  <c r="AB697" i="6"/>
  <c r="AB698" i="6"/>
  <c r="AB699" i="6"/>
  <c r="AB700" i="6"/>
  <c r="AB701" i="6"/>
  <c r="AB702" i="6"/>
  <c r="AB703" i="6"/>
  <c r="AB704" i="6"/>
  <c r="AB705" i="6"/>
  <c r="AB706" i="6"/>
  <c r="AB707" i="6"/>
  <c r="AB708" i="6"/>
  <c r="AB709" i="6"/>
  <c r="AB710" i="6"/>
  <c r="AB711" i="6"/>
  <c r="AB712" i="6"/>
  <c r="AB713" i="6"/>
  <c r="AB714" i="6"/>
  <c r="AB715" i="6"/>
  <c r="AB716" i="6"/>
  <c r="AB717" i="6"/>
  <c r="AB718" i="6"/>
  <c r="AB719" i="6"/>
  <c r="AB720" i="6"/>
  <c r="AB721" i="6"/>
  <c r="AB722" i="6"/>
  <c r="AB723" i="6"/>
  <c r="AB724" i="6"/>
  <c r="AB725" i="6"/>
  <c r="AB726" i="6"/>
  <c r="AB727" i="6"/>
  <c r="AB728" i="6"/>
  <c r="AB729" i="6"/>
  <c r="AB730" i="6"/>
  <c r="AB731" i="6"/>
  <c r="AB732" i="6"/>
  <c r="AB733" i="6"/>
  <c r="AB734" i="6"/>
  <c r="AB735" i="6"/>
  <c r="AB736" i="6"/>
  <c r="AB737" i="6"/>
  <c r="AB738" i="6"/>
  <c r="AB739" i="6"/>
  <c r="AB740" i="6"/>
  <c r="AB741" i="6"/>
  <c r="AB742" i="6"/>
  <c r="AB743" i="6"/>
  <c r="AB744" i="6"/>
  <c r="AB745" i="6"/>
  <c r="AB746" i="6"/>
  <c r="AB747" i="6"/>
  <c r="AB748" i="6"/>
  <c r="AB749" i="6"/>
  <c r="AB750" i="6"/>
  <c r="AB751" i="6"/>
  <c r="AB752" i="6"/>
  <c r="AB753" i="6"/>
  <c r="AB754" i="6"/>
  <c r="AB755" i="6"/>
  <c r="AB756" i="6"/>
  <c r="AB757" i="6"/>
  <c r="AB758" i="6"/>
  <c r="AB759" i="6"/>
  <c r="AB760" i="6"/>
  <c r="AB761" i="6"/>
  <c r="AB762" i="6"/>
  <c r="AB763" i="6"/>
  <c r="AB764" i="6"/>
  <c r="AB765" i="6"/>
  <c r="AB766" i="6"/>
  <c r="AB767" i="6"/>
  <c r="AB768" i="6"/>
  <c r="AB769" i="6"/>
  <c r="AB770" i="6"/>
  <c r="AB771" i="6"/>
  <c r="AB772" i="6"/>
  <c r="AB773" i="6"/>
  <c r="AB774" i="6"/>
  <c r="AB775" i="6"/>
  <c r="AB776" i="6"/>
  <c r="AB777" i="6"/>
  <c r="AB778" i="6"/>
  <c r="AB779" i="6"/>
  <c r="AB780" i="6"/>
  <c r="AB781" i="6"/>
  <c r="AB782" i="6"/>
  <c r="AB783" i="6"/>
  <c r="AB784" i="6"/>
  <c r="AB785" i="6"/>
  <c r="AB786" i="6"/>
  <c r="AB787" i="6"/>
  <c r="AB788" i="6"/>
  <c r="AB789" i="6"/>
  <c r="AB790" i="6"/>
  <c r="AB791" i="6"/>
  <c r="AB792" i="6"/>
  <c r="AB793" i="6"/>
  <c r="AB794" i="6"/>
  <c r="AB795" i="6"/>
  <c r="AB796" i="6"/>
  <c r="AB797" i="6"/>
  <c r="AB798" i="6"/>
  <c r="AB799" i="6"/>
  <c r="AB800" i="6"/>
  <c r="AB801" i="6"/>
  <c r="AB802" i="6"/>
  <c r="AB803" i="6"/>
  <c r="AB804" i="6"/>
  <c r="AB805" i="6"/>
  <c r="AB806" i="6"/>
  <c r="AB807" i="6"/>
  <c r="AB808" i="6"/>
  <c r="AB809" i="6"/>
  <c r="AB810" i="6"/>
  <c r="AB811" i="6"/>
  <c r="AB812" i="6"/>
  <c r="AB813" i="6"/>
  <c r="AB814" i="6"/>
  <c r="AB815" i="6"/>
  <c r="AB816" i="6"/>
  <c r="AB817" i="6"/>
  <c r="AB818" i="6"/>
  <c r="AB819" i="6"/>
  <c r="AB820" i="6"/>
  <c r="AB821" i="6"/>
  <c r="AB822" i="6"/>
  <c r="AB823" i="6"/>
  <c r="AB824" i="6"/>
  <c r="AB825" i="6"/>
  <c r="AB826" i="6"/>
  <c r="AB827" i="6"/>
  <c r="AB828" i="6"/>
  <c r="AB829" i="6"/>
  <c r="AB830" i="6"/>
  <c r="AB831" i="6"/>
  <c r="AB832" i="6"/>
  <c r="AB833" i="6"/>
  <c r="AB834" i="6"/>
  <c r="AB835" i="6"/>
  <c r="AB836" i="6"/>
  <c r="AB837" i="6"/>
  <c r="AB838" i="6"/>
  <c r="AB839" i="6"/>
  <c r="AB840" i="6"/>
  <c r="AB841" i="6"/>
  <c r="AB842" i="6"/>
  <c r="AB843" i="6"/>
  <c r="AB844" i="6"/>
  <c r="AB845" i="6"/>
  <c r="AB846" i="6"/>
  <c r="AB847" i="6"/>
  <c r="AB848" i="6"/>
  <c r="AB849" i="6"/>
  <c r="AB850" i="6"/>
  <c r="AB851" i="6"/>
  <c r="AB852" i="6"/>
  <c r="AB853" i="6"/>
  <c r="AB854" i="6"/>
  <c r="AB855" i="6"/>
  <c r="AB856" i="6"/>
  <c r="AB857" i="6"/>
  <c r="AB858" i="6"/>
  <c r="AB859" i="6"/>
  <c r="AB860" i="6"/>
  <c r="AB861" i="6"/>
  <c r="AB862" i="6"/>
  <c r="AB863" i="6"/>
  <c r="AB864" i="6"/>
  <c r="AB865" i="6"/>
  <c r="AB866" i="6"/>
  <c r="AB867" i="6"/>
  <c r="AB868" i="6"/>
  <c r="AB869" i="6"/>
  <c r="AB870" i="6"/>
  <c r="AB871" i="6"/>
  <c r="AB872" i="6"/>
  <c r="AB873" i="6"/>
  <c r="AB874" i="6"/>
  <c r="AB875" i="6"/>
  <c r="AB876" i="6"/>
  <c r="AB877" i="6"/>
  <c r="AB878" i="6"/>
  <c r="AB879" i="6"/>
  <c r="AB880" i="6"/>
  <c r="AB881" i="6"/>
  <c r="AB882" i="6"/>
  <c r="AB883" i="6"/>
  <c r="AB884" i="6"/>
  <c r="AB885" i="6"/>
  <c r="AB886" i="6"/>
  <c r="AB887" i="6"/>
  <c r="AB888" i="6"/>
  <c r="AB889" i="6"/>
  <c r="AB890" i="6"/>
  <c r="AB891" i="6"/>
  <c r="AB892" i="6"/>
  <c r="AB893" i="6"/>
  <c r="AB894" i="6"/>
  <c r="AB895" i="6"/>
  <c r="AB896" i="6"/>
  <c r="AB897" i="6"/>
  <c r="AB898" i="6"/>
  <c r="AB899" i="6"/>
  <c r="AB900" i="6"/>
  <c r="AB901" i="6"/>
  <c r="AB902" i="6"/>
  <c r="AB903" i="6"/>
  <c r="AB904" i="6"/>
  <c r="AB905" i="6"/>
  <c r="AB906" i="6"/>
  <c r="AB907" i="6"/>
  <c r="AB908" i="6"/>
  <c r="AB909" i="6"/>
  <c r="AB910" i="6"/>
  <c r="AB911" i="6"/>
  <c r="AB912" i="6"/>
  <c r="AB913" i="6"/>
  <c r="AB914" i="6"/>
  <c r="AB915" i="6"/>
  <c r="AB916" i="6"/>
  <c r="AB917" i="6"/>
  <c r="AB918" i="6"/>
  <c r="AB919" i="6"/>
  <c r="AB920" i="6"/>
  <c r="AB921" i="6"/>
  <c r="AB922" i="6"/>
  <c r="AB923" i="6"/>
  <c r="AB924" i="6"/>
  <c r="AB925" i="6"/>
  <c r="AB926" i="6"/>
  <c r="AB927" i="6"/>
  <c r="AB928" i="6"/>
  <c r="AB929" i="6"/>
  <c r="AB930" i="6"/>
  <c r="AB931" i="6"/>
  <c r="AB932" i="6"/>
  <c r="AB933" i="6"/>
  <c r="AB934" i="6"/>
  <c r="AB935" i="6"/>
  <c r="AB936" i="6"/>
  <c r="AB937" i="6"/>
  <c r="AB938" i="6"/>
  <c r="AB939" i="6"/>
  <c r="AB940" i="6"/>
  <c r="AB941" i="6"/>
  <c r="AB942" i="6"/>
  <c r="AB943" i="6"/>
  <c r="AB944" i="6"/>
  <c r="AB945" i="6"/>
  <c r="AB946" i="6"/>
  <c r="AB947" i="6"/>
  <c r="AB948" i="6"/>
  <c r="AB949" i="6"/>
  <c r="AB950" i="6"/>
  <c r="AB951" i="6"/>
  <c r="AB952" i="6"/>
  <c r="AB953" i="6"/>
  <c r="AB954" i="6"/>
  <c r="AB955" i="6"/>
  <c r="AB956" i="6"/>
  <c r="AB957" i="6"/>
  <c r="AB958" i="6"/>
  <c r="AB959" i="6"/>
  <c r="AB960" i="6"/>
  <c r="AB961" i="6"/>
  <c r="AB962" i="6"/>
  <c r="AB963" i="6"/>
  <c r="AB964" i="6"/>
  <c r="AB965" i="6"/>
  <c r="AB966" i="6"/>
  <c r="AB967" i="6"/>
  <c r="AB968" i="6"/>
  <c r="AB969" i="6"/>
  <c r="AB970" i="6"/>
  <c r="AB971" i="6"/>
  <c r="AB972" i="6"/>
  <c r="AB973" i="6"/>
  <c r="AB974" i="6"/>
  <c r="AB975" i="6"/>
  <c r="AB976" i="6"/>
  <c r="AB977" i="6"/>
  <c r="AB978" i="6"/>
  <c r="AB979" i="6"/>
  <c r="AB980" i="6"/>
  <c r="AB981" i="6"/>
  <c r="AB982" i="6"/>
  <c r="AB983" i="6"/>
  <c r="AB984" i="6"/>
  <c r="AB985" i="6"/>
  <c r="AB986" i="6"/>
  <c r="AB987" i="6"/>
  <c r="AB988" i="6"/>
  <c r="AB989" i="6"/>
  <c r="AB990" i="6"/>
  <c r="AB991" i="6"/>
  <c r="AB992" i="6"/>
  <c r="AB993" i="6"/>
  <c r="AB994" i="6"/>
  <c r="AB995" i="6"/>
  <c r="AB996" i="6"/>
  <c r="AB997" i="6"/>
  <c r="AB998" i="6"/>
  <c r="AB999" i="6"/>
  <c r="AB1000" i="6"/>
  <c r="AB1001" i="6"/>
  <c r="AB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2" i="6"/>
  <c r="AD3" i="6"/>
  <c r="AD4" i="6"/>
  <c r="AD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212" i="6"/>
  <c r="AD213" i="6"/>
  <c r="AD214" i="6"/>
  <c r="AD215" i="6"/>
  <c r="AD216" i="6"/>
  <c r="AD217" i="6"/>
  <c r="AD218" i="6"/>
  <c r="AD219" i="6"/>
  <c r="AD220" i="6"/>
  <c r="AD221" i="6"/>
  <c r="AD222" i="6"/>
  <c r="AD223" i="6"/>
  <c r="AD224" i="6"/>
  <c r="AD225" i="6"/>
  <c r="AD226" i="6"/>
  <c r="AD227" i="6"/>
  <c r="AD228" i="6"/>
  <c r="AD229" i="6"/>
  <c r="AD230" i="6"/>
  <c r="AD231" i="6"/>
  <c r="AD232" i="6"/>
  <c r="AD233" i="6"/>
  <c r="AD234" i="6"/>
  <c r="AD235" i="6"/>
  <c r="AD2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32" i="6"/>
  <c r="AD333" i="6"/>
  <c r="AD334" i="6"/>
  <c r="AD335" i="6"/>
  <c r="AD336" i="6"/>
  <c r="AD337" i="6"/>
  <c r="AD338" i="6"/>
  <c r="AD339" i="6"/>
  <c r="AD340" i="6"/>
  <c r="AD341" i="6"/>
  <c r="AD342" i="6"/>
  <c r="AD343" i="6"/>
  <c r="AD344" i="6"/>
  <c r="AD345" i="6"/>
  <c r="AD346" i="6"/>
  <c r="AD347" i="6"/>
  <c r="AD348" i="6"/>
  <c r="AD349" i="6"/>
  <c r="AD350" i="6"/>
  <c r="AD351" i="6"/>
  <c r="AD352" i="6"/>
  <c r="AD353" i="6"/>
  <c r="AD354" i="6"/>
  <c r="AD355" i="6"/>
  <c r="AD356" i="6"/>
  <c r="AD357" i="6"/>
  <c r="AD358" i="6"/>
  <c r="AD359" i="6"/>
  <c r="AD360" i="6"/>
  <c r="AD361" i="6"/>
  <c r="AD362" i="6"/>
  <c r="AD363" i="6"/>
  <c r="AD364" i="6"/>
  <c r="AD365" i="6"/>
  <c r="AD366" i="6"/>
  <c r="AD367" i="6"/>
  <c r="AD368" i="6"/>
  <c r="AD369" i="6"/>
  <c r="AD370" i="6"/>
  <c r="AD371" i="6"/>
  <c r="AD372" i="6"/>
  <c r="AD373" i="6"/>
  <c r="AD374" i="6"/>
  <c r="AD375" i="6"/>
  <c r="AD376" i="6"/>
  <c r="AD377" i="6"/>
  <c r="AD378" i="6"/>
  <c r="AD379" i="6"/>
  <c r="AD380" i="6"/>
  <c r="AD381" i="6"/>
  <c r="AD382" i="6"/>
  <c r="AD383" i="6"/>
  <c r="AD384" i="6"/>
  <c r="AD385" i="6"/>
  <c r="AD386" i="6"/>
  <c r="AD387" i="6"/>
  <c r="AD388" i="6"/>
  <c r="AD389" i="6"/>
  <c r="AD390" i="6"/>
  <c r="AD391" i="6"/>
  <c r="AD392" i="6"/>
  <c r="AD393" i="6"/>
  <c r="AD394" i="6"/>
  <c r="AD395" i="6"/>
  <c r="AD396" i="6"/>
  <c r="AD397" i="6"/>
  <c r="AD398" i="6"/>
  <c r="AD399" i="6"/>
  <c r="AD400" i="6"/>
  <c r="AD401" i="6"/>
  <c r="AD402" i="6"/>
  <c r="AD403" i="6"/>
  <c r="AD404" i="6"/>
  <c r="AD405" i="6"/>
  <c r="AD406" i="6"/>
  <c r="AD407" i="6"/>
  <c r="AD408" i="6"/>
  <c r="AD409" i="6"/>
  <c r="AD410" i="6"/>
  <c r="AD411" i="6"/>
  <c r="AD412" i="6"/>
  <c r="AD413" i="6"/>
  <c r="AD414" i="6"/>
  <c r="AD415" i="6"/>
  <c r="AD416" i="6"/>
  <c r="AD417" i="6"/>
  <c r="AD418" i="6"/>
  <c r="AD419" i="6"/>
  <c r="AD420" i="6"/>
  <c r="AD421" i="6"/>
  <c r="AD422" i="6"/>
  <c r="AD423" i="6"/>
  <c r="AD424" i="6"/>
  <c r="AD425" i="6"/>
  <c r="AD426" i="6"/>
  <c r="AD427" i="6"/>
  <c r="AD428" i="6"/>
  <c r="AD429" i="6"/>
  <c r="AD430" i="6"/>
  <c r="AD431" i="6"/>
  <c r="AD432" i="6"/>
  <c r="AD433" i="6"/>
  <c r="AD434" i="6"/>
  <c r="AD435" i="6"/>
  <c r="AD436" i="6"/>
  <c r="AD437" i="6"/>
  <c r="AD438" i="6"/>
  <c r="AD439" i="6"/>
  <c r="AD440" i="6"/>
  <c r="AD441" i="6"/>
  <c r="AD442" i="6"/>
  <c r="AD443" i="6"/>
  <c r="AD444" i="6"/>
  <c r="AD445" i="6"/>
  <c r="AD446" i="6"/>
  <c r="AD447" i="6"/>
  <c r="AD448" i="6"/>
  <c r="AD449" i="6"/>
  <c r="AD450" i="6"/>
  <c r="AD451" i="6"/>
  <c r="AD452" i="6"/>
  <c r="AD453" i="6"/>
  <c r="AD454" i="6"/>
  <c r="AD455" i="6"/>
  <c r="AD456" i="6"/>
  <c r="AD457" i="6"/>
  <c r="AD458" i="6"/>
  <c r="AD459" i="6"/>
  <c r="AD460" i="6"/>
  <c r="AD461" i="6"/>
  <c r="AD462" i="6"/>
  <c r="AD463" i="6"/>
  <c r="AD464" i="6"/>
  <c r="AD465" i="6"/>
  <c r="AD466" i="6"/>
  <c r="AD467" i="6"/>
  <c r="AD468" i="6"/>
  <c r="AD469" i="6"/>
  <c r="AD470" i="6"/>
  <c r="AD471" i="6"/>
  <c r="AD472" i="6"/>
  <c r="AD473" i="6"/>
  <c r="AD474" i="6"/>
  <c r="AD475" i="6"/>
  <c r="AD476" i="6"/>
  <c r="AD477" i="6"/>
  <c r="AD478" i="6"/>
  <c r="AD479" i="6"/>
  <c r="AD480" i="6"/>
  <c r="AD481" i="6"/>
  <c r="AD482" i="6"/>
  <c r="AD483" i="6"/>
  <c r="AD484" i="6"/>
  <c r="AD485" i="6"/>
  <c r="AD486" i="6"/>
  <c r="AD487" i="6"/>
  <c r="AD488" i="6"/>
  <c r="AD489" i="6"/>
  <c r="AD490" i="6"/>
  <c r="AD491" i="6"/>
  <c r="AD492" i="6"/>
  <c r="AD493" i="6"/>
  <c r="AD494" i="6"/>
  <c r="AD495" i="6"/>
  <c r="AD496" i="6"/>
  <c r="AD497" i="6"/>
  <c r="AD498" i="6"/>
  <c r="AD499" i="6"/>
  <c r="AD500" i="6"/>
  <c r="AD501" i="6"/>
  <c r="AD502" i="6"/>
  <c r="AD503" i="6"/>
  <c r="AD504" i="6"/>
  <c r="AD505" i="6"/>
  <c r="AD506" i="6"/>
  <c r="AD507" i="6"/>
  <c r="AD508" i="6"/>
  <c r="AD509" i="6"/>
  <c r="AD510" i="6"/>
  <c r="AD511" i="6"/>
  <c r="AD512" i="6"/>
  <c r="AD513" i="6"/>
  <c r="AD514" i="6"/>
  <c r="AD515" i="6"/>
  <c r="AD516" i="6"/>
  <c r="AD517" i="6"/>
  <c r="AD518" i="6"/>
  <c r="AD519" i="6"/>
  <c r="AD520" i="6"/>
  <c r="AD521" i="6"/>
  <c r="AD522" i="6"/>
  <c r="AD523" i="6"/>
  <c r="AD524" i="6"/>
  <c r="AD525" i="6"/>
  <c r="AD526" i="6"/>
  <c r="AD527" i="6"/>
  <c r="AD528" i="6"/>
  <c r="AD529" i="6"/>
  <c r="AD530" i="6"/>
  <c r="AD531" i="6"/>
  <c r="AD532" i="6"/>
  <c r="AD533" i="6"/>
  <c r="AD534" i="6"/>
  <c r="AD535" i="6"/>
  <c r="AD536" i="6"/>
  <c r="AD537" i="6"/>
  <c r="AD538" i="6"/>
  <c r="AD539" i="6"/>
  <c r="AD540" i="6"/>
  <c r="AD541" i="6"/>
  <c r="AD542" i="6"/>
  <c r="AD543" i="6"/>
  <c r="AD544" i="6"/>
  <c r="AD545" i="6"/>
  <c r="AD546" i="6"/>
  <c r="AD547" i="6"/>
  <c r="AD548" i="6"/>
  <c r="AD549" i="6"/>
  <c r="AD550" i="6"/>
  <c r="AD551" i="6"/>
  <c r="AD552" i="6"/>
  <c r="AD553" i="6"/>
  <c r="AD554" i="6"/>
  <c r="AD555" i="6"/>
  <c r="AD556" i="6"/>
  <c r="AD557" i="6"/>
  <c r="AD558" i="6"/>
  <c r="AD559" i="6"/>
  <c r="AD560" i="6"/>
  <c r="AD561" i="6"/>
  <c r="AD562" i="6"/>
  <c r="AD563" i="6"/>
  <c r="AD564" i="6"/>
  <c r="AD565" i="6"/>
  <c r="AD566" i="6"/>
  <c r="AD567" i="6"/>
  <c r="AD568" i="6"/>
  <c r="AD569" i="6"/>
  <c r="AD570" i="6"/>
  <c r="AD571" i="6"/>
  <c r="AD572" i="6"/>
  <c r="AD573" i="6"/>
  <c r="AD574" i="6"/>
  <c r="AD575" i="6"/>
  <c r="AD576" i="6"/>
  <c r="AD577" i="6"/>
  <c r="AD578" i="6"/>
  <c r="AD579" i="6"/>
  <c r="AD580" i="6"/>
  <c r="AD581" i="6"/>
  <c r="AD582" i="6"/>
  <c r="AD583" i="6"/>
  <c r="AD584" i="6"/>
  <c r="AD585" i="6"/>
  <c r="AD586" i="6"/>
  <c r="AD587" i="6"/>
  <c r="AD588" i="6"/>
  <c r="AD589" i="6"/>
  <c r="AD590" i="6"/>
  <c r="AD591" i="6"/>
  <c r="AD592" i="6"/>
  <c r="AD593" i="6"/>
  <c r="AD594" i="6"/>
  <c r="AD595" i="6"/>
  <c r="AD596" i="6"/>
  <c r="AD597" i="6"/>
  <c r="AD598"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0" i="6"/>
  <c r="AD661" i="6"/>
  <c r="AD662" i="6"/>
  <c r="AD663" i="6"/>
  <c r="AD664" i="6"/>
  <c r="AD665" i="6"/>
  <c r="AD666" i="6"/>
  <c r="AD667" i="6"/>
  <c r="AD668" i="6"/>
  <c r="AD669" i="6"/>
  <c r="AD670" i="6"/>
  <c r="AD671" i="6"/>
  <c r="AD672" i="6"/>
  <c r="AD673" i="6"/>
  <c r="AD674" i="6"/>
  <c r="AD675" i="6"/>
  <c r="AD676" i="6"/>
  <c r="AD677" i="6"/>
  <c r="AD678" i="6"/>
  <c r="AD679" i="6"/>
  <c r="AD680" i="6"/>
  <c r="AD681" i="6"/>
  <c r="AD682" i="6"/>
  <c r="AD683" i="6"/>
  <c r="AD684" i="6"/>
  <c r="AD685" i="6"/>
  <c r="AD686" i="6"/>
  <c r="AD687" i="6"/>
  <c r="AD688" i="6"/>
  <c r="AD689" i="6"/>
  <c r="AD690" i="6"/>
  <c r="AD691" i="6"/>
  <c r="AD692" i="6"/>
  <c r="AD693" i="6"/>
  <c r="AD694" i="6"/>
  <c r="AD695" i="6"/>
  <c r="AD696" i="6"/>
  <c r="AD697" i="6"/>
  <c r="AD698" i="6"/>
  <c r="AD699" i="6"/>
  <c r="AD700" i="6"/>
  <c r="AD701" i="6"/>
  <c r="AD702" i="6"/>
  <c r="AD703" i="6"/>
  <c r="AD704" i="6"/>
  <c r="AD705" i="6"/>
  <c r="AD706" i="6"/>
  <c r="AD707" i="6"/>
  <c r="AD708" i="6"/>
  <c r="AD709" i="6"/>
  <c r="AD710" i="6"/>
  <c r="AD711" i="6"/>
  <c r="AD712" i="6"/>
  <c r="AD713" i="6"/>
  <c r="AD714" i="6"/>
  <c r="AD715" i="6"/>
  <c r="AD716" i="6"/>
  <c r="AD717" i="6"/>
  <c r="AD718" i="6"/>
  <c r="AD719" i="6"/>
  <c r="AD720" i="6"/>
  <c r="AD721" i="6"/>
  <c r="AD722" i="6"/>
  <c r="AD723" i="6"/>
  <c r="AD724" i="6"/>
  <c r="AD725" i="6"/>
  <c r="AD726" i="6"/>
  <c r="AD727" i="6"/>
  <c r="AD728" i="6"/>
  <c r="AD729" i="6"/>
  <c r="AD730" i="6"/>
  <c r="AD731" i="6"/>
  <c r="AD732" i="6"/>
  <c r="AD733" i="6"/>
  <c r="AD734" i="6"/>
  <c r="AD735" i="6"/>
  <c r="AD736" i="6"/>
  <c r="AD737" i="6"/>
  <c r="AD738" i="6"/>
  <c r="AD739" i="6"/>
  <c r="AD740" i="6"/>
  <c r="AD741" i="6"/>
  <c r="AD742" i="6"/>
  <c r="AD743" i="6"/>
  <c r="AD744" i="6"/>
  <c r="AD745" i="6"/>
  <c r="AD746" i="6"/>
  <c r="AD747" i="6"/>
  <c r="AD748" i="6"/>
  <c r="AD749" i="6"/>
  <c r="AD750" i="6"/>
  <c r="AD751" i="6"/>
  <c r="AD752" i="6"/>
  <c r="AD753" i="6"/>
  <c r="AD754" i="6"/>
  <c r="AD755" i="6"/>
  <c r="AD756" i="6"/>
  <c r="AD757" i="6"/>
  <c r="AD758" i="6"/>
  <c r="AD759" i="6"/>
  <c r="AD760" i="6"/>
  <c r="AD761" i="6"/>
  <c r="AD762" i="6"/>
  <c r="AD763" i="6"/>
  <c r="AD764" i="6"/>
  <c r="AD765" i="6"/>
  <c r="AD766" i="6"/>
  <c r="AD767" i="6"/>
  <c r="AD768" i="6"/>
  <c r="AD769" i="6"/>
  <c r="AD770" i="6"/>
  <c r="AD771" i="6"/>
  <c r="AD772" i="6"/>
  <c r="AD773" i="6"/>
  <c r="AD774" i="6"/>
  <c r="AD775" i="6"/>
  <c r="AD776" i="6"/>
  <c r="AD777" i="6"/>
  <c r="AD778" i="6"/>
  <c r="AD779" i="6"/>
  <c r="AD780" i="6"/>
  <c r="AD781" i="6"/>
  <c r="AD782" i="6"/>
  <c r="AD783" i="6"/>
  <c r="AD784" i="6"/>
  <c r="AD785" i="6"/>
  <c r="AD786" i="6"/>
  <c r="AD787" i="6"/>
  <c r="AD788" i="6"/>
  <c r="AD789" i="6"/>
  <c r="AD790" i="6"/>
  <c r="AD791" i="6"/>
  <c r="AD792" i="6"/>
  <c r="AD793" i="6"/>
  <c r="AD794" i="6"/>
  <c r="AD795" i="6"/>
  <c r="AD796" i="6"/>
  <c r="AD797" i="6"/>
  <c r="AD798" i="6"/>
  <c r="AD799" i="6"/>
  <c r="AD800" i="6"/>
  <c r="AD801" i="6"/>
  <c r="AD802" i="6"/>
  <c r="AD803" i="6"/>
  <c r="AD804" i="6"/>
  <c r="AD805" i="6"/>
  <c r="AD806" i="6"/>
  <c r="AD807" i="6"/>
  <c r="AD808" i="6"/>
  <c r="AD809" i="6"/>
  <c r="AD810" i="6"/>
  <c r="AD811" i="6"/>
  <c r="AD812" i="6"/>
  <c r="AD813" i="6"/>
  <c r="AD814" i="6"/>
  <c r="AD815" i="6"/>
  <c r="AD816" i="6"/>
  <c r="AD817" i="6"/>
  <c r="AD818" i="6"/>
  <c r="AD819" i="6"/>
  <c r="AD820" i="6"/>
  <c r="AD821" i="6"/>
  <c r="AD822" i="6"/>
  <c r="AD823" i="6"/>
  <c r="AD824" i="6"/>
  <c r="AD825" i="6"/>
  <c r="AD826" i="6"/>
  <c r="AD827" i="6"/>
  <c r="AD828" i="6"/>
  <c r="AD829" i="6"/>
  <c r="AD830" i="6"/>
  <c r="AD831" i="6"/>
  <c r="AD832" i="6"/>
  <c r="AD833" i="6"/>
  <c r="AD834" i="6"/>
  <c r="AD835" i="6"/>
  <c r="AD836" i="6"/>
  <c r="AD837" i="6"/>
  <c r="AD838" i="6"/>
  <c r="AD839" i="6"/>
  <c r="AD840" i="6"/>
  <c r="AD841" i="6"/>
  <c r="AD842" i="6"/>
  <c r="AD843" i="6"/>
  <c r="AD844" i="6"/>
  <c r="AD845" i="6"/>
  <c r="AD846" i="6"/>
  <c r="AD847" i="6"/>
  <c r="AD848" i="6"/>
  <c r="AD849" i="6"/>
  <c r="AD850" i="6"/>
  <c r="AD851" i="6"/>
  <c r="AD852" i="6"/>
  <c r="AD853" i="6"/>
  <c r="AD854" i="6"/>
  <c r="AD855" i="6"/>
  <c r="AD856" i="6"/>
  <c r="AD857" i="6"/>
  <c r="AD858" i="6"/>
  <c r="AD859" i="6"/>
  <c r="AD860" i="6"/>
  <c r="AD861" i="6"/>
  <c r="AD862" i="6"/>
  <c r="AD863" i="6"/>
  <c r="AD864" i="6"/>
  <c r="AD865" i="6"/>
  <c r="AD866" i="6"/>
  <c r="AD867" i="6"/>
  <c r="AD868" i="6"/>
  <c r="AD869" i="6"/>
  <c r="AD870" i="6"/>
  <c r="AD871" i="6"/>
  <c r="AD872" i="6"/>
  <c r="AD873" i="6"/>
  <c r="AD874" i="6"/>
  <c r="AD875" i="6"/>
  <c r="AD876" i="6"/>
  <c r="AD877" i="6"/>
  <c r="AD878" i="6"/>
  <c r="AD879" i="6"/>
  <c r="AD880" i="6"/>
  <c r="AD881" i="6"/>
  <c r="AD882" i="6"/>
  <c r="AD883" i="6"/>
  <c r="AD884" i="6"/>
  <c r="AD885" i="6"/>
  <c r="AD886" i="6"/>
  <c r="AD887" i="6"/>
  <c r="AD888" i="6"/>
  <c r="AD889" i="6"/>
  <c r="AD890" i="6"/>
  <c r="AD891" i="6"/>
  <c r="AD892" i="6"/>
  <c r="AD893" i="6"/>
  <c r="AD894" i="6"/>
  <c r="AD895" i="6"/>
  <c r="AD896" i="6"/>
  <c r="AD897" i="6"/>
  <c r="AD898" i="6"/>
  <c r="AD899" i="6"/>
  <c r="AD900" i="6"/>
  <c r="AD901" i="6"/>
  <c r="AD902" i="6"/>
  <c r="AD903" i="6"/>
  <c r="AD904" i="6"/>
  <c r="AD905" i="6"/>
  <c r="AD906" i="6"/>
  <c r="AD907" i="6"/>
  <c r="AD908" i="6"/>
  <c r="AD909" i="6"/>
  <c r="AD910" i="6"/>
  <c r="AD911" i="6"/>
  <c r="AD912" i="6"/>
  <c r="AD913" i="6"/>
  <c r="AD914" i="6"/>
  <c r="AD915" i="6"/>
  <c r="AD916" i="6"/>
  <c r="AD917" i="6"/>
  <c r="AD918" i="6"/>
  <c r="AD919" i="6"/>
  <c r="AD920" i="6"/>
  <c r="AD921" i="6"/>
  <c r="AD922" i="6"/>
  <c r="AD923" i="6"/>
  <c r="AD924" i="6"/>
  <c r="AD925" i="6"/>
  <c r="AD926" i="6"/>
  <c r="AD927" i="6"/>
  <c r="AD928" i="6"/>
  <c r="AD929" i="6"/>
  <c r="AD930" i="6"/>
  <c r="AD931" i="6"/>
  <c r="AD932" i="6"/>
  <c r="AD933" i="6"/>
  <c r="AD934" i="6"/>
  <c r="AD935" i="6"/>
  <c r="AD936" i="6"/>
  <c r="AD937" i="6"/>
  <c r="AD938" i="6"/>
  <c r="AD939" i="6"/>
  <c r="AD940" i="6"/>
  <c r="AD941" i="6"/>
  <c r="AD942" i="6"/>
  <c r="AD943" i="6"/>
  <c r="AD944" i="6"/>
  <c r="AD945" i="6"/>
  <c r="AD946" i="6"/>
  <c r="AD947" i="6"/>
  <c r="AD948" i="6"/>
  <c r="AD949" i="6"/>
  <c r="AD950" i="6"/>
  <c r="AD951" i="6"/>
  <c r="AD952" i="6"/>
  <c r="AD953" i="6"/>
  <c r="AD954" i="6"/>
  <c r="AD955" i="6"/>
  <c r="AD956" i="6"/>
  <c r="AD957" i="6"/>
  <c r="AD958" i="6"/>
  <c r="AD959" i="6"/>
  <c r="AD960" i="6"/>
  <c r="AD961" i="6"/>
  <c r="AD962" i="6"/>
  <c r="AD963" i="6"/>
  <c r="AD964" i="6"/>
  <c r="AD965" i="6"/>
  <c r="AD966" i="6"/>
  <c r="AD967" i="6"/>
  <c r="AD968" i="6"/>
  <c r="AD969" i="6"/>
  <c r="AD970" i="6"/>
  <c r="AD971" i="6"/>
  <c r="AD972" i="6"/>
  <c r="AD973" i="6"/>
  <c r="AD974" i="6"/>
  <c r="AD975" i="6"/>
  <c r="AD976" i="6"/>
  <c r="AD977" i="6"/>
  <c r="AD978" i="6"/>
  <c r="AD979" i="6"/>
  <c r="AD980" i="6"/>
  <c r="AD981" i="6"/>
  <c r="AD982" i="6"/>
  <c r="AD983" i="6"/>
  <c r="AD984" i="6"/>
  <c r="AD985" i="6"/>
  <c r="AD986" i="6"/>
  <c r="AD987" i="6"/>
  <c r="AD988" i="6"/>
  <c r="AD989" i="6"/>
  <c r="AD990" i="6"/>
  <c r="AD991" i="6"/>
  <c r="AD992" i="6"/>
  <c r="AD993" i="6"/>
  <c r="AD994" i="6"/>
  <c r="AD995" i="6"/>
  <c r="AD996" i="6"/>
  <c r="AD997" i="6"/>
  <c r="AD998" i="6"/>
  <c r="AD999" i="6"/>
  <c r="AD1000" i="6"/>
  <c r="AD1001" i="6"/>
  <c r="AD2" i="6"/>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1000" i="6"/>
  <c r="V1001" i="6"/>
  <c r="V2" i="6"/>
  <c r="K3" i="6"/>
  <c r="L3" i="6"/>
  <c r="K4" i="6"/>
  <c r="L4" i="6"/>
  <c r="K5" i="6"/>
  <c r="L5" i="6"/>
  <c r="K6" i="6"/>
  <c r="L6" i="6"/>
  <c r="K7" i="6"/>
  <c r="L7" i="6"/>
  <c r="K8" i="6"/>
  <c r="L8" i="6"/>
  <c r="K9" i="6"/>
  <c r="L9" i="6"/>
  <c r="K10" i="6"/>
  <c r="L10" i="6"/>
  <c r="K11" i="6"/>
  <c r="L11" i="6"/>
  <c r="K12" i="6"/>
  <c r="L12" i="6"/>
  <c r="K13" i="6"/>
  <c r="L13" i="6"/>
  <c r="K14" i="6"/>
  <c r="L14" i="6"/>
  <c r="K15" i="6"/>
  <c r="L15" i="6"/>
  <c r="K16" i="6"/>
  <c r="L16" i="6"/>
  <c r="K17" i="6"/>
  <c r="L17" i="6"/>
  <c r="K18" i="6"/>
  <c r="L18" i="6"/>
  <c r="K19" i="6"/>
  <c r="L19" i="6"/>
  <c r="K20" i="6"/>
  <c r="L20" i="6"/>
  <c r="K21" i="6"/>
  <c r="L21" i="6"/>
  <c r="K22" i="6"/>
  <c r="L22" i="6"/>
  <c r="K23" i="6"/>
  <c r="L23" i="6"/>
  <c r="K24" i="6"/>
  <c r="L24" i="6"/>
  <c r="K25" i="6"/>
  <c r="L25" i="6"/>
  <c r="K26" i="6"/>
  <c r="L26" i="6"/>
  <c r="K27" i="6"/>
  <c r="L27" i="6"/>
  <c r="K28" i="6"/>
  <c r="L28" i="6"/>
  <c r="K29" i="6"/>
  <c r="L29" i="6"/>
  <c r="K30" i="6"/>
  <c r="L30" i="6"/>
  <c r="K31" i="6"/>
  <c r="L31" i="6"/>
  <c r="K32" i="6"/>
  <c r="L32" i="6"/>
  <c r="K33" i="6"/>
  <c r="L33" i="6"/>
  <c r="K34" i="6"/>
  <c r="L34" i="6"/>
  <c r="K35" i="6"/>
  <c r="L35" i="6"/>
  <c r="K36" i="6"/>
  <c r="L36" i="6"/>
  <c r="K37" i="6"/>
  <c r="L37" i="6"/>
  <c r="K38" i="6"/>
  <c r="L38" i="6"/>
  <c r="K39" i="6"/>
  <c r="L39" i="6"/>
  <c r="K40" i="6"/>
  <c r="L40" i="6"/>
  <c r="K41" i="6"/>
  <c r="L41" i="6"/>
  <c r="K42" i="6"/>
  <c r="L42" i="6"/>
  <c r="K43" i="6"/>
  <c r="L43" i="6"/>
  <c r="K44" i="6"/>
  <c r="L44" i="6"/>
  <c r="K45" i="6"/>
  <c r="L45" i="6"/>
  <c r="K46" i="6"/>
  <c r="L46" i="6"/>
  <c r="K47" i="6"/>
  <c r="L47" i="6"/>
  <c r="K48" i="6"/>
  <c r="L48" i="6"/>
  <c r="K49" i="6"/>
  <c r="L49" i="6"/>
  <c r="K50" i="6"/>
  <c r="L50" i="6"/>
  <c r="K51" i="6"/>
  <c r="L51" i="6"/>
  <c r="K52" i="6"/>
  <c r="L52" i="6"/>
  <c r="K53" i="6"/>
  <c r="L53" i="6"/>
  <c r="K54" i="6"/>
  <c r="L54" i="6"/>
  <c r="K55" i="6"/>
  <c r="L55" i="6"/>
  <c r="K56" i="6"/>
  <c r="L56" i="6"/>
  <c r="K57" i="6"/>
  <c r="L57" i="6"/>
  <c r="K58" i="6"/>
  <c r="L58" i="6"/>
  <c r="K59" i="6"/>
  <c r="L59" i="6"/>
  <c r="K60" i="6"/>
  <c r="L60" i="6"/>
  <c r="K61" i="6"/>
  <c r="L61" i="6"/>
  <c r="K62" i="6"/>
  <c r="L62" i="6"/>
  <c r="K63" i="6"/>
  <c r="L63" i="6"/>
  <c r="K64" i="6"/>
  <c r="L64" i="6"/>
  <c r="K65" i="6"/>
  <c r="L65" i="6"/>
  <c r="K66" i="6"/>
  <c r="L66" i="6"/>
  <c r="K67" i="6"/>
  <c r="L67" i="6"/>
  <c r="K68" i="6"/>
  <c r="L68" i="6"/>
  <c r="K69" i="6"/>
  <c r="L69" i="6"/>
  <c r="K70" i="6"/>
  <c r="L70" i="6"/>
  <c r="K71" i="6"/>
  <c r="L71" i="6"/>
  <c r="K72" i="6"/>
  <c r="L72" i="6"/>
  <c r="K73" i="6"/>
  <c r="L73" i="6"/>
  <c r="K74" i="6"/>
  <c r="L74" i="6"/>
  <c r="K75" i="6"/>
  <c r="L75" i="6"/>
  <c r="K76" i="6"/>
  <c r="L76" i="6"/>
  <c r="K77" i="6"/>
  <c r="L77" i="6"/>
  <c r="K78" i="6"/>
  <c r="L78" i="6"/>
  <c r="K79" i="6"/>
  <c r="L79" i="6"/>
  <c r="K80" i="6"/>
  <c r="L80" i="6"/>
  <c r="K81" i="6"/>
  <c r="L81" i="6"/>
  <c r="K82" i="6"/>
  <c r="L82" i="6"/>
  <c r="K83" i="6"/>
  <c r="L83" i="6"/>
  <c r="K84" i="6"/>
  <c r="L84" i="6"/>
  <c r="K85" i="6"/>
  <c r="L85" i="6"/>
  <c r="K86" i="6"/>
  <c r="L86" i="6"/>
  <c r="K87" i="6"/>
  <c r="L87" i="6"/>
  <c r="K88" i="6"/>
  <c r="L88" i="6"/>
  <c r="K89" i="6"/>
  <c r="L89" i="6"/>
  <c r="K90" i="6"/>
  <c r="L90" i="6"/>
  <c r="K91" i="6"/>
  <c r="L91" i="6"/>
  <c r="K92" i="6"/>
  <c r="L92" i="6"/>
  <c r="K93" i="6"/>
  <c r="L93" i="6"/>
  <c r="K94" i="6"/>
  <c r="L94" i="6"/>
  <c r="K95" i="6"/>
  <c r="L95" i="6"/>
  <c r="K96" i="6"/>
  <c r="L96" i="6"/>
  <c r="K97" i="6"/>
  <c r="L97" i="6"/>
  <c r="K98" i="6"/>
  <c r="L98" i="6"/>
  <c r="K99" i="6"/>
  <c r="L99" i="6"/>
  <c r="K100" i="6"/>
  <c r="L100" i="6"/>
  <c r="K101" i="6"/>
  <c r="L101" i="6"/>
  <c r="K102" i="6"/>
  <c r="L102" i="6"/>
  <c r="K103" i="6"/>
  <c r="L103" i="6"/>
  <c r="K104" i="6"/>
  <c r="L104" i="6"/>
  <c r="K105" i="6"/>
  <c r="L105" i="6"/>
  <c r="K106" i="6"/>
  <c r="L106" i="6"/>
  <c r="K107" i="6"/>
  <c r="L107" i="6"/>
  <c r="K108" i="6"/>
  <c r="L108" i="6"/>
  <c r="K109" i="6"/>
  <c r="L109" i="6"/>
  <c r="K110" i="6"/>
  <c r="L110" i="6"/>
  <c r="K111" i="6"/>
  <c r="L111" i="6"/>
  <c r="K112" i="6"/>
  <c r="L112" i="6"/>
  <c r="K113" i="6"/>
  <c r="L113" i="6"/>
  <c r="K114" i="6"/>
  <c r="L114" i="6"/>
  <c r="K115" i="6"/>
  <c r="L115" i="6"/>
  <c r="K116" i="6"/>
  <c r="L116" i="6"/>
  <c r="K117" i="6"/>
  <c r="L117" i="6"/>
  <c r="K118" i="6"/>
  <c r="L118" i="6"/>
  <c r="K119" i="6"/>
  <c r="L119" i="6"/>
  <c r="K120" i="6"/>
  <c r="L120" i="6"/>
  <c r="K121" i="6"/>
  <c r="L121" i="6"/>
  <c r="K122" i="6"/>
  <c r="L122" i="6"/>
  <c r="K123" i="6"/>
  <c r="L123" i="6"/>
  <c r="K124" i="6"/>
  <c r="L124" i="6"/>
  <c r="K125" i="6"/>
  <c r="L125" i="6"/>
  <c r="K126" i="6"/>
  <c r="L126" i="6"/>
  <c r="K127" i="6"/>
  <c r="L127" i="6"/>
  <c r="K128" i="6"/>
  <c r="L128" i="6"/>
  <c r="K129" i="6"/>
  <c r="L129" i="6"/>
  <c r="K130" i="6"/>
  <c r="L130" i="6"/>
  <c r="K131" i="6"/>
  <c r="L131" i="6"/>
  <c r="K132" i="6"/>
  <c r="L132" i="6"/>
  <c r="K133" i="6"/>
  <c r="L133" i="6"/>
  <c r="K134" i="6"/>
  <c r="L134" i="6"/>
  <c r="K135" i="6"/>
  <c r="L135" i="6"/>
  <c r="K136" i="6"/>
  <c r="L136" i="6"/>
  <c r="K137" i="6"/>
  <c r="L137" i="6"/>
  <c r="K138" i="6"/>
  <c r="L138" i="6"/>
  <c r="K139" i="6"/>
  <c r="L139" i="6"/>
  <c r="K140" i="6"/>
  <c r="L140" i="6"/>
  <c r="K141" i="6"/>
  <c r="L141" i="6"/>
  <c r="K142" i="6"/>
  <c r="L142" i="6"/>
  <c r="K143" i="6"/>
  <c r="L143" i="6"/>
  <c r="K144" i="6"/>
  <c r="L144" i="6"/>
  <c r="K145" i="6"/>
  <c r="L145" i="6"/>
  <c r="K146" i="6"/>
  <c r="L146" i="6"/>
  <c r="K147" i="6"/>
  <c r="L147" i="6"/>
  <c r="K148" i="6"/>
  <c r="L148" i="6"/>
  <c r="K149" i="6"/>
  <c r="L149" i="6"/>
  <c r="K150" i="6"/>
  <c r="L150" i="6"/>
  <c r="K151" i="6"/>
  <c r="L151" i="6"/>
  <c r="K152" i="6"/>
  <c r="L152" i="6"/>
  <c r="K153" i="6"/>
  <c r="L153" i="6"/>
  <c r="K154" i="6"/>
  <c r="L154" i="6"/>
  <c r="K155" i="6"/>
  <c r="L155" i="6"/>
  <c r="K156" i="6"/>
  <c r="L156" i="6"/>
  <c r="K157" i="6"/>
  <c r="L157" i="6"/>
  <c r="K158" i="6"/>
  <c r="L158" i="6"/>
  <c r="K159" i="6"/>
  <c r="L159" i="6"/>
  <c r="K160" i="6"/>
  <c r="L160" i="6"/>
  <c r="K161" i="6"/>
  <c r="L161" i="6"/>
  <c r="K162" i="6"/>
  <c r="L162" i="6"/>
  <c r="K163" i="6"/>
  <c r="L163" i="6"/>
  <c r="K164" i="6"/>
  <c r="L164" i="6"/>
  <c r="K165" i="6"/>
  <c r="L165" i="6"/>
  <c r="K166" i="6"/>
  <c r="L166" i="6"/>
  <c r="K167" i="6"/>
  <c r="L167" i="6"/>
  <c r="K168" i="6"/>
  <c r="L168" i="6"/>
  <c r="K169" i="6"/>
  <c r="L169" i="6"/>
  <c r="K170" i="6"/>
  <c r="L170" i="6"/>
  <c r="K171" i="6"/>
  <c r="L171" i="6"/>
  <c r="K172" i="6"/>
  <c r="L172" i="6"/>
  <c r="K173" i="6"/>
  <c r="L173" i="6"/>
  <c r="K174" i="6"/>
  <c r="L174" i="6"/>
  <c r="K175" i="6"/>
  <c r="L175" i="6"/>
  <c r="K176" i="6"/>
  <c r="L176" i="6"/>
  <c r="K177" i="6"/>
  <c r="L177" i="6"/>
  <c r="K178" i="6"/>
  <c r="L178" i="6"/>
  <c r="K179" i="6"/>
  <c r="L179" i="6"/>
  <c r="K180" i="6"/>
  <c r="L180" i="6"/>
  <c r="K181" i="6"/>
  <c r="L181" i="6"/>
  <c r="K182" i="6"/>
  <c r="L182" i="6"/>
  <c r="K183" i="6"/>
  <c r="L183" i="6"/>
  <c r="K184" i="6"/>
  <c r="L184" i="6"/>
  <c r="K185" i="6"/>
  <c r="L185" i="6"/>
  <c r="K186" i="6"/>
  <c r="L186" i="6"/>
  <c r="K187" i="6"/>
  <c r="L187" i="6"/>
  <c r="K188" i="6"/>
  <c r="L188" i="6"/>
  <c r="K189" i="6"/>
  <c r="L189" i="6"/>
  <c r="K190" i="6"/>
  <c r="L190" i="6"/>
  <c r="K191" i="6"/>
  <c r="L191" i="6"/>
  <c r="K192" i="6"/>
  <c r="L192" i="6"/>
  <c r="K193" i="6"/>
  <c r="L193" i="6"/>
  <c r="K194" i="6"/>
  <c r="L194" i="6"/>
  <c r="K195" i="6"/>
  <c r="L195" i="6"/>
  <c r="K196" i="6"/>
  <c r="L196" i="6"/>
  <c r="K197" i="6"/>
  <c r="L197" i="6"/>
  <c r="K198" i="6"/>
  <c r="L198" i="6"/>
  <c r="K199" i="6"/>
  <c r="L199" i="6"/>
  <c r="K200" i="6"/>
  <c r="L200" i="6"/>
  <c r="K201" i="6"/>
  <c r="L201" i="6"/>
  <c r="K202" i="6"/>
  <c r="L202" i="6"/>
  <c r="K203" i="6"/>
  <c r="L203" i="6"/>
  <c r="K204" i="6"/>
  <c r="L204" i="6"/>
  <c r="K205" i="6"/>
  <c r="L205" i="6"/>
  <c r="K206" i="6"/>
  <c r="L206" i="6"/>
  <c r="K207" i="6"/>
  <c r="L207" i="6"/>
  <c r="K208" i="6"/>
  <c r="L208" i="6"/>
  <c r="K209" i="6"/>
  <c r="L209" i="6"/>
  <c r="K210" i="6"/>
  <c r="L210" i="6"/>
  <c r="K211" i="6"/>
  <c r="L211" i="6"/>
  <c r="K212" i="6"/>
  <c r="L212" i="6"/>
  <c r="K213" i="6"/>
  <c r="L213" i="6"/>
  <c r="K214" i="6"/>
  <c r="L214" i="6"/>
  <c r="K215" i="6"/>
  <c r="L215" i="6"/>
  <c r="K216" i="6"/>
  <c r="L216" i="6"/>
  <c r="K217" i="6"/>
  <c r="L217" i="6"/>
  <c r="K218" i="6"/>
  <c r="L218" i="6"/>
  <c r="K219" i="6"/>
  <c r="L219" i="6"/>
  <c r="K220" i="6"/>
  <c r="L220" i="6"/>
  <c r="K221" i="6"/>
  <c r="L221" i="6"/>
  <c r="K222" i="6"/>
  <c r="L222" i="6"/>
  <c r="K223" i="6"/>
  <c r="L223" i="6"/>
  <c r="K224" i="6"/>
  <c r="L224" i="6"/>
  <c r="K225" i="6"/>
  <c r="L225" i="6"/>
  <c r="K226" i="6"/>
  <c r="L226" i="6"/>
  <c r="K227" i="6"/>
  <c r="L227" i="6"/>
  <c r="K228" i="6"/>
  <c r="L228" i="6"/>
  <c r="K229" i="6"/>
  <c r="L229" i="6"/>
  <c r="K230" i="6"/>
  <c r="L230" i="6"/>
  <c r="K231" i="6"/>
  <c r="L231" i="6"/>
  <c r="K232" i="6"/>
  <c r="L232" i="6"/>
  <c r="K233" i="6"/>
  <c r="L233" i="6"/>
  <c r="K234" i="6"/>
  <c r="L234" i="6"/>
  <c r="K235" i="6"/>
  <c r="L235" i="6"/>
  <c r="K236" i="6"/>
  <c r="L236" i="6"/>
  <c r="K237" i="6"/>
  <c r="L237" i="6"/>
  <c r="K238" i="6"/>
  <c r="L238" i="6"/>
  <c r="K239" i="6"/>
  <c r="L239" i="6"/>
  <c r="K240" i="6"/>
  <c r="L240" i="6"/>
  <c r="K241" i="6"/>
  <c r="L241" i="6"/>
  <c r="K242" i="6"/>
  <c r="L242" i="6"/>
  <c r="K243" i="6"/>
  <c r="L243" i="6"/>
  <c r="K244" i="6"/>
  <c r="L244" i="6"/>
  <c r="K245" i="6"/>
  <c r="L245" i="6"/>
  <c r="K246" i="6"/>
  <c r="L246" i="6"/>
  <c r="K247" i="6"/>
  <c r="L247" i="6"/>
  <c r="K248" i="6"/>
  <c r="L248" i="6"/>
  <c r="K249" i="6"/>
  <c r="L249" i="6"/>
  <c r="K250" i="6"/>
  <c r="L250" i="6"/>
  <c r="K251" i="6"/>
  <c r="L251" i="6"/>
  <c r="K252" i="6"/>
  <c r="L252" i="6"/>
  <c r="K253" i="6"/>
  <c r="L253" i="6"/>
  <c r="K254" i="6"/>
  <c r="L254" i="6"/>
  <c r="K255" i="6"/>
  <c r="L255" i="6"/>
  <c r="K256" i="6"/>
  <c r="L256" i="6"/>
  <c r="K257" i="6"/>
  <c r="L257" i="6"/>
  <c r="K258" i="6"/>
  <c r="L258" i="6"/>
  <c r="K259" i="6"/>
  <c r="L259" i="6"/>
  <c r="K260" i="6"/>
  <c r="L260" i="6"/>
  <c r="K261" i="6"/>
  <c r="L261" i="6"/>
  <c r="K262" i="6"/>
  <c r="L262" i="6"/>
  <c r="K263" i="6"/>
  <c r="L263" i="6"/>
  <c r="K264" i="6"/>
  <c r="L264" i="6"/>
  <c r="K265" i="6"/>
  <c r="L265" i="6"/>
  <c r="K266" i="6"/>
  <c r="L266" i="6"/>
  <c r="K267" i="6"/>
  <c r="L267" i="6"/>
  <c r="K268" i="6"/>
  <c r="L268" i="6"/>
  <c r="K269" i="6"/>
  <c r="L269" i="6"/>
  <c r="K270" i="6"/>
  <c r="L270" i="6"/>
  <c r="K271" i="6"/>
  <c r="L271" i="6"/>
  <c r="K272" i="6"/>
  <c r="L272" i="6"/>
  <c r="K273" i="6"/>
  <c r="L273" i="6"/>
  <c r="K274" i="6"/>
  <c r="L274" i="6"/>
  <c r="K275" i="6"/>
  <c r="L275" i="6"/>
  <c r="K276" i="6"/>
  <c r="L276" i="6"/>
  <c r="K277" i="6"/>
  <c r="L277" i="6"/>
  <c r="K278" i="6"/>
  <c r="L278" i="6"/>
  <c r="K279" i="6"/>
  <c r="L279" i="6"/>
  <c r="K280" i="6"/>
  <c r="L280" i="6"/>
  <c r="K281" i="6"/>
  <c r="L281" i="6"/>
  <c r="K282" i="6"/>
  <c r="L282" i="6"/>
  <c r="K283" i="6"/>
  <c r="L283" i="6"/>
  <c r="K284" i="6"/>
  <c r="L284" i="6"/>
  <c r="K285" i="6"/>
  <c r="L285" i="6"/>
  <c r="K286" i="6"/>
  <c r="L286" i="6"/>
  <c r="K287" i="6"/>
  <c r="L287" i="6"/>
  <c r="K288" i="6"/>
  <c r="L288" i="6"/>
  <c r="K289" i="6"/>
  <c r="L289" i="6"/>
  <c r="K290" i="6"/>
  <c r="L290" i="6"/>
  <c r="K291" i="6"/>
  <c r="L291" i="6"/>
  <c r="K292" i="6"/>
  <c r="L292" i="6"/>
  <c r="K293" i="6"/>
  <c r="L293" i="6"/>
  <c r="K294" i="6"/>
  <c r="L294" i="6"/>
  <c r="K295" i="6"/>
  <c r="L295" i="6"/>
  <c r="K296" i="6"/>
  <c r="L296" i="6"/>
  <c r="K297" i="6"/>
  <c r="L297" i="6"/>
  <c r="K298" i="6"/>
  <c r="L298" i="6"/>
  <c r="K299" i="6"/>
  <c r="L299" i="6"/>
  <c r="K300" i="6"/>
  <c r="L300" i="6"/>
  <c r="K301" i="6"/>
  <c r="L301" i="6"/>
  <c r="K302" i="6"/>
  <c r="L302" i="6"/>
  <c r="K303" i="6"/>
  <c r="L303" i="6"/>
  <c r="K304" i="6"/>
  <c r="L304" i="6"/>
  <c r="K305" i="6"/>
  <c r="L305" i="6"/>
  <c r="K306" i="6"/>
  <c r="L306" i="6"/>
  <c r="K307" i="6"/>
  <c r="L307" i="6"/>
  <c r="K308" i="6"/>
  <c r="L308" i="6"/>
  <c r="K309" i="6"/>
  <c r="L309" i="6"/>
  <c r="K310" i="6"/>
  <c r="L310" i="6"/>
  <c r="K311" i="6"/>
  <c r="L311" i="6"/>
  <c r="K312" i="6"/>
  <c r="L312" i="6"/>
  <c r="K313" i="6"/>
  <c r="L313" i="6"/>
  <c r="K314" i="6"/>
  <c r="L314" i="6"/>
  <c r="K315" i="6"/>
  <c r="L315" i="6"/>
  <c r="K316" i="6"/>
  <c r="L316" i="6"/>
  <c r="K317" i="6"/>
  <c r="L317" i="6"/>
  <c r="K318" i="6"/>
  <c r="L318" i="6"/>
  <c r="K319" i="6"/>
  <c r="L319" i="6"/>
  <c r="K320" i="6"/>
  <c r="L320" i="6"/>
  <c r="K321" i="6"/>
  <c r="L321" i="6"/>
  <c r="K322" i="6"/>
  <c r="L322" i="6"/>
  <c r="K323" i="6"/>
  <c r="L323" i="6"/>
  <c r="K324" i="6"/>
  <c r="L324" i="6"/>
  <c r="K325" i="6"/>
  <c r="L325" i="6"/>
  <c r="K326" i="6"/>
  <c r="L326" i="6"/>
  <c r="K327" i="6"/>
  <c r="L327" i="6"/>
  <c r="K328" i="6"/>
  <c r="L328" i="6"/>
  <c r="K329" i="6"/>
  <c r="L329" i="6"/>
  <c r="K330" i="6"/>
  <c r="L330" i="6"/>
  <c r="K331" i="6"/>
  <c r="L331" i="6"/>
  <c r="K332" i="6"/>
  <c r="L332" i="6"/>
  <c r="K333" i="6"/>
  <c r="L333" i="6"/>
  <c r="K334" i="6"/>
  <c r="L334" i="6"/>
  <c r="K335" i="6"/>
  <c r="L335" i="6"/>
  <c r="K336" i="6"/>
  <c r="L336" i="6"/>
  <c r="K337" i="6"/>
  <c r="L337" i="6"/>
  <c r="K338" i="6"/>
  <c r="L338" i="6"/>
  <c r="K339" i="6"/>
  <c r="L339" i="6"/>
  <c r="K340" i="6"/>
  <c r="L340" i="6"/>
  <c r="K341" i="6"/>
  <c r="L341" i="6"/>
  <c r="K342" i="6"/>
  <c r="L342" i="6"/>
  <c r="K343" i="6"/>
  <c r="L343" i="6"/>
  <c r="K344" i="6"/>
  <c r="L344" i="6"/>
  <c r="K345" i="6"/>
  <c r="L345" i="6"/>
  <c r="K346" i="6"/>
  <c r="L346" i="6"/>
  <c r="K347" i="6"/>
  <c r="L347" i="6"/>
  <c r="K348" i="6"/>
  <c r="L348" i="6"/>
  <c r="K349" i="6"/>
  <c r="L349" i="6"/>
  <c r="K350" i="6"/>
  <c r="L350" i="6"/>
  <c r="K351" i="6"/>
  <c r="L351" i="6"/>
  <c r="K352" i="6"/>
  <c r="L352" i="6"/>
  <c r="K353" i="6"/>
  <c r="L353" i="6"/>
  <c r="K354" i="6"/>
  <c r="L354" i="6"/>
  <c r="K355" i="6"/>
  <c r="L355" i="6"/>
  <c r="K356" i="6"/>
  <c r="L356" i="6"/>
  <c r="K357" i="6"/>
  <c r="L357" i="6"/>
  <c r="K358" i="6"/>
  <c r="L358" i="6"/>
  <c r="K359" i="6"/>
  <c r="L359" i="6"/>
  <c r="K360" i="6"/>
  <c r="L360" i="6"/>
  <c r="K361" i="6"/>
  <c r="L361" i="6"/>
  <c r="K362" i="6"/>
  <c r="L362" i="6"/>
  <c r="K363" i="6"/>
  <c r="L363" i="6"/>
  <c r="K364" i="6"/>
  <c r="L364" i="6"/>
  <c r="K365" i="6"/>
  <c r="L365" i="6"/>
  <c r="K366" i="6"/>
  <c r="L366" i="6"/>
  <c r="K367" i="6"/>
  <c r="L367" i="6"/>
  <c r="K368" i="6"/>
  <c r="L368" i="6"/>
  <c r="K369" i="6"/>
  <c r="L369" i="6"/>
  <c r="K370" i="6"/>
  <c r="L370" i="6"/>
  <c r="K371" i="6"/>
  <c r="L371" i="6"/>
  <c r="K372" i="6"/>
  <c r="L372" i="6"/>
  <c r="K373" i="6"/>
  <c r="L373" i="6"/>
  <c r="K374" i="6"/>
  <c r="L374" i="6"/>
  <c r="K375" i="6"/>
  <c r="L375" i="6"/>
  <c r="K376" i="6"/>
  <c r="L376" i="6"/>
  <c r="K377" i="6"/>
  <c r="L377" i="6"/>
  <c r="K378" i="6"/>
  <c r="L378" i="6"/>
  <c r="K379" i="6"/>
  <c r="L379" i="6"/>
  <c r="K380" i="6"/>
  <c r="L380" i="6"/>
  <c r="K381" i="6"/>
  <c r="L381" i="6"/>
  <c r="K382" i="6"/>
  <c r="L382" i="6"/>
  <c r="K383" i="6"/>
  <c r="L383" i="6"/>
  <c r="K384" i="6"/>
  <c r="L384" i="6"/>
  <c r="K385" i="6"/>
  <c r="L385" i="6"/>
  <c r="K386" i="6"/>
  <c r="L386" i="6"/>
  <c r="K387" i="6"/>
  <c r="L387" i="6"/>
  <c r="K388" i="6"/>
  <c r="L388" i="6"/>
  <c r="K389" i="6"/>
  <c r="L389" i="6"/>
  <c r="K390" i="6"/>
  <c r="L390" i="6"/>
  <c r="K391" i="6"/>
  <c r="L391" i="6"/>
  <c r="K392" i="6"/>
  <c r="L392" i="6"/>
  <c r="K393" i="6"/>
  <c r="L393" i="6"/>
  <c r="K394" i="6"/>
  <c r="L394" i="6"/>
  <c r="K395" i="6"/>
  <c r="L395" i="6"/>
  <c r="K396" i="6"/>
  <c r="L396" i="6"/>
  <c r="K397" i="6"/>
  <c r="L397" i="6"/>
  <c r="K398" i="6"/>
  <c r="L398" i="6"/>
  <c r="K399" i="6"/>
  <c r="L399" i="6"/>
  <c r="K400" i="6"/>
  <c r="L400" i="6"/>
  <c r="K401" i="6"/>
  <c r="L401" i="6"/>
  <c r="K402" i="6"/>
  <c r="L402" i="6"/>
  <c r="K403" i="6"/>
  <c r="L403" i="6"/>
  <c r="K404" i="6"/>
  <c r="L404" i="6"/>
  <c r="K405" i="6"/>
  <c r="L405" i="6"/>
  <c r="K406" i="6"/>
  <c r="L406" i="6"/>
  <c r="K407" i="6"/>
  <c r="L407" i="6"/>
  <c r="K408" i="6"/>
  <c r="L408" i="6"/>
  <c r="K409" i="6"/>
  <c r="L409" i="6"/>
  <c r="K410" i="6"/>
  <c r="L410" i="6"/>
  <c r="K411" i="6"/>
  <c r="L411" i="6"/>
  <c r="K412" i="6"/>
  <c r="L412" i="6"/>
  <c r="K413" i="6"/>
  <c r="L413" i="6"/>
  <c r="K414" i="6"/>
  <c r="L414" i="6"/>
  <c r="K415" i="6"/>
  <c r="L415" i="6"/>
  <c r="K416" i="6"/>
  <c r="L416" i="6"/>
  <c r="K417" i="6"/>
  <c r="L417" i="6"/>
  <c r="K418" i="6"/>
  <c r="L418" i="6"/>
  <c r="K419" i="6"/>
  <c r="L419" i="6"/>
  <c r="K420" i="6"/>
  <c r="L420" i="6"/>
  <c r="K421" i="6"/>
  <c r="L421" i="6"/>
  <c r="K422" i="6"/>
  <c r="L422" i="6"/>
  <c r="K423" i="6"/>
  <c r="L423" i="6"/>
  <c r="K424" i="6"/>
  <c r="L424" i="6"/>
  <c r="K425" i="6"/>
  <c r="L425" i="6"/>
  <c r="K426" i="6"/>
  <c r="L426" i="6"/>
  <c r="K427" i="6"/>
  <c r="L427" i="6"/>
  <c r="K428" i="6"/>
  <c r="L428" i="6"/>
  <c r="K429" i="6"/>
  <c r="L429" i="6"/>
  <c r="K430" i="6"/>
  <c r="L430" i="6"/>
  <c r="K431" i="6"/>
  <c r="L431" i="6"/>
  <c r="K432" i="6"/>
  <c r="L432" i="6"/>
  <c r="K433" i="6"/>
  <c r="L433" i="6"/>
  <c r="K434" i="6"/>
  <c r="L434" i="6"/>
  <c r="K435" i="6"/>
  <c r="L435" i="6"/>
  <c r="K436" i="6"/>
  <c r="L436" i="6"/>
  <c r="K437" i="6"/>
  <c r="L437" i="6"/>
  <c r="K438" i="6"/>
  <c r="L438" i="6"/>
  <c r="K439" i="6"/>
  <c r="L439" i="6"/>
  <c r="K440" i="6"/>
  <c r="L440" i="6"/>
  <c r="K441" i="6"/>
  <c r="L441" i="6"/>
  <c r="K442" i="6"/>
  <c r="L442" i="6"/>
  <c r="K443" i="6"/>
  <c r="L443" i="6"/>
  <c r="K444" i="6"/>
  <c r="L444" i="6"/>
  <c r="K445" i="6"/>
  <c r="L445" i="6"/>
  <c r="K446" i="6"/>
  <c r="L446" i="6"/>
  <c r="K447" i="6"/>
  <c r="L447" i="6"/>
  <c r="K448" i="6"/>
  <c r="L448" i="6"/>
  <c r="K449" i="6"/>
  <c r="L449" i="6"/>
  <c r="K450" i="6"/>
  <c r="L450" i="6"/>
  <c r="K451" i="6"/>
  <c r="L451" i="6"/>
  <c r="K452" i="6"/>
  <c r="L452" i="6"/>
  <c r="K453" i="6"/>
  <c r="L453" i="6"/>
  <c r="K454" i="6"/>
  <c r="L454" i="6"/>
  <c r="K455" i="6"/>
  <c r="L455" i="6"/>
  <c r="K456" i="6"/>
  <c r="L456" i="6"/>
  <c r="K457" i="6"/>
  <c r="L457" i="6"/>
  <c r="K458" i="6"/>
  <c r="L458" i="6"/>
  <c r="K459" i="6"/>
  <c r="L459" i="6"/>
  <c r="K460" i="6"/>
  <c r="L460" i="6"/>
  <c r="K461" i="6"/>
  <c r="L461" i="6"/>
  <c r="K462" i="6"/>
  <c r="L462" i="6"/>
  <c r="K463" i="6"/>
  <c r="L463" i="6"/>
  <c r="K464" i="6"/>
  <c r="L464" i="6"/>
  <c r="K465" i="6"/>
  <c r="L465" i="6"/>
  <c r="K466" i="6"/>
  <c r="L466" i="6"/>
  <c r="K467" i="6"/>
  <c r="L467" i="6"/>
  <c r="K468" i="6"/>
  <c r="L468" i="6"/>
  <c r="K469" i="6"/>
  <c r="L469" i="6"/>
  <c r="K470" i="6"/>
  <c r="L470" i="6"/>
  <c r="K471" i="6"/>
  <c r="L471" i="6"/>
  <c r="K472" i="6"/>
  <c r="L472" i="6"/>
  <c r="K473" i="6"/>
  <c r="L473" i="6"/>
  <c r="K474" i="6"/>
  <c r="L474" i="6"/>
  <c r="K475" i="6"/>
  <c r="L475" i="6"/>
  <c r="K476" i="6"/>
  <c r="L476" i="6"/>
  <c r="K477" i="6"/>
  <c r="L477" i="6"/>
  <c r="K478" i="6"/>
  <c r="L478" i="6"/>
  <c r="K479" i="6"/>
  <c r="L479" i="6"/>
  <c r="K480" i="6"/>
  <c r="L480" i="6"/>
  <c r="K481" i="6"/>
  <c r="L481" i="6"/>
  <c r="K482" i="6"/>
  <c r="L482" i="6"/>
  <c r="K483" i="6"/>
  <c r="L483" i="6"/>
  <c r="K484" i="6"/>
  <c r="L484" i="6"/>
  <c r="K485" i="6"/>
  <c r="L485" i="6"/>
  <c r="K486" i="6"/>
  <c r="L486" i="6"/>
  <c r="K487" i="6"/>
  <c r="L487" i="6"/>
  <c r="K488" i="6"/>
  <c r="L488" i="6"/>
  <c r="K489" i="6"/>
  <c r="L489" i="6"/>
  <c r="K490" i="6"/>
  <c r="L490" i="6"/>
  <c r="K491" i="6"/>
  <c r="L491" i="6"/>
  <c r="K492" i="6"/>
  <c r="L492" i="6"/>
  <c r="K493" i="6"/>
  <c r="L493" i="6"/>
  <c r="K494" i="6"/>
  <c r="L494" i="6"/>
  <c r="K495" i="6"/>
  <c r="L495" i="6"/>
  <c r="K496" i="6"/>
  <c r="L496" i="6"/>
  <c r="K497" i="6"/>
  <c r="L497" i="6"/>
  <c r="K498" i="6"/>
  <c r="L498" i="6"/>
  <c r="K499" i="6"/>
  <c r="L499" i="6"/>
  <c r="K500" i="6"/>
  <c r="L500" i="6"/>
  <c r="K501" i="6"/>
  <c r="L501" i="6"/>
  <c r="K502" i="6"/>
  <c r="L502" i="6"/>
  <c r="K503" i="6"/>
  <c r="L503" i="6"/>
  <c r="K504" i="6"/>
  <c r="L504" i="6"/>
  <c r="K505" i="6"/>
  <c r="L505" i="6"/>
  <c r="K506" i="6"/>
  <c r="L506" i="6"/>
  <c r="K507" i="6"/>
  <c r="L507" i="6"/>
  <c r="K508" i="6"/>
  <c r="L508" i="6"/>
  <c r="K509" i="6"/>
  <c r="L509" i="6"/>
  <c r="K510" i="6"/>
  <c r="L510" i="6"/>
  <c r="K511" i="6"/>
  <c r="L511" i="6"/>
  <c r="K512" i="6"/>
  <c r="L512" i="6"/>
  <c r="K513" i="6"/>
  <c r="L513" i="6"/>
  <c r="K514" i="6"/>
  <c r="L514" i="6"/>
  <c r="K515" i="6"/>
  <c r="L515" i="6"/>
  <c r="K516" i="6"/>
  <c r="L516" i="6"/>
  <c r="K517" i="6"/>
  <c r="L517" i="6"/>
  <c r="K518" i="6"/>
  <c r="L518" i="6"/>
  <c r="K519" i="6"/>
  <c r="L519" i="6"/>
  <c r="K520" i="6"/>
  <c r="L520" i="6"/>
  <c r="K521" i="6"/>
  <c r="L521" i="6"/>
  <c r="K522" i="6"/>
  <c r="L522" i="6"/>
  <c r="K523" i="6"/>
  <c r="L523" i="6"/>
  <c r="K524" i="6"/>
  <c r="L524" i="6"/>
  <c r="K525" i="6"/>
  <c r="L525" i="6"/>
  <c r="K526" i="6"/>
  <c r="L526" i="6"/>
  <c r="K527" i="6"/>
  <c r="L527" i="6"/>
  <c r="K528" i="6"/>
  <c r="L528" i="6"/>
  <c r="K529" i="6"/>
  <c r="L529" i="6"/>
  <c r="K530" i="6"/>
  <c r="L530" i="6"/>
  <c r="K531" i="6"/>
  <c r="L531" i="6"/>
  <c r="K532" i="6"/>
  <c r="L532" i="6"/>
  <c r="K533" i="6"/>
  <c r="L533" i="6"/>
  <c r="K534" i="6"/>
  <c r="L534" i="6"/>
  <c r="K535" i="6"/>
  <c r="L535" i="6"/>
  <c r="K536" i="6"/>
  <c r="L536" i="6"/>
  <c r="K537" i="6"/>
  <c r="L537" i="6"/>
  <c r="K538" i="6"/>
  <c r="L538" i="6"/>
  <c r="K539" i="6"/>
  <c r="L539" i="6"/>
  <c r="K540" i="6"/>
  <c r="L540" i="6"/>
  <c r="K541" i="6"/>
  <c r="L541" i="6"/>
  <c r="K542" i="6"/>
  <c r="L542" i="6"/>
  <c r="K543" i="6"/>
  <c r="L543" i="6"/>
  <c r="K544" i="6"/>
  <c r="L544" i="6"/>
  <c r="K545" i="6"/>
  <c r="L545" i="6"/>
  <c r="K546" i="6"/>
  <c r="L546" i="6"/>
  <c r="K547" i="6"/>
  <c r="L547" i="6"/>
  <c r="K548" i="6"/>
  <c r="L548" i="6"/>
  <c r="K549" i="6"/>
  <c r="L549" i="6"/>
  <c r="K550" i="6"/>
  <c r="L550" i="6"/>
  <c r="K551" i="6"/>
  <c r="L551" i="6"/>
  <c r="K552" i="6"/>
  <c r="L552" i="6"/>
  <c r="K553" i="6"/>
  <c r="L553" i="6"/>
  <c r="K554" i="6"/>
  <c r="L554" i="6"/>
  <c r="K555" i="6"/>
  <c r="L555" i="6"/>
  <c r="K556" i="6"/>
  <c r="L556" i="6"/>
  <c r="K557" i="6"/>
  <c r="L557" i="6"/>
  <c r="K558" i="6"/>
  <c r="L558" i="6"/>
  <c r="K559" i="6"/>
  <c r="L559" i="6"/>
  <c r="K560" i="6"/>
  <c r="L560" i="6"/>
  <c r="K561" i="6"/>
  <c r="L561" i="6"/>
  <c r="K562" i="6"/>
  <c r="L562" i="6"/>
  <c r="K563" i="6"/>
  <c r="L563" i="6"/>
  <c r="K564" i="6"/>
  <c r="L564" i="6"/>
  <c r="K565" i="6"/>
  <c r="L565" i="6"/>
  <c r="K566" i="6"/>
  <c r="L566" i="6"/>
  <c r="K567" i="6"/>
  <c r="L567" i="6"/>
  <c r="K568" i="6"/>
  <c r="L568" i="6"/>
  <c r="K569" i="6"/>
  <c r="L569" i="6"/>
  <c r="K570" i="6"/>
  <c r="L570" i="6"/>
  <c r="K571" i="6"/>
  <c r="L571" i="6"/>
  <c r="K572" i="6"/>
  <c r="L572" i="6"/>
  <c r="K573" i="6"/>
  <c r="L573" i="6"/>
  <c r="K574" i="6"/>
  <c r="L574" i="6"/>
  <c r="K575" i="6"/>
  <c r="L575" i="6"/>
  <c r="K576" i="6"/>
  <c r="L576" i="6"/>
  <c r="K577" i="6"/>
  <c r="L577" i="6"/>
  <c r="K578" i="6"/>
  <c r="L578" i="6"/>
  <c r="K579" i="6"/>
  <c r="L579" i="6"/>
  <c r="K580" i="6"/>
  <c r="L580" i="6"/>
  <c r="K581" i="6"/>
  <c r="L581" i="6"/>
  <c r="K582" i="6"/>
  <c r="L582" i="6"/>
  <c r="K583" i="6"/>
  <c r="L583" i="6"/>
  <c r="K584" i="6"/>
  <c r="L584" i="6"/>
  <c r="K585" i="6"/>
  <c r="L585" i="6"/>
  <c r="K586" i="6"/>
  <c r="L586" i="6"/>
  <c r="K587" i="6"/>
  <c r="L587" i="6"/>
  <c r="K588" i="6"/>
  <c r="L588" i="6"/>
  <c r="K589" i="6"/>
  <c r="L589" i="6"/>
  <c r="K590" i="6"/>
  <c r="L590" i="6"/>
  <c r="K591" i="6"/>
  <c r="L591" i="6"/>
  <c r="K592" i="6"/>
  <c r="L592" i="6"/>
  <c r="K593" i="6"/>
  <c r="L593" i="6"/>
  <c r="K594" i="6"/>
  <c r="L594" i="6"/>
  <c r="K595" i="6"/>
  <c r="L595" i="6"/>
  <c r="K596" i="6"/>
  <c r="L596" i="6"/>
  <c r="K597" i="6"/>
  <c r="L597" i="6"/>
  <c r="K598" i="6"/>
  <c r="L598" i="6"/>
  <c r="K599" i="6"/>
  <c r="L599" i="6"/>
  <c r="K600" i="6"/>
  <c r="L600" i="6"/>
  <c r="K601" i="6"/>
  <c r="L601" i="6"/>
  <c r="K602" i="6"/>
  <c r="L602" i="6"/>
  <c r="K603" i="6"/>
  <c r="L603" i="6"/>
  <c r="K604" i="6"/>
  <c r="L604" i="6"/>
  <c r="K605" i="6"/>
  <c r="L605" i="6"/>
  <c r="K606" i="6"/>
  <c r="L606" i="6"/>
  <c r="K607" i="6"/>
  <c r="L607" i="6"/>
  <c r="K608" i="6"/>
  <c r="L608" i="6"/>
  <c r="K609" i="6"/>
  <c r="L609" i="6"/>
  <c r="K610" i="6"/>
  <c r="L610" i="6"/>
  <c r="K611" i="6"/>
  <c r="L611" i="6"/>
  <c r="K612" i="6"/>
  <c r="L612" i="6"/>
  <c r="K613" i="6"/>
  <c r="L613" i="6"/>
  <c r="K614" i="6"/>
  <c r="L614" i="6"/>
  <c r="K615" i="6"/>
  <c r="L615" i="6"/>
  <c r="K616" i="6"/>
  <c r="L616" i="6"/>
  <c r="K617" i="6"/>
  <c r="L617" i="6"/>
  <c r="K618" i="6"/>
  <c r="L618" i="6"/>
  <c r="K619" i="6"/>
  <c r="L619" i="6"/>
  <c r="K620" i="6"/>
  <c r="L620" i="6"/>
  <c r="K621" i="6"/>
  <c r="L621" i="6"/>
  <c r="K622" i="6"/>
  <c r="L622" i="6"/>
  <c r="K623" i="6"/>
  <c r="L623" i="6"/>
  <c r="K624" i="6"/>
  <c r="L624" i="6"/>
  <c r="K625" i="6"/>
  <c r="L625" i="6"/>
  <c r="K626" i="6"/>
  <c r="L626" i="6"/>
  <c r="K627" i="6"/>
  <c r="L627" i="6"/>
  <c r="K628" i="6"/>
  <c r="L628" i="6"/>
  <c r="K629" i="6"/>
  <c r="L629" i="6"/>
  <c r="K630" i="6"/>
  <c r="L630" i="6"/>
  <c r="K631" i="6"/>
  <c r="L631" i="6"/>
  <c r="K632" i="6"/>
  <c r="L632" i="6"/>
  <c r="K633" i="6"/>
  <c r="L633" i="6"/>
  <c r="K634" i="6"/>
  <c r="L634" i="6"/>
  <c r="K635" i="6"/>
  <c r="L635" i="6"/>
  <c r="K636" i="6"/>
  <c r="L636" i="6"/>
  <c r="K637" i="6"/>
  <c r="L637" i="6"/>
  <c r="K638" i="6"/>
  <c r="L638" i="6"/>
  <c r="K639" i="6"/>
  <c r="L639" i="6"/>
  <c r="K640" i="6"/>
  <c r="L640" i="6"/>
  <c r="K641" i="6"/>
  <c r="L641" i="6"/>
  <c r="K642" i="6"/>
  <c r="L642" i="6"/>
  <c r="K643" i="6"/>
  <c r="L643" i="6"/>
  <c r="K644" i="6"/>
  <c r="L644" i="6"/>
  <c r="K645" i="6"/>
  <c r="L645" i="6"/>
  <c r="K646" i="6"/>
  <c r="L646" i="6"/>
  <c r="K647" i="6"/>
  <c r="L647" i="6"/>
  <c r="K648" i="6"/>
  <c r="L648" i="6"/>
  <c r="K649" i="6"/>
  <c r="L649" i="6"/>
  <c r="K650" i="6"/>
  <c r="L650" i="6"/>
  <c r="K651" i="6"/>
  <c r="L651" i="6"/>
  <c r="K652" i="6"/>
  <c r="L652" i="6"/>
  <c r="K653" i="6"/>
  <c r="L653" i="6"/>
  <c r="K654" i="6"/>
  <c r="L654" i="6"/>
  <c r="K655" i="6"/>
  <c r="L655" i="6"/>
  <c r="K656" i="6"/>
  <c r="L656" i="6"/>
  <c r="K657" i="6"/>
  <c r="L657" i="6"/>
  <c r="K658" i="6"/>
  <c r="L658" i="6"/>
  <c r="K659" i="6"/>
  <c r="L659" i="6"/>
  <c r="K660" i="6"/>
  <c r="L660" i="6"/>
  <c r="K661" i="6"/>
  <c r="L661" i="6"/>
  <c r="K662" i="6"/>
  <c r="L662" i="6"/>
  <c r="K663" i="6"/>
  <c r="L663" i="6"/>
  <c r="K664" i="6"/>
  <c r="L664" i="6"/>
  <c r="K665" i="6"/>
  <c r="L665" i="6"/>
  <c r="K666" i="6"/>
  <c r="L666" i="6"/>
  <c r="K667" i="6"/>
  <c r="L667" i="6"/>
  <c r="K668" i="6"/>
  <c r="L668" i="6"/>
  <c r="K669" i="6"/>
  <c r="L669" i="6"/>
  <c r="K670" i="6"/>
  <c r="L670" i="6"/>
  <c r="K671" i="6"/>
  <c r="L671" i="6"/>
  <c r="K672" i="6"/>
  <c r="L672" i="6"/>
  <c r="K673" i="6"/>
  <c r="L673" i="6"/>
  <c r="K674" i="6"/>
  <c r="L674" i="6"/>
  <c r="K675" i="6"/>
  <c r="L675" i="6"/>
  <c r="K676" i="6"/>
  <c r="L676" i="6"/>
  <c r="K677" i="6"/>
  <c r="L677" i="6"/>
  <c r="K678" i="6"/>
  <c r="L678" i="6"/>
  <c r="K679" i="6"/>
  <c r="L679" i="6"/>
  <c r="K680" i="6"/>
  <c r="L680" i="6"/>
  <c r="K681" i="6"/>
  <c r="L681" i="6"/>
  <c r="K682" i="6"/>
  <c r="L682" i="6"/>
  <c r="K683" i="6"/>
  <c r="L683" i="6"/>
  <c r="K684" i="6"/>
  <c r="L684" i="6"/>
  <c r="K685" i="6"/>
  <c r="L685" i="6"/>
  <c r="K686" i="6"/>
  <c r="L686" i="6"/>
  <c r="K687" i="6"/>
  <c r="L687" i="6"/>
  <c r="K688" i="6"/>
  <c r="L688" i="6"/>
  <c r="K689" i="6"/>
  <c r="L689" i="6"/>
  <c r="K690" i="6"/>
  <c r="L690" i="6"/>
  <c r="K691" i="6"/>
  <c r="L691" i="6"/>
  <c r="K692" i="6"/>
  <c r="L692" i="6"/>
  <c r="K693" i="6"/>
  <c r="L693" i="6"/>
  <c r="K694" i="6"/>
  <c r="L694" i="6"/>
  <c r="K695" i="6"/>
  <c r="L695" i="6"/>
  <c r="K696" i="6"/>
  <c r="L696" i="6"/>
  <c r="K697" i="6"/>
  <c r="L697" i="6"/>
  <c r="K698" i="6"/>
  <c r="L698" i="6"/>
  <c r="K699" i="6"/>
  <c r="L699" i="6"/>
  <c r="K700" i="6"/>
  <c r="L700" i="6"/>
  <c r="K701" i="6"/>
  <c r="L701" i="6"/>
  <c r="K702" i="6"/>
  <c r="L702" i="6"/>
  <c r="K703" i="6"/>
  <c r="L703" i="6"/>
  <c r="K704" i="6"/>
  <c r="L704" i="6"/>
  <c r="K705" i="6"/>
  <c r="L705" i="6"/>
  <c r="K706" i="6"/>
  <c r="L706" i="6"/>
  <c r="K707" i="6"/>
  <c r="L707" i="6"/>
  <c r="K708" i="6"/>
  <c r="L708" i="6"/>
  <c r="K709" i="6"/>
  <c r="L709" i="6"/>
  <c r="K710" i="6"/>
  <c r="L710" i="6"/>
  <c r="K711" i="6"/>
  <c r="L711" i="6"/>
  <c r="K712" i="6"/>
  <c r="L712" i="6"/>
  <c r="K713" i="6"/>
  <c r="L713" i="6"/>
  <c r="K714" i="6"/>
  <c r="L714" i="6"/>
  <c r="K715" i="6"/>
  <c r="L715" i="6"/>
  <c r="K716" i="6"/>
  <c r="L716" i="6"/>
  <c r="K717" i="6"/>
  <c r="L717" i="6"/>
  <c r="K718" i="6"/>
  <c r="L718" i="6"/>
  <c r="K719" i="6"/>
  <c r="L719" i="6"/>
  <c r="K720" i="6"/>
  <c r="L720" i="6"/>
  <c r="K721" i="6"/>
  <c r="L721" i="6"/>
  <c r="K722" i="6"/>
  <c r="L722" i="6"/>
  <c r="K723" i="6"/>
  <c r="L723" i="6"/>
  <c r="K724" i="6"/>
  <c r="L724" i="6"/>
  <c r="K725" i="6"/>
  <c r="L725" i="6"/>
  <c r="K726" i="6"/>
  <c r="L726" i="6"/>
  <c r="K727" i="6"/>
  <c r="L727" i="6"/>
  <c r="K728" i="6"/>
  <c r="L728" i="6"/>
  <c r="K729" i="6"/>
  <c r="L729" i="6"/>
  <c r="K730" i="6"/>
  <c r="L730" i="6"/>
  <c r="K731" i="6"/>
  <c r="L731" i="6"/>
  <c r="K732" i="6"/>
  <c r="L732" i="6"/>
  <c r="K733" i="6"/>
  <c r="L733" i="6"/>
  <c r="K734" i="6"/>
  <c r="L734" i="6"/>
  <c r="K735" i="6"/>
  <c r="L735" i="6"/>
  <c r="K736" i="6"/>
  <c r="L736" i="6"/>
  <c r="K737" i="6"/>
  <c r="L737" i="6"/>
  <c r="K738" i="6"/>
  <c r="L738" i="6"/>
  <c r="K739" i="6"/>
  <c r="L739" i="6"/>
  <c r="K740" i="6"/>
  <c r="L740" i="6"/>
  <c r="K741" i="6"/>
  <c r="L741" i="6"/>
  <c r="K742" i="6"/>
  <c r="L742" i="6"/>
  <c r="K743" i="6"/>
  <c r="L743" i="6"/>
  <c r="K744" i="6"/>
  <c r="L744" i="6"/>
  <c r="K745" i="6"/>
  <c r="L745" i="6"/>
  <c r="K746" i="6"/>
  <c r="L746" i="6"/>
  <c r="K747" i="6"/>
  <c r="L747" i="6"/>
  <c r="K748" i="6"/>
  <c r="L748" i="6"/>
  <c r="K749" i="6"/>
  <c r="L749" i="6"/>
  <c r="K750" i="6"/>
  <c r="L750" i="6"/>
  <c r="K751" i="6"/>
  <c r="L751" i="6"/>
  <c r="K752" i="6"/>
  <c r="L752" i="6"/>
  <c r="K753" i="6"/>
  <c r="L753" i="6"/>
  <c r="K754" i="6"/>
  <c r="L754" i="6"/>
  <c r="K755" i="6"/>
  <c r="L755" i="6"/>
  <c r="K756" i="6"/>
  <c r="L756" i="6"/>
  <c r="K757" i="6"/>
  <c r="L757" i="6"/>
  <c r="K758" i="6"/>
  <c r="L758" i="6"/>
  <c r="K759" i="6"/>
  <c r="L759" i="6"/>
  <c r="K760" i="6"/>
  <c r="L760" i="6"/>
  <c r="K761" i="6"/>
  <c r="L761" i="6"/>
  <c r="K762" i="6"/>
  <c r="L762" i="6"/>
  <c r="K763" i="6"/>
  <c r="L763" i="6"/>
  <c r="K764" i="6"/>
  <c r="L764" i="6"/>
  <c r="K765" i="6"/>
  <c r="L765" i="6"/>
  <c r="K766" i="6"/>
  <c r="L766" i="6"/>
  <c r="K767" i="6"/>
  <c r="L767" i="6"/>
  <c r="K768" i="6"/>
  <c r="L768" i="6"/>
  <c r="K769" i="6"/>
  <c r="L769" i="6"/>
  <c r="K770" i="6"/>
  <c r="L770" i="6"/>
  <c r="K771" i="6"/>
  <c r="L771" i="6"/>
  <c r="K772" i="6"/>
  <c r="L772" i="6"/>
  <c r="K773" i="6"/>
  <c r="L773" i="6"/>
  <c r="K774" i="6"/>
  <c r="L774" i="6"/>
  <c r="K775" i="6"/>
  <c r="L775" i="6"/>
  <c r="K776" i="6"/>
  <c r="L776" i="6"/>
  <c r="K777" i="6"/>
  <c r="L777" i="6"/>
  <c r="K778" i="6"/>
  <c r="L778" i="6"/>
  <c r="K779" i="6"/>
  <c r="L779" i="6"/>
  <c r="K780" i="6"/>
  <c r="L780" i="6"/>
  <c r="K781" i="6"/>
  <c r="L781" i="6"/>
  <c r="K782" i="6"/>
  <c r="L782" i="6"/>
  <c r="K783" i="6"/>
  <c r="L783" i="6"/>
  <c r="K784" i="6"/>
  <c r="L784" i="6"/>
  <c r="K785" i="6"/>
  <c r="L785" i="6"/>
  <c r="K786" i="6"/>
  <c r="L786" i="6"/>
  <c r="K787" i="6"/>
  <c r="L787" i="6"/>
  <c r="K788" i="6"/>
  <c r="L788" i="6"/>
  <c r="K789" i="6"/>
  <c r="L789" i="6"/>
  <c r="K790" i="6"/>
  <c r="L790" i="6"/>
  <c r="K791" i="6"/>
  <c r="L791" i="6"/>
  <c r="K792" i="6"/>
  <c r="L792" i="6"/>
  <c r="K793" i="6"/>
  <c r="L793" i="6"/>
  <c r="K794" i="6"/>
  <c r="L794" i="6"/>
  <c r="K795" i="6"/>
  <c r="L795" i="6"/>
  <c r="K796" i="6"/>
  <c r="L796" i="6"/>
  <c r="K797" i="6"/>
  <c r="L797" i="6"/>
  <c r="K798" i="6"/>
  <c r="L798" i="6"/>
  <c r="K799" i="6"/>
  <c r="L799" i="6"/>
  <c r="K800" i="6"/>
  <c r="L800" i="6"/>
  <c r="K801" i="6"/>
  <c r="L801" i="6"/>
  <c r="K802" i="6"/>
  <c r="L802" i="6"/>
  <c r="K803" i="6"/>
  <c r="L803" i="6"/>
  <c r="K804" i="6"/>
  <c r="L804" i="6"/>
  <c r="K805" i="6"/>
  <c r="L805" i="6"/>
  <c r="K806" i="6"/>
  <c r="L806" i="6"/>
  <c r="K807" i="6"/>
  <c r="L807" i="6"/>
  <c r="K808" i="6"/>
  <c r="L808" i="6"/>
  <c r="K809" i="6"/>
  <c r="L809" i="6"/>
  <c r="K810" i="6"/>
  <c r="L810" i="6"/>
  <c r="K811" i="6"/>
  <c r="L811" i="6"/>
  <c r="K812" i="6"/>
  <c r="L812" i="6"/>
  <c r="K813" i="6"/>
  <c r="L813" i="6"/>
  <c r="K814" i="6"/>
  <c r="L814" i="6"/>
  <c r="K815" i="6"/>
  <c r="L815" i="6"/>
  <c r="K816" i="6"/>
  <c r="L816" i="6"/>
  <c r="K817" i="6"/>
  <c r="L817" i="6"/>
  <c r="K818" i="6"/>
  <c r="L818" i="6"/>
  <c r="K819" i="6"/>
  <c r="L819" i="6"/>
  <c r="K820" i="6"/>
  <c r="L820" i="6"/>
  <c r="K821" i="6"/>
  <c r="L821" i="6"/>
  <c r="K822" i="6"/>
  <c r="L822" i="6"/>
  <c r="K823" i="6"/>
  <c r="L823" i="6"/>
  <c r="K824" i="6"/>
  <c r="L824" i="6"/>
  <c r="K825" i="6"/>
  <c r="L825" i="6"/>
  <c r="K826" i="6"/>
  <c r="L826" i="6"/>
  <c r="K827" i="6"/>
  <c r="L827" i="6"/>
  <c r="K828" i="6"/>
  <c r="L828" i="6"/>
  <c r="K829" i="6"/>
  <c r="L829" i="6"/>
  <c r="K830" i="6"/>
  <c r="L830" i="6"/>
  <c r="K831" i="6"/>
  <c r="L831" i="6"/>
  <c r="K832" i="6"/>
  <c r="L832" i="6"/>
  <c r="K833" i="6"/>
  <c r="L833" i="6"/>
  <c r="K834" i="6"/>
  <c r="L834" i="6"/>
  <c r="K835" i="6"/>
  <c r="L835" i="6"/>
  <c r="K836" i="6"/>
  <c r="L836" i="6"/>
  <c r="K837" i="6"/>
  <c r="L837" i="6"/>
  <c r="K838" i="6"/>
  <c r="L838" i="6"/>
  <c r="K839" i="6"/>
  <c r="L839" i="6"/>
  <c r="K840" i="6"/>
  <c r="L840" i="6"/>
  <c r="K841" i="6"/>
  <c r="L841" i="6"/>
  <c r="K842" i="6"/>
  <c r="L842" i="6"/>
  <c r="K843" i="6"/>
  <c r="L843" i="6"/>
  <c r="K844" i="6"/>
  <c r="L844" i="6"/>
  <c r="K845" i="6"/>
  <c r="L845" i="6"/>
  <c r="K846" i="6"/>
  <c r="L846" i="6"/>
  <c r="K847" i="6"/>
  <c r="L847" i="6"/>
  <c r="K848" i="6"/>
  <c r="L848" i="6"/>
  <c r="K849" i="6"/>
  <c r="L849" i="6"/>
  <c r="K850" i="6"/>
  <c r="L850" i="6"/>
  <c r="K851" i="6"/>
  <c r="L851" i="6"/>
  <c r="K852" i="6"/>
  <c r="L852" i="6"/>
  <c r="K853" i="6"/>
  <c r="L853" i="6"/>
  <c r="K854" i="6"/>
  <c r="L854" i="6"/>
  <c r="K855" i="6"/>
  <c r="L855" i="6"/>
  <c r="K856" i="6"/>
  <c r="L856" i="6"/>
  <c r="K857" i="6"/>
  <c r="L857" i="6"/>
  <c r="K858" i="6"/>
  <c r="L858" i="6"/>
  <c r="K859" i="6"/>
  <c r="L859" i="6"/>
  <c r="K860" i="6"/>
  <c r="L860" i="6"/>
  <c r="K861" i="6"/>
  <c r="L861" i="6"/>
  <c r="K862" i="6"/>
  <c r="L862" i="6"/>
  <c r="K863" i="6"/>
  <c r="L863" i="6"/>
  <c r="K864" i="6"/>
  <c r="L864" i="6"/>
  <c r="K865" i="6"/>
  <c r="L865" i="6"/>
  <c r="K866" i="6"/>
  <c r="L866" i="6"/>
  <c r="K867" i="6"/>
  <c r="L867" i="6"/>
  <c r="K868" i="6"/>
  <c r="L868" i="6"/>
  <c r="K869" i="6"/>
  <c r="L869" i="6"/>
  <c r="K870" i="6"/>
  <c r="L870" i="6"/>
  <c r="K871" i="6"/>
  <c r="L871" i="6"/>
  <c r="K872" i="6"/>
  <c r="L872" i="6"/>
  <c r="K873" i="6"/>
  <c r="L873" i="6"/>
  <c r="K874" i="6"/>
  <c r="L874" i="6"/>
  <c r="K875" i="6"/>
  <c r="L875" i="6"/>
  <c r="K876" i="6"/>
  <c r="L876" i="6"/>
  <c r="K877" i="6"/>
  <c r="L877" i="6"/>
  <c r="K878" i="6"/>
  <c r="L878" i="6"/>
  <c r="K879" i="6"/>
  <c r="L879" i="6"/>
  <c r="K880" i="6"/>
  <c r="L880" i="6"/>
  <c r="K881" i="6"/>
  <c r="L881" i="6"/>
  <c r="K882" i="6"/>
  <c r="L882" i="6"/>
  <c r="K883" i="6"/>
  <c r="L883" i="6"/>
  <c r="K884" i="6"/>
  <c r="L884" i="6"/>
  <c r="K885" i="6"/>
  <c r="L885" i="6"/>
  <c r="K886" i="6"/>
  <c r="L886" i="6"/>
  <c r="K887" i="6"/>
  <c r="L887" i="6"/>
  <c r="K888" i="6"/>
  <c r="L888" i="6"/>
  <c r="K889" i="6"/>
  <c r="L889" i="6"/>
  <c r="K890" i="6"/>
  <c r="L890" i="6"/>
  <c r="K891" i="6"/>
  <c r="L891" i="6"/>
  <c r="K892" i="6"/>
  <c r="L892" i="6"/>
  <c r="K893" i="6"/>
  <c r="L893" i="6"/>
  <c r="K894" i="6"/>
  <c r="L894" i="6"/>
  <c r="K895" i="6"/>
  <c r="L895" i="6"/>
  <c r="K896" i="6"/>
  <c r="L896" i="6"/>
  <c r="K897" i="6"/>
  <c r="L897" i="6"/>
  <c r="K898" i="6"/>
  <c r="L898" i="6"/>
  <c r="K899" i="6"/>
  <c r="L899" i="6"/>
  <c r="K900" i="6"/>
  <c r="L900" i="6"/>
  <c r="K901" i="6"/>
  <c r="L901" i="6"/>
  <c r="K902" i="6"/>
  <c r="L902" i="6"/>
  <c r="K903" i="6"/>
  <c r="L903" i="6"/>
  <c r="K904" i="6"/>
  <c r="L904" i="6"/>
  <c r="K905" i="6"/>
  <c r="L905" i="6"/>
  <c r="K906" i="6"/>
  <c r="L906" i="6"/>
  <c r="K907" i="6"/>
  <c r="L907" i="6"/>
  <c r="K908" i="6"/>
  <c r="L908" i="6"/>
  <c r="K909" i="6"/>
  <c r="L909" i="6"/>
  <c r="K910" i="6"/>
  <c r="L910" i="6"/>
  <c r="K911" i="6"/>
  <c r="L911" i="6"/>
  <c r="K912" i="6"/>
  <c r="L912" i="6"/>
  <c r="K913" i="6"/>
  <c r="L913" i="6"/>
  <c r="K914" i="6"/>
  <c r="L914" i="6"/>
  <c r="K915" i="6"/>
  <c r="L915" i="6"/>
  <c r="K916" i="6"/>
  <c r="L916" i="6"/>
  <c r="K917" i="6"/>
  <c r="L917" i="6"/>
  <c r="K918" i="6"/>
  <c r="L918" i="6"/>
  <c r="K919" i="6"/>
  <c r="L919" i="6"/>
  <c r="K920" i="6"/>
  <c r="L920" i="6"/>
  <c r="K921" i="6"/>
  <c r="L921" i="6"/>
  <c r="K922" i="6"/>
  <c r="L922" i="6"/>
  <c r="K923" i="6"/>
  <c r="L923" i="6"/>
  <c r="K924" i="6"/>
  <c r="L924" i="6"/>
  <c r="K925" i="6"/>
  <c r="L925" i="6"/>
  <c r="K926" i="6"/>
  <c r="L926" i="6"/>
  <c r="K927" i="6"/>
  <c r="L927" i="6"/>
  <c r="K928" i="6"/>
  <c r="L928" i="6"/>
  <c r="K929" i="6"/>
  <c r="L929" i="6"/>
  <c r="K930" i="6"/>
  <c r="L930" i="6"/>
  <c r="K931" i="6"/>
  <c r="L931" i="6"/>
  <c r="K932" i="6"/>
  <c r="L932" i="6"/>
  <c r="K933" i="6"/>
  <c r="L933" i="6"/>
  <c r="K934" i="6"/>
  <c r="L934" i="6"/>
  <c r="K935" i="6"/>
  <c r="L935" i="6"/>
  <c r="K936" i="6"/>
  <c r="L936" i="6"/>
  <c r="K937" i="6"/>
  <c r="L937" i="6"/>
  <c r="K938" i="6"/>
  <c r="L938" i="6"/>
  <c r="K939" i="6"/>
  <c r="L939" i="6"/>
  <c r="K940" i="6"/>
  <c r="L940" i="6"/>
  <c r="K941" i="6"/>
  <c r="L941" i="6"/>
  <c r="K942" i="6"/>
  <c r="L942" i="6"/>
  <c r="K943" i="6"/>
  <c r="L943" i="6"/>
  <c r="K944" i="6"/>
  <c r="L944" i="6"/>
  <c r="K945" i="6"/>
  <c r="L945" i="6"/>
  <c r="K946" i="6"/>
  <c r="L946" i="6"/>
  <c r="K947" i="6"/>
  <c r="L947" i="6"/>
  <c r="K948" i="6"/>
  <c r="L948" i="6"/>
  <c r="K949" i="6"/>
  <c r="L949" i="6"/>
  <c r="K950" i="6"/>
  <c r="L950" i="6"/>
  <c r="K951" i="6"/>
  <c r="L951" i="6"/>
  <c r="K952" i="6"/>
  <c r="L952" i="6"/>
  <c r="K953" i="6"/>
  <c r="L953" i="6"/>
  <c r="K954" i="6"/>
  <c r="L954" i="6"/>
  <c r="K955" i="6"/>
  <c r="L955" i="6"/>
  <c r="K956" i="6"/>
  <c r="L956" i="6"/>
  <c r="K957" i="6"/>
  <c r="L957" i="6"/>
  <c r="K958" i="6"/>
  <c r="L958" i="6"/>
  <c r="K959" i="6"/>
  <c r="L959" i="6"/>
  <c r="K960" i="6"/>
  <c r="L960" i="6"/>
  <c r="K961" i="6"/>
  <c r="L961" i="6"/>
  <c r="K962" i="6"/>
  <c r="L962" i="6"/>
  <c r="K963" i="6"/>
  <c r="L963" i="6"/>
  <c r="K964" i="6"/>
  <c r="L964" i="6"/>
  <c r="K965" i="6"/>
  <c r="L965" i="6"/>
  <c r="K966" i="6"/>
  <c r="L966" i="6"/>
  <c r="K967" i="6"/>
  <c r="L967" i="6"/>
  <c r="K968" i="6"/>
  <c r="L968" i="6"/>
  <c r="K969" i="6"/>
  <c r="L969" i="6"/>
  <c r="K970" i="6"/>
  <c r="L970" i="6"/>
  <c r="K971" i="6"/>
  <c r="L971" i="6"/>
  <c r="K972" i="6"/>
  <c r="L972" i="6"/>
  <c r="K973" i="6"/>
  <c r="L973" i="6"/>
  <c r="K974" i="6"/>
  <c r="L974" i="6"/>
  <c r="K975" i="6"/>
  <c r="L975" i="6"/>
  <c r="K976" i="6"/>
  <c r="L976" i="6"/>
  <c r="K977" i="6"/>
  <c r="L977" i="6"/>
  <c r="K978" i="6"/>
  <c r="L978" i="6"/>
  <c r="K979" i="6"/>
  <c r="L979" i="6"/>
  <c r="K980" i="6"/>
  <c r="L980" i="6"/>
  <c r="K981" i="6"/>
  <c r="L981" i="6"/>
  <c r="K982" i="6"/>
  <c r="L982" i="6"/>
  <c r="K983" i="6"/>
  <c r="L983" i="6"/>
  <c r="K984" i="6"/>
  <c r="L984" i="6"/>
  <c r="K985" i="6"/>
  <c r="L985" i="6"/>
  <c r="K986" i="6"/>
  <c r="L986" i="6"/>
  <c r="K987" i="6"/>
  <c r="L987" i="6"/>
  <c r="K988" i="6"/>
  <c r="L988" i="6"/>
  <c r="K989" i="6"/>
  <c r="L989" i="6"/>
  <c r="K990" i="6"/>
  <c r="L990" i="6"/>
  <c r="K991" i="6"/>
  <c r="L991" i="6"/>
  <c r="K992" i="6"/>
  <c r="L992" i="6"/>
  <c r="K993" i="6"/>
  <c r="L993" i="6"/>
  <c r="K994" i="6"/>
  <c r="L994" i="6"/>
  <c r="K995" i="6"/>
  <c r="L995" i="6"/>
  <c r="K996" i="6"/>
  <c r="L996" i="6"/>
  <c r="K997" i="6"/>
  <c r="L997" i="6"/>
  <c r="K998" i="6"/>
  <c r="L998" i="6"/>
  <c r="K999" i="6"/>
  <c r="L999" i="6"/>
  <c r="K1000" i="6"/>
  <c r="L1000" i="6"/>
  <c r="K1001" i="6"/>
  <c r="L1001" i="6"/>
  <c r="K2" i="6"/>
  <c r="L2" i="6"/>
  <c r="H3" i="6"/>
  <c r="I3" i="6"/>
  <c r="H4" i="6"/>
  <c r="I4" i="6"/>
  <c r="H5" i="6"/>
  <c r="I5" i="6"/>
  <c r="H6" i="6"/>
  <c r="I6" i="6"/>
  <c r="H7" i="6"/>
  <c r="I7" i="6"/>
  <c r="H8" i="6"/>
  <c r="I8" i="6"/>
  <c r="H9" i="6"/>
  <c r="I9" i="6"/>
  <c r="H10" i="6"/>
  <c r="I10" i="6"/>
  <c r="H11" i="6"/>
  <c r="I11" i="6"/>
  <c r="H12" i="6"/>
  <c r="I12" i="6"/>
  <c r="H13" i="6"/>
  <c r="I13" i="6"/>
  <c r="H14" i="6"/>
  <c r="I14" i="6"/>
  <c r="H15" i="6"/>
  <c r="I15" i="6"/>
  <c r="H16" i="6"/>
  <c r="I16" i="6"/>
  <c r="H17" i="6"/>
  <c r="I17" i="6"/>
  <c r="H18" i="6"/>
  <c r="I18" i="6"/>
  <c r="H19" i="6"/>
  <c r="I19" i="6"/>
  <c r="H20" i="6"/>
  <c r="I20" i="6"/>
  <c r="H21" i="6"/>
  <c r="I21" i="6"/>
  <c r="H22" i="6"/>
  <c r="I22" i="6"/>
  <c r="H23" i="6"/>
  <c r="I23" i="6"/>
  <c r="H24" i="6"/>
  <c r="I24" i="6"/>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H65" i="6"/>
  <c r="I65" i="6"/>
  <c r="H66" i="6"/>
  <c r="I66" i="6"/>
  <c r="H67" i="6"/>
  <c r="I67" i="6"/>
  <c r="H68" i="6"/>
  <c r="I68" i="6"/>
  <c r="H69" i="6"/>
  <c r="I69" i="6"/>
  <c r="H70" i="6"/>
  <c r="I70" i="6"/>
  <c r="H71" i="6"/>
  <c r="I71" i="6"/>
  <c r="H72" i="6"/>
  <c r="I72" i="6"/>
  <c r="H73" i="6"/>
  <c r="I73" i="6"/>
  <c r="H74" i="6"/>
  <c r="I74" i="6"/>
  <c r="H75" i="6"/>
  <c r="I75" i="6"/>
  <c r="H76" i="6"/>
  <c r="I76" i="6"/>
  <c r="H77" i="6"/>
  <c r="I77" i="6"/>
  <c r="H78" i="6"/>
  <c r="I78" i="6"/>
  <c r="H79" i="6"/>
  <c r="I79" i="6"/>
  <c r="H80" i="6"/>
  <c r="I80" i="6"/>
  <c r="H81" i="6"/>
  <c r="I81" i="6"/>
  <c r="H82" i="6"/>
  <c r="I82" i="6"/>
  <c r="H83" i="6"/>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I97" i="6"/>
  <c r="H98" i="6"/>
  <c r="I98" i="6"/>
  <c r="H99" i="6"/>
  <c r="I99" i="6"/>
  <c r="H100" i="6"/>
  <c r="I100" i="6"/>
  <c r="H101" i="6"/>
  <c r="I101" i="6"/>
  <c r="H102" i="6"/>
  <c r="I102" i="6"/>
  <c r="H103" i="6"/>
  <c r="I103" i="6"/>
  <c r="H104" i="6"/>
  <c r="I104" i="6"/>
  <c r="H105" i="6"/>
  <c r="I105" i="6"/>
  <c r="H106" i="6"/>
  <c r="I106" i="6"/>
  <c r="H107" i="6"/>
  <c r="I107" i="6"/>
  <c r="H108" i="6"/>
  <c r="I108" i="6"/>
  <c r="H109" i="6"/>
  <c r="I109" i="6"/>
  <c r="H110" i="6"/>
  <c r="I110" i="6"/>
  <c r="H111" i="6"/>
  <c r="I111" i="6"/>
  <c r="H112" i="6"/>
  <c r="I112" i="6"/>
  <c r="H113" i="6"/>
  <c r="I113" i="6"/>
  <c r="H114" i="6"/>
  <c r="I114" i="6"/>
  <c r="H115" i="6"/>
  <c r="I115" i="6"/>
  <c r="H116" i="6"/>
  <c r="I116" i="6"/>
  <c r="H117" i="6"/>
  <c r="I117" i="6"/>
  <c r="H118" i="6"/>
  <c r="I118" i="6"/>
  <c r="H119" i="6"/>
  <c r="I119" i="6"/>
  <c r="H120" i="6"/>
  <c r="I120" i="6"/>
  <c r="H121" i="6"/>
  <c r="I121" i="6"/>
  <c r="H122" i="6"/>
  <c r="I122" i="6"/>
  <c r="H123" i="6"/>
  <c r="I123" i="6"/>
  <c r="H124" i="6"/>
  <c r="I124" i="6"/>
  <c r="H125" i="6"/>
  <c r="I125" i="6"/>
  <c r="H126" i="6"/>
  <c r="I126" i="6"/>
  <c r="H127" i="6"/>
  <c r="I127" i="6"/>
  <c r="H128" i="6"/>
  <c r="I128" i="6"/>
  <c r="H129" i="6"/>
  <c r="I129" i="6"/>
  <c r="H130" i="6"/>
  <c r="I130" i="6"/>
  <c r="H131" i="6"/>
  <c r="I131" i="6"/>
  <c r="H132" i="6"/>
  <c r="I132" i="6"/>
  <c r="H133" i="6"/>
  <c r="I133" i="6"/>
  <c r="H134" i="6"/>
  <c r="I134" i="6"/>
  <c r="H135" i="6"/>
  <c r="I135" i="6"/>
  <c r="H136" i="6"/>
  <c r="I136" i="6"/>
  <c r="H137" i="6"/>
  <c r="I137" i="6"/>
  <c r="H138" i="6"/>
  <c r="I138" i="6"/>
  <c r="H139" i="6"/>
  <c r="I139" i="6"/>
  <c r="H140" i="6"/>
  <c r="I140" i="6"/>
  <c r="H141" i="6"/>
  <c r="I141" i="6"/>
  <c r="H142" i="6"/>
  <c r="I142" i="6"/>
  <c r="H143" i="6"/>
  <c r="I143" i="6"/>
  <c r="H144" i="6"/>
  <c r="I144" i="6"/>
  <c r="H145" i="6"/>
  <c r="I145" i="6"/>
  <c r="H146" i="6"/>
  <c r="I146" i="6"/>
  <c r="H147" i="6"/>
  <c r="I147" i="6"/>
  <c r="H148" i="6"/>
  <c r="I148" i="6"/>
  <c r="H149" i="6"/>
  <c r="I149" i="6"/>
  <c r="H150" i="6"/>
  <c r="I150" i="6"/>
  <c r="H151" i="6"/>
  <c r="I151" i="6"/>
  <c r="H152" i="6"/>
  <c r="I152" i="6"/>
  <c r="H153" i="6"/>
  <c r="I153" i="6"/>
  <c r="H154" i="6"/>
  <c r="I154" i="6"/>
  <c r="H155" i="6"/>
  <c r="I155" i="6"/>
  <c r="H156" i="6"/>
  <c r="I156" i="6"/>
  <c r="H157" i="6"/>
  <c r="I157" i="6"/>
  <c r="H158" i="6"/>
  <c r="I158" i="6"/>
  <c r="H159" i="6"/>
  <c r="I159" i="6"/>
  <c r="H160" i="6"/>
  <c r="I160" i="6"/>
  <c r="H161" i="6"/>
  <c r="I161" i="6"/>
  <c r="H162" i="6"/>
  <c r="I162" i="6"/>
  <c r="H163" i="6"/>
  <c r="I163" i="6"/>
  <c r="H164" i="6"/>
  <c r="I164" i="6"/>
  <c r="H165" i="6"/>
  <c r="I165" i="6"/>
  <c r="H166" i="6"/>
  <c r="I166" i="6"/>
  <c r="H167" i="6"/>
  <c r="I167" i="6"/>
  <c r="H168" i="6"/>
  <c r="I168" i="6"/>
  <c r="H169" i="6"/>
  <c r="I169" i="6"/>
  <c r="H170" i="6"/>
  <c r="I170" i="6"/>
  <c r="H171" i="6"/>
  <c r="I171" i="6"/>
  <c r="H172" i="6"/>
  <c r="I172" i="6"/>
  <c r="H173" i="6"/>
  <c r="I173" i="6"/>
  <c r="H174" i="6"/>
  <c r="I174" i="6"/>
  <c r="H175" i="6"/>
  <c r="I175" i="6"/>
  <c r="H176" i="6"/>
  <c r="I176" i="6"/>
  <c r="H177" i="6"/>
  <c r="I177" i="6"/>
  <c r="H178" i="6"/>
  <c r="I178" i="6"/>
  <c r="H179" i="6"/>
  <c r="I179" i="6"/>
  <c r="H180" i="6"/>
  <c r="I180" i="6"/>
  <c r="H181" i="6"/>
  <c r="I181" i="6"/>
  <c r="H182" i="6"/>
  <c r="I182" i="6"/>
  <c r="H183" i="6"/>
  <c r="I183" i="6"/>
  <c r="H184" i="6"/>
  <c r="I184" i="6"/>
  <c r="H185" i="6"/>
  <c r="I185" i="6"/>
  <c r="H186" i="6"/>
  <c r="I186" i="6"/>
  <c r="H187" i="6"/>
  <c r="I187" i="6"/>
  <c r="H188" i="6"/>
  <c r="I188" i="6"/>
  <c r="H189" i="6"/>
  <c r="I189" i="6"/>
  <c r="H190" i="6"/>
  <c r="I190" i="6"/>
  <c r="H191" i="6"/>
  <c r="I191" i="6"/>
  <c r="H192" i="6"/>
  <c r="I192" i="6"/>
  <c r="H193" i="6"/>
  <c r="I193" i="6"/>
  <c r="H194" i="6"/>
  <c r="I194" i="6"/>
  <c r="H195" i="6"/>
  <c r="I195" i="6"/>
  <c r="H196" i="6"/>
  <c r="I196" i="6"/>
  <c r="H197" i="6"/>
  <c r="I197" i="6"/>
  <c r="H198" i="6"/>
  <c r="I198" i="6"/>
  <c r="H199" i="6"/>
  <c r="I199" i="6"/>
  <c r="H200" i="6"/>
  <c r="I200" i="6"/>
  <c r="H201" i="6"/>
  <c r="I201" i="6"/>
  <c r="H202" i="6"/>
  <c r="I202" i="6"/>
  <c r="H203" i="6"/>
  <c r="I203" i="6"/>
  <c r="H204" i="6"/>
  <c r="I204" i="6"/>
  <c r="H205" i="6"/>
  <c r="I205" i="6"/>
  <c r="H206" i="6"/>
  <c r="I206" i="6"/>
  <c r="H207" i="6"/>
  <c r="I207" i="6"/>
  <c r="H208" i="6"/>
  <c r="I208" i="6"/>
  <c r="H209" i="6"/>
  <c r="I209" i="6"/>
  <c r="H210" i="6"/>
  <c r="I210" i="6"/>
  <c r="H211" i="6"/>
  <c r="I211" i="6"/>
  <c r="H212" i="6"/>
  <c r="I212" i="6"/>
  <c r="H213" i="6"/>
  <c r="I213" i="6"/>
  <c r="H214" i="6"/>
  <c r="I214" i="6"/>
  <c r="H215" i="6"/>
  <c r="I215" i="6"/>
  <c r="H216" i="6"/>
  <c r="I216" i="6"/>
  <c r="H217" i="6"/>
  <c r="I217" i="6"/>
  <c r="H218" i="6"/>
  <c r="I218" i="6"/>
  <c r="H219" i="6"/>
  <c r="I219" i="6"/>
  <c r="H220" i="6"/>
  <c r="I220" i="6"/>
  <c r="H221" i="6"/>
  <c r="I221" i="6"/>
  <c r="H222" i="6"/>
  <c r="I222" i="6"/>
  <c r="H223" i="6"/>
  <c r="I223" i="6"/>
  <c r="H224" i="6"/>
  <c r="I224" i="6"/>
  <c r="H225" i="6"/>
  <c r="I225" i="6"/>
  <c r="H226" i="6"/>
  <c r="I226" i="6"/>
  <c r="H227" i="6"/>
  <c r="I227" i="6"/>
  <c r="H228" i="6"/>
  <c r="I228" i="6"/>
  <c r="H229" i="6"/>
  <c r="I229" i="6"/>
  <c r="H230" i="6"/>
  <c r="I230" i="6"/>
  <c r="H231" i="6"/>
  <c r="I231" i="6"/>
  <c r="H232" i="6"/>
  <c r="I232" i="6"/>
  <c r="H233" i="6"/>
  <c r="I233" i="6"/>
  <c r="H234" i="6"/>
  <c r="I234" i="6"/>
  <c r="H235" i="6"/>
  <c r="I235" i="6"/>
  <c r="H236" i="6"/>
  <c r="I236" i="6"/>
  <c r="H237" i="6"/>
  <c r="I237" i="6"/>
  <c r="H238" i="6"/>
  <c r="I238" i="6"/>
  <c r="H239" i="6"/>
  <c r="I239" i="6"/>
  <c r="H240" i="6"/>
  <c r="I240" i="6"/>
  <c r="H241" i="6"/>
  <c r="I241" i="6"/>
  <c r="H242" i="6"/>
  <c r="I242" i="6"/>
  <c r="H243" i="6"/>
  <c r="I243" i="6"/>
  <c r="H244" i="6"/>
  <c r="I244" i="6"/>
  <c r="H245" i="6"/>
  <c r="I245" i="6"/>
  <c r="H246" i="6"/>
  <c r="I246" i="6"/>
  <c r="H247" i="6"/>
  <c r="I247" i="6"/>
  <c r="H248" i="6"/>
  <c r="I248" i="6"/>
  <c r="H249" i="6"/>
  <c r="I249" i="6"/>
  <c r="H250" i="6"/>
  <c r="I250" i="6"/>
  <c r="H251" i="6"/>
  <c r="I251" i="6"/>
  <c r="H252" i="6"/>
  <c r="I252" i="6"/>
  <c r="H253" i="6"/>
  <c r="I253" i="6"/>
  <c r="H254" i="6"/>
  <c r="I254" i="6"/>
  <c r="H255" i="6"/>
  <c r="I255" i="6"/>
  <c r="H256" i="6"/>
  <c r="I256" i="6"/>
  <c r="H257" i="6"/>
  <c r="I257" i="6"/>
  <c r="H258" i="6"/>
  <c r="I258" i="6"/>
  <c r="H259" i="6"/>
  <c r="I259" i="6"/>
  <c r="H260" i="6"/>
  <c r="I260" i="6"/>
  <c r="H261" i="6"/>
  <c r="I261" i="6"/>
  <c r="H262" i="6"/>
  <c r="I262" i="6"/>
  <c r="H263" i="6"/>
  <c r="I263" i="6"/>
  <c r="H264" i="6"/>
  <c r="I264" i="6"/>
  <c r="H265" i="6"/>
  <c r="I265" i="6"/>
  <c r="H266" i="6"/>
  <c r="I266" i="6"/>
  <c r="H267" i="6"/>
  <c r="I267" i="6"/>
  <c r="H268" i="6"/>
  <c r="I268" i="6"/>
  <c r="H269" i="6"/>
  <c r="I269" i="6"/>
  <c r="H270" i="6"/>
  <c r="I270" i="6"/>
  <c r="H271" i="6"/>
  <c r="I271" i="6"/>
  <c r="H272" i="6"/>
  <c r="I272" i="6"/>
  <c r="H273" i="6"/>
  <c r="I273" i="6"/>
  <c r="H274" i="6"/>
  <c r="I274" i="6"/>
  <c r="H275" i="6"/>
  <c r="I275" i="6"/>
  <c r="H276" i="6"/>
  <c r="I276" i="6"/>
  <c r="H277" i="6"/>
  <c r="I277" i="6"/>
  <c r="H278" i="6"/>
  <c r="I278" i="6"/>
  <c r="H279" i="6"/>
  <c r="I279" i="6"/>
  <c r="H280" i="6"/>
  <c r="I280" i="6"/>
  <c r="H281" i="6"/>
  <c r="I281" i="6"/>
  <c r="H282" i="6"/>
  <c r="I282" i="6"/>
  <c r="H283" i="6"/>
  <c r="I283" i="6"/>
  <c r="H284" i="6"/>
  <c r="I284" i="6"/>
  <c r="H285" i="6"/>
  <c r="I285" i="6"/>
  <c r="H286" i="6"/>
  <c r="I286" i="6"/>
  <c r="H287" i="6"/>
  <c r="I287" i="6"/>
  <c r="H288" i="6"/>
  <c r="I288" i="6"/>
  <c r="H289" i="6"/>
  <c r="I289" i="6"/>
  <c r="H290" i="6"/>
  <c r="I290" i="6"/>
  <c r="H291" i="6"/>
  <c r="I291" i="6"/>
  <c r="H292" i="6"/>
  <c r="I292" i="6"/>
  <c r="H293" i="6"/>
  <c r="I293" i="6"/>
  <c r="H294" i="6"/>
  <c r="I294" i="6"/>
  <c r="H295" i="6"/>
  <c r="I295" i="6"/>
  <c r="H296" i="6"/>
  <c r="I296" i="6"/>
  <c r="H297" i="6"/>
  <c r="I297" i="6"/>
  <c r="H298" i="6"/>
  <c r="I298" i="6"/>
  <c r="H299" i="6"/>
  <c r="I299" i="6"/>
  <c r="H300" i="6"/>
  <c r="I300" i="6"/>
  <c r="H301" i="6"/>
  <c r="I301" i="6"/>
  <c r="H302" i="6"/>
  <c r="I302" i="6"/>
  <c r="H303" i="6"/>
  <c r="I303" i="6"/>
  <c r="H304" i="6"/>
  <c r="I304" i="6"/>
  <c r="H305" i="6"/>
  <c r="I305" i="6"/>
  <c r="H306" i="6"/>
  <c r="I306" i="6"/>
  <c r="H307" i="6"/>
  <c r="I307" i="6"/>
  <c r="H308" i="6"/>
  <c r="I308" i="6"/>
  <c r="H309" i="6"/>
  <c r="I309" i="6"/>
  <c r="H310" i="6"/>
  <c r="I310" i="6"/>
  <c r="H311" i="6"/>
  <c r="I311" i="6"/>
  <c r="H312" i="6"/>
  <c r="I312" i="6"/>
  <c r="H313" i="6"/>
  <c r="I313" i="6"/>
  <c r="H314" i="6"/>
  <c r="I314" i="6"/>
  <c r="H315" i="6"/>
  <c r="I315" i="6"/>
  <c r="H316" i="6"/>
  <c r="I316" i="6"/>
  <c r="H317" i="6"/>
  <c r="I317" i="6"/>
  <c r="H318" i="6"/>
  <c r="I318" i="6"/>
  <c r="H319" i="6"/>
  <c r="I319" i="6"/>
  <c r="H320" i="6"/>
  <c r="I320" i="6"/>
  <c r="H321" i="6"/>
  <c r="I321" i="6"/>
  <c r="H322" i="6"/>
  <c r="I322" i="6"/>
  <c r="H323" i="6"/>
  <c r="I323" i="6"/>
  <c r="H324" i="6"/>
  <c r="I324" i="6"/>
  <c r="H325" i="6"/>
  <c r="I325" i="6"/>
  <c r="H326" i="6"/>
  <c r="I326" i="6"/>
  <c r="H327" i="6"/>
  <c r="I327" i="6"/>
  <c r="H328" i="6"/>
  <c r="I328" i="6"/>
  <c r="H329" i="6"/>
  <c r="I329" i="6"/>
  <c r="H330" i="6"/>
  <c r="I330" i="6"/>
  <c r="H331" i="6"/>
  <c r="I331" i="6"/>
  <c r="H332" i="6"/>
  <c r="I332" i="6"/>
  <c r="H333" i="6"/>
  <c r="I333" i="6"/>
  <c r="H334" i="6"/>
  <c r="I334" i="6"/>
  <c r="H335" i="6"/>
  <c r="I335" i="6"/>
  <c r="H336" i="6"/>
  <c r="I336" i="6"/>
  <c r="H337" i="6"/>
  <c r="I337" i="6"/>
  <c r="H338" i="6"/>
  <c r="I338" i="6"/>
  <c r="H339" i="6"/>
  <c r="I339" i="6"/>
  <c r="H340" i="6"/>
  <c r="I340" i="6"/>
  <c r="H341" i="6"/>
  <c r="I341" i="6"/>
  <c r="H342" i="6"/>
  <c r="I342" i="6"/>
  <c r="H343" i="6"/>
  <c r="I343" i="6"/>
  <c r="H344" i="6"/>
  <c r="I344" i="6"/>
  <c r="H345" i="6"/>
  <c r="I345" i="6"/>
  <c r="H346" i="6"/>
  <c r="I346" i="6"/>
  <c r="H347" i="6"/>
  <c r="I347" i="6"/>
  <c r="H348" i="6"/>
  <c r="I348" i="6"/>
  <c r="H349" i="6"/>
  <c r="I349" i="6"/>
  <c r="H350" i="6"/>
  <c r="I350" i="6"/>
  <c r="H351" i="6"/>
  <c r="I351" i="6"/>
  <c r="H352" i="6"/>
  <c r="I352" i="6"/>
  <c r="H353" i="6"/>
  <c r="I353" i="6"/>
  <c r="H354" i="6"/>
  <c r="I354" i="6"/>
  <c r="H355" i="6"/>
  <c r="I355" i="6"/>
  <c r="H356" i="6"/>
  <c r="I356" i="6"/>
  <c r="H357" i="6"/>
  <c r="I357" i="6"/>
  <c r="H358" i="6"/>
  <c r="I358" i="6"/>
  <c r="H359" i="6"/>
  <c r="I359" i="6"/>
  <c r="H360" i="6"/>
  <c r="I360" i="6"/>
  <c r="H361" i="6"/>
  <c r="I361" i="6"/>
  <c r="H362" i="6"/>
  <c r="I362" i="6"/>
  <c r="H363" i="6"/>
  <c r="I363" i="6"/>
  <c r="H364" i="6"/>
  <c r="I364" i="6"/>
  <c r="H365" i="6"/>
  <c r="I365" i="6"/>
  <c r="H366" i="6"/>
  <c r="I366" i="6"/>
  <c r="H367" i="6"/>
  <c r="I367" i="6"/>
  <c r="H368" i="6"/>
  <c r="I368" i="6"/>
  <c r="H369" i="6"/>
  <c r="I369" i="6"/>
  <c r="H370" i="6"/>
  <c r="I370" i="6"/>
  <c r="H371" i="6"/>
  <c r="I371" i="6"/>
  <c r="H372" i="6"/>
  <c r="I372" i="6"/>
  <c r="H373" i="6"/>
  <c r="I373" i="6"/>
  <c r="H374" i="6"/>
  <c r="I374" i="6"/>
  <c r="H375" i="6"/>
  <c r="I375" i="6"/>
  <c r="H376" i="6"/>
  <c r="I376" i="6"/>
  <c r="H377" i="6"/>
  <c r="I377" i="6"/>
  <c r="H378" i="6"/>
  <c r="I378" i="6"/>
  <c r="H379" i="6"/>
  <c r="I379" i="6"/>
  <c r="H380" i="6"/>
  <c r="I380" i="6"/>
  <c r="H381" i="6"/>
  <c r="I381" i="6"/>
  <c r="H382" i="6"/>
  <c r="I382" i="6"/>
  <c r="H383" i="6"/>
  <c r="I383" i="6"/>
  <c r="H384" i="6"/>
  <c r="I384" i="6"/>
  <c r="H385" i="6"/>
  <c r="I385" i="6"/>
  <c r="H386" i="6"/>
  <c r="I386" i="6"/>
  <c r="H387" i="6"/>
  <c r="I387" i="6"/>
  <c r="H388" i="6"/>
  <c r="I388" i="6"/>
  <c r="H389" i="6"/>
  <c r="I389" i="6"/>
  <c r="H390" i="6"/>
  <c r="I390" i="6"/>
  <c r="H391" i="6"/>
  <c r="I391" i="6"/>
  <c r="H392" i="6"/>
  <c r="I392" i="6"/>
  <c r="H393" i="6"/>
  <c r="I393" i="6"/>
  <c r="H394" i="6"/>
  <c r="I394" i="6"/>
  <c r="H395" i="6"/>
  <c r="I395" i="6"/>
  <c r="H396" i="6"/>
  <c r="I396" i="6"/>
  <c r="H397" i="6"/>
  <c r="I397" i="6"/>
  <c r="H398" i="6"/>
  <c r="I398" i="6"/>
  <c r="H399" i="6"/>
  <c r="I399" i="6"/>
  <c r="H400" i="6"/>
  <c r="I400" i="6"/>
  <c r="H401" i="6"/>
  <c r="I401" i="6"/>
  <c r="H402" i="6"/>
  <c r="I402" i="6"/>
  <c r="H403" i="6"/>
  <c r="I403" i="6"/>
  <c r="H404" i="6"/>
  <c r="I404" i="6"/>
  <c r="H405" i="6"/>
  <c r="I405" i="6"/>
  <c r="H406" i="6"/>
  <c r="I406" i="6"/>
  <c r="H407" i="6"/>
  <c r="I407" i="6"/>
  <c r="H408" i="6"/>
  <c r="I408" i="6"/>
  <c r="H409" i="6"/>
  <c r="I409" i="6"/>
  <c r="H410" i="6"/>
  <c r="I410" i="6"/>
  <c r="H411" i="6"/>
  <c r="I411" i="6"/>
  <c r="H412" i="6"/>
  <c r="I412" i="6"/>
  <c r="H413" i="6"/>
  <c r="I413" i="6"/>
  <c r="H414" i="6"/>
  <c r="I414" i="6"/>
  <c r="H415" i="6"/>
  <c r="I415" i="6"/>
  <c r="H416" i="6"/>
  <c r="I416" i="6"/>
  <c r="H417" i="6"/>
  <c r="I417" i="6"/>
  <c r="H418" i="6"/>
  <c r="I418" i="6"/>
  <c r="H419" i="6"/>
  <c r="I419" i="6"/>
  <c r="H420" i="6"/>
  <c r="I420" i="6"/>
  <c r="H421" i="6"/>
  <c r="I421" i="6"/>
  <c r="H422" i="6"/>
  <c r="I422" i="6"/>
  <c r="H423" i="6"/>
  <c r="I423" i="6"/>
  <c r="H424" i="6"/>
  <c r="I424" i="6"/>
  <c r="H425" i="6"/>
  <c r="I425" i="6"/>
  <c r="H426" i="6"/>
  <c r="I426" i="6"/>
  <c r="H427" i="6"/>
  <c r="I427" i="6"/>
  <c r="H428" i="6"/>
  <c r="I428" i="6"/>
  <c r="H429" i="6"/>
  <c r="I429" i="6"/>
  <c r="H430" i="6"/>
  <c r="I430" i="6"/>
  <c r="H431" i="6"/>
  <c r="I431" i="6"/>
  <c r="H432" i="6"/>
  <c r="I432" i="6"/>
  <c r="H433" i="6"/>
  <c r="I433" i="6"/>
  <c r="H434" i="6"/>
  <c r="I434" i="6"/>
  <c r="H435" i="6"/>
  <c r="I435" i="6"/>
  <c r="H436" i="6"/>
  <c r="I436" i="6"/>
  <c r="H437" i="6"/>
  <c r="I437" i="6"/>
  <c r="H438" i="6"/>
  <c r="I438" i="6"/>
  <c r="H439" i="6"/>
  <c r="I439" i="6"/>
  <c r="H440" i="6"/>
  <c r="I440" i="6"/>
  <c r="H441" i="6"/>
  <c r="I441" i="6"/>
  <c r="H442" i="6"/>
  <c r="I442" i="6"/>
  <c r="H443" i="6"/>
  <c r="I443" i="6"/>
  <c r="H444" i="6"/>
  <c r="I444" i="6"/>
  <c r="H445" i="6"/>
  <c r="I445" i="6"/>
  <c r="H446" i="6"/>
  <c r="I446" i="6"/>
  <c r="H447" i="6"/>
  <c r="I447" i="6"/>
  <c r="H448" i="6"/>
  <c r="I448" i="6"/>
  <c r="H449" i="6"/>
  <c r="I449" i="6"/>
  <c r="H450" i="6"/>
  <c r="I450" i="6"/>
  <c r="H451" i="6"/>
  <c r="I451" i="6"/>
  <c r="H452" i="6"/>
  <c r="I452" i="6"/>
  <c r="H453" i="6"/>
  <c r="I453" i="6"/>
  <c r="H454" i="6"/>
  <c r="I454" i="6"/>
  <c r="H455" i="6"/>
  <c r="I455" i="6"/>
  <c r="H456" i="6"/>
  <c r="I456" i="6"/>
  <c r="H457" i="6"/>
  <c r="I457" i="6"/>
  <c r="H458" i="6"/>
  <c r="I458" i="6"/>
  <c r="H459" i="6"/>
  <c r="I459" i="6"/>
  <c r="H460" i="6"/>
  <c r="I460" i="6"/>
  <c r="H461" i="6"/>
  <c r="I461" i="6"/>
  <c r="H462" i="6"/>
  <c r="I462" i="6"/>
  <c r="H463" i="6"/>
  <c r="I463" i="6"/>
  <c r="H464" i="6"/>
  <c r="I464" i="6"/>
  <c r="H465" i="6"/>
  <c r="I465" i="6"/>
  <c r="H466" i="6"/>
  <c r="I466" i="6"/>
  <c r="H467" i="6"/>
  <c r="I467" i="6"/>
  <c r="H468" i="6"/>
  <c r="I468" i="6"/>
  <c r="H469" i="6"/>
  <c r="I469" i="6"/>
  <c r="H470" i="6"/>
  <c r="I470" i="6"/>
  <c r="H471" i="6"/>
  <c r="I471" i="6"/>
  <c r="H472" i="6"/>
  <c r="I472" i="6"/>
  <c r="H473" i="6"/>
  <c r="I473" i="6"/>
  <c r="H474" i="6"/>
  <c r="I474" i="6"/>
  <c r="H475" i="6"/>
  <c r="I475" i="6"/>
  <c r="H476" i="6"/>
  <c r="I476" i="6"/>
  <c r="H477" i="6"/>
  <c r="I477" i="6"/>
  <c r="H478" i="6"/>
  <c r="I478" i="6"/>
  <c r="H479" i="6"/>
  <c r="I479" i="6"/>
  <c r="H480" i="6"/>
  <c r="I480" i="6"/>
  <c r="H481" i="6"/>
  <c r="I481" i="6"/>
  <c r="H482" i="6"/>
  <c r="I482" i="6"/>
  <c r="H483" i="6"/>
  <c r="I483" i="6"/>
  <c r="H484" i="6"/>
  <c r="I484" i="6"/>
  <c r="H485" i="6"/>
  <c r="I485" i="6"/>
  <c r="H486" i="6"/>
  <c r="I486" i="6"/>
  <c r="H487" i="6"/>
  <c r="I487" i="6"/>
  <c r="H488" i="6"/>
  <c r="I488" i="6"/>
  <c r="H489" i="6"/>
  <c r="I489" i="6"/>
  <c r="H490" i="6"/>
  <c r="I490" i="6"/>
  <c r="H491" i="6"/>
  <c r="I491" i="6"/>
  <c r="H492" i="6"/>
  <c r="I492" i="6"/>
  <c r="H493" i="6"/>
  <c r="I493" i="6"/>
  <c r="H494" i="6"/>
  <c r="I494" i="6"/>
  <c r="H495" i="6"/>
  <c r="I495" i="6"/>
  <c r="H496" i="6"/>
  <c r="I496" i="6"/>
  <c r="H497" i="6"/>
  <c r="I497" i="6"/>
  <c r="H498" i="6"/>
  <c r="I498" i="6"/>
  <c r="H499" i="6"/>
  <c r="I499" i="6"/>
  <c r="H500" i="6"/>
  <c r="I500" i="6"/>
  <c r="H501" i="6"/>
  <c r="I501" i="6"/>
  <c r="H502" i="6"/>
  <c r="I502" i="6"/>
  <c r="H503" i="6"/>
  <c r="I503" i="6"/>
  <c r="H504" i="6"/>
  <c r="I504" i="6"/>
  <c r="H505" i="6"/>
  <c r="I505" i="6"/>
  <c r="H506" i="6"/>
  <c r="I506" i="6"/>
  <c r="H507" i="6"/>
  <c r="I507" i="6"/>
  <c r="H508" i="6"/>
  <c r="I508" i="6"/>
  <c r="H509" i="6"/>
  <c r="I509" i="6"/>
  <c r="H510" i="6"/>
  <c r="I510" i="6"/>
  <c r="H511" i="6"/>
  <c r="I511" i="6"/>
  <c r="H512" i="6"/>
  <c r="I512" i="6"/>
  <c r="H513" i="6"/>
  <c r="I513" i="6"/>
  <c r="H514" i="6"/>
  <c r="I514" i="6"/>
  <c r="H515" i="6"/>
  <c r="I515" i="6"/>
  <c r="H516" i="6"/>
  <c r="I516" i="6"/>
  <c r="H517" i="6"/>
  <c r="I517" i="6"/>
  <c r="H518" i="6"/>
  <c r="I518" i="6"/>
  <c r="H519" i="6"/>
  <c r="I519" i="6"/>
  <c r="H520" i="6"/>
  <c r="I520" i="6"/>
  <c r="H521" i="6"/>
  <c r="I521" i="6"/>
  <c r="H522" i="6"/>
  <c r="I522" i="6"/>
  <c r="H523" i="6"/>
  <c r="I523" i="6"/>
  <c r="H524" i="6"/>
  <c r="I524" i="6"/>
  <c r="H525" i="6"/>
  <c r="I525" i="6"/>
  <c r="H526" i="6"/>
  <c r="I526" i="6"/>
  <c r="H527" i="6"/>
  <c r="I527" i="6"/>
  <c r="H528" i="6"/>
  <c r="I528" i="6"/>
  <c r="H529" i="6"/>
  <c r="I529" i="6"/>
  <c r="H530" i="6"/>
  <c r="I530" i="6"/>
  <c r="H531" i="6"/>
  <c r="I531" i="6"/>
  <c r="H532" i="6"/>
  <c r="I532" i="6"/>
  <c r="H533" i="6"/>
  <c r="I533" i="6"/>
  <c r="H534" i="6"/>
  <c r="I534" i="6"/>
  <c r="H535" i="6"/>
  <c r="I535" i="6"/>
  <c r="H536" i="6"/>
  <c r="I536" i="6"/>
  <c r="H537" i="6"/>
  <c r="I537" i="6"/>
  <c r="H538" i="6"/>
  <c r="I538" i="6"/>
  <c r="H539" i="6"/>
  <c r="I539" i="6"/>
  <c r="H540" i="6"/>
  <c r="I540" i="6"/>
  <c r="H541" i="6"/>
  <c r="I541" i="6"/>
  <c r="H542" i="6"/>
  <c r="I542" i="6"/>
  <c r="H543" i="6"/>
  <c r="I543" i="6"/>
  <c r="H544" i="6"/>
  <c r="I544" i="6"/>
  <c r="H545" i="6"/>
  <c r="I545" i="6"/>
  <c r="H546" i="6"/>
  <c r="I546" i="6"/>
  <c r="H547" i="6"/>
  <c r="I547" i="6"/>
  <c r="H548" i="6"/>
  <c r="I548" i="6"/>
  <c r="H549" i="6"/>
  <c r="I549" i="6"/>
  <c r="H550" i="6"/>
  <c r="I550" i="6"/>
  <c r="H551" i="6"/>
  <c r="I551" i="6"/>
  <c r="H552" i="6"/>
  <c r="I552" i="6"/>
  <c r="H553" i="6"/>
  <c r="I553" i="6"/>
  <c r="H554" i="6"/>
  <c r="I554" i="6"/>
  <c r="H555" i="6"/>
  <c r="I555" i="6"/>
  <c r="H556" i="6"/>
  <c r="I556" i="6"/>
  <c r="H557" i="6"/>
  <c r="I557" i="6"/>
  <c r="H558" i="6"/>
  <c r="I558" i="6"/>
  <c r="H559" i="6"/>
  <c r="I559" i="6"/>
  <c r="H560" i="6"/>
  <c r="I560" i="6"/>
  <c r="H561" i="6"/>
  <c r="I561" i="6"/>
  <c r="H562" i="6"/>
  <c r="I562" i="6"/>
  <c r="H563" i="6"/>
  <c r="I563" i="6"/>
  <c r="H564" i="6"/>
  <c r="I564" i="6"/>
  <c r="H565" i="6"/>
  <c r="I565" i="6"/>
  <c r="H566" i="6"/>
  <c r="I566" i="6"/>
  <c r="H567" i="6"/>
  <c r="I567" i="6"/>
  <c r="H568" i="6"/>
  <c r="I568" i="6"/>
  <c r="H569" i="6"/>
  <c r="I569" i="6"/>
  <c r="H570" i="6"/>
  <c r="I570" i="6"/>
  <c r="H571" i="6"/>
  <c r="I571" i="6"/>
  <c r="H572" i="6"/>
  <c r="I572" i="6"/>
  <c r="H573" i="6"/>
  <c r="I573" i="6"/>
  <c r="H574" i="6"/>
  <c r="I574" i="6"/>
  <c r="H575" i="6"/>
  <c r="I575" i="6"/>
  <c r="H576" i="6"/>
  <c r="I576" i="6"/>
  <c r="H577" i="6"/>
  <c r="I577" i="6"/>
  <c r="H578" i="6"/>
  <c r="I578" i="6"/>
  <c r="H579" i="6"/>
  <c r="I579" i="6"/>
  <c r="H580" i="6"/>
  <c r="I580" i="6"/>
  <c r="H581" i="6"/>
  <c r="I581" i="6"/>
  <c r="H582" i="6"/>
  <c r="I582" i="6"/>
  <c r="H583" i="6"/>
  <c r="I583" i="6"/>
  <c r="H584" i="6"/>
  <c r="I584" i="6"/>
  <c r="H585" i="6"/>
  <c r="I585" i="6"/>
  <c r="H586" i="6"/>
  <c r="I586" i="6"/>
  <c r="H587" i="6"/>
  <c r="I587" i="6"/>
  <c r="H588" i="6"/>
  <c r="I588" i="6"/>
  <c r="H589" i="6"/>
  <c r="I589" i="6"/>
  <c r="H590" i="6"/>
  <c r="I590" i="6"/>
  <c r="H591" i="6"/>
  <c r="I591" i="6"/>
  <c r="H592" i="6"/>
  <c r="I592" i="6"/>
  <c r="H593" i="6"/>
  <c r="I593" i="6"/>
  <c r="H594" i="6"/>
  <c r="I594" i="6"/>
  <c r="H595" i="6"/>
  <c r="I595" i="6"/>
  <c r="H596" i="6"/>
  <c r="I596" i="6"/>
  <c r="H597" i="6"/>
  <c r="I597" i="6"/>
  <c r="H598" i="6"/>
  <c r="I598" i="6"/>
  <c r="H599" i="6"/>
  <c r="I599" i="6"/>
  <c r="H600" i="6"/>
  <c r="I600" i="6"/>
  <c r="H601" i="6"/>
  <c r="I601" i="6"/>
  <c r="H602" i="6"/>
  <c r="I602" i="6"/>
  <c r="H603" i="6"/>
  <c r="I603" i="6"/>
  <c r="H604" i="6"/>
  <c r="I604" i="6"/>
  <c r="H605" i="6"/>
  <c r="I605" i="6"/>
  <c r="H606" i="6"/>
  <c r="I606" i="6"/>
  <c r="H607" i="6"/>
  <c r="I607" i="6"/>
  <c r="H608" i="6"/>
  <c r="I608" i="6"/>
  <c r="H609" i="6"/>
  <c r="I609" i="6"/>
  <c r="H610" i="6"/>
  <c r="I610" i="6"/>
  <c r="H611" i="6"/>
  <c r="I611" i="6"/>
  <c r="H612" i="6"/>
  <c r="I612" i="6"/>
  <c r="H613" i="6"/>
  <c r="I613" i="6"/>
  <c r="H614" i="6"/>
  <c r="I614" i="6"/>
  <c r="H615" i="6"/>
  <c r="I615" i="6"/>
  <c r="H616" i="6"/>
  <c r="I616" i="6"/>
  <c r="H617" i="6"/>
  <c r="I617" i="6"/>
  <c r="H618" i="6"/>
  <c r="I618" i="6"/>
  <c r="H619" i="6"/>
  <c r="I619" i="6"/>
  <c r="H620" i="6"/>
  <c r="I620" i="6"/>
  <c r="H621" i="6"/>
  <c r="I621" i="6"/>
  <c r="H622" i="6"/>
  <c r="I622" i="6"/>
  <c r="H623" i="6"/>
  <c r="I623" i="6"/>
  <c r="H624" i="6"/>
  <c r="I624" i="6"/>
  <c r="H625" i="6"/>
  <c r="I625" i="6"/>
  <c r="H626" i="6"/>
  <c r="I626" i="6"/>
  <c r="H627" i="6"/>
  <c r="I627" i="6"/>
  <c r="H628" i="6"/>
  <c r="I628" i="6"/>
  <c r="H629" i="6"/>
  <c r="I629" i="6"/>
  <c r="H630" i="6"/>
  <c r="I630" i="6"/>
  <c r="H631" i="6"/>
  <c r="I631" i="6"/>
  <c r="H632" i="6"/>
  <c r="I632" i="6"/>
  <c r="H633" i="6"/>
  <c r="I633" i="6"/>
  <c r="H634" i="6"/>
  <c r="I634" i="6"/>
  <c r="H635" i="6"/>
  <c r="I635" i="6"/>
  <c r="H636" i="6"/>
  <c r="I636" i="6"/>
  <c r="H637" i="6"/>
  <c r="I637" i="6"/>
  <c r="H638" i="6"/>
  <c r="I638" i="6"/>
  <c r="H639" i="6"/>
  <c r="I639" i="6"/>
  <c r="H640" i="6"/>
  <c r="I640" i="6"/>
  <c r="H641" i="6"/>
  <c r="I641" i="6"/>
  <c r="H642" i="6"/>
  <c r="I642" i="6"/>
  <c r="H643" i="6"/>
  <c r="I643" i="6"/>
  <c r="H644" i="6"/>
  <c r="I644" i="6"/>
  <c r="H645" i="6"/>
  <c r="I645" i="6"/>
  <c r="H646" i="6"/>
  <c r="I646" i="6"/>
  <c r="H647" i="6"/>
  <c r="I647" i="6"/>
  <c r="H648" i="6"/>
  <c r="I648" i="6"/>
  <c r="H649" i="6"/>
  <c r="I649" i="6"/>
  <c r="H650" i="6"/>
  <c r="I650" i="6"/>
  <c r="H651" i="6"/>
  <c r="I651" i="6"/>
  <c r="H652" i="6"/>
  <c r="I652" i="6"/>
  <c r="H653" i="6"/>
  <c r="I653" i="6"/>
  <c r="H654" i="6"/>
  <c r="I654" i="6"/>
  <c r="H655" i="6"/>
  <c r="I655" i="6"/>
  <c r="H656" i="6"/>
  <c r="I656" i="6"/>
  <c r="H657" i="6"/>
  <c r="I657" i="6"/>
  <c r="H658" i="6"/>
  <c r="I658" i="6"/>
  <c r="H659" i="6"/>
  <c r="I659" i="6"/>
  <c r="H660" i="6"/>
  <c r="I660" i="6"/>
  <c r="H661" i="6"/>
  <c r="I661" i="6"/>
  <c r="H662" i="6"/>
  <c r="I662" i="6"/>
  <c r="H663" i="6"/>
  <c r="I663" i="6"/>
  <c r="H664" i="6"/>
  <c r="I664" i="6"/>
  <c r="H665" i="6"/>
  <c r="I665" i="6"/>
  <c r="H666" i="6"/>
  <c r="I666" i="6"/>
  <c r="H667" i="6"/>
  <c r="I667" i="6"/>
  <c r="H668" i="6"/>
  <c r="I668" i="6"/>
  <c r="H669" i="6"/>
  <c r="I669" i="6"/>
  <c r="H670" i="6"/>
  <c r="I670" i="6"/>
  <c r="H671" i="6"/>
  <c r="I671" i="6"/>
  <c r="H672" i="6"/>
  <c r="I672" i="6"/>
  <c r="H673" i="6"/>
  <c r="I673" i="6"/>
  <c r="H674" i="6"/>
  <c r="I674" i="6"/>
  <c r="H675" i="6"/>
  <c r="I675" i="6"/>
  <c r="H676" i="6"/>
  <c r="I676" i="6"/>
  <c r="H677" i="6"/>
  <c r="I677" i="6"/>
  <c r="H678" i="6"/>
  <c r="I678" i="6"/>
  <c r="H679" i="6"/>
  <c r="I679" i="6"/>
  <c r="H680" i="6"/>
  <c r="I680" i="6"/>
  <c r="H681" i="6"/>
  <c r="I681" i="6"/>
  <c r="H682" i="6"/>
  <c r="I682" i="6"/>
  <c r="H683" i="6"/>
  <c r="I683" i="6"/>
  <c r="H684" i="6"/>
  <c r="I684" i="6"/>
  <c r="H685" i="6"/>
  <c r="I685" i="6"/>
  <c r="H686" i="6"/>
  <c r="I686" i="6"/>
  <c r="H687" i="6"/>
  <c r="I687" i="6"/>
  <c r="H688" i="6"/>
  <c r="I688" i="6"/>
  <c r="H689" i="6"/>
  <c r="I689" i="6"/>
  <c r="H690" i="6"/>
  <c r="I690" i="6"/>
  <c r="H691" i="6"/>
  <c r="I691" i="6"/>
  <c r="H692" i="6"/>
  <c r="I692" i="6"/>
  <c r="H693" i="6"/>
  <c r="I693" i="6"/>
  <c r="H694" i="6"/>
  <c r="I694" i="6"/>
  <c r="H695" i="6"/>
  <c r="I695" i="6"/>
  <c r="H696" i="6"/>
  <c r="I696" i="6"/>
  <c r="H697" i="6"/>
  <c r="I697" i="6"/>
  <c r="H698" i="6"/>
  <c r="I698" i="6"/>
  <c r="H699" i="6"/>
  <c r="I699" i="6"/>
  <c r="H700" i="6"/>
  <c r="I700" i="6"/>
  <c r="H701" i="6"/>
  <c r="I701" i="6"/>
  <c r="H702" i="6"/>
  <c r="I702" i="6"/>
  <c r="H703" i="6"/>
  <c r="I703" i="6"/>
  <c r="H704" i="6"/>
  <c r="I704" i="6"/>
  <c r="H705" i="6"/>
  <c r="I705" i="6"/>
  <c r="H706" i="6"/>
  <c r="I706" i="6"/>
  <c r="H707" i="6"/>
  <c r="I707" i="6"/>
  <c r="H708" i="6"/>
  <c r="I708" i="6"/>
  <c r="H709" i="6"/>
  <c r="I709" i="6"/>
  <c r="H710" i="6"/>
  <c r="I710" i="6"/>
  <c r="H711" i="6"/>
  <c r="I711" i="6"/>
  <c r="H712" i="6"/>
  <c r="I712" i="6"/>
  <c r="H713" i="6"/>
  <c r="I713" i="6"/>
  <c r="H714" i="6"/>
  <c r="I714" i="6"/>
  <c r="H715" i="6"/>
  <c r="I715" i="6"/>
  <c r="H716" i="6"/>
  <c r="I716" i="6"/>
  <c r="H717" i="6"/>
  <c r="I717" i="6"/>
  <c r="H718" i="6"/>
  <c r="I718" i="6"/>
  <c r="H719" i="6"/>
  <c r="I719" i="6"/>
  <c r="H720" i="6"/>
  <c r="I720" i="6"/>
  <c r="H721" i="6"/>
  <c r="I721" i="6"/>
  <c r="H722" i="6"/>
  <c r="I722" i="6"/>
  <c r="H723" i="6"/>
  <c r="I723" i="6"/>
  <c r="H724" i="6"/>
  <c r="I724" i="6"/>
  <c r="H725" i="6"/>
  <c r="I725" i="6"/>
  <c r="H726" i="6"/>
  <c r="I726" i="6"/>
  <c r="H727" i="6"/>
  <c r="I727" i="6"/>
  <c r="H728" i="6"/>
  <c r="I728" i="6"/>
  <c r="H729" i="6"/>
  <c r="I729" i="6"/>
  <c r="H730" i="6"/>
  <c r="I730" i="6"/>
  <c r="H731" i="6"/>
  <c r="I731" i="6"/>
  <c r="H732" i="6"/>
  <c r="I732" i="6"/>
  <c r="H733" i="6"/>
  <c r="I733" i="6"/>
  <c r="H734" i="6"/>
  <c r="I734" i="6"/>
  <c r="H735" i="6"/>
  <c r="I735" i="6"/>
  <c r="H736" i="6"/>
  <c r="I736" i="6"/>
  <c r="H737" i="6"/>
  <c r="I737" i="6"/>
  <c r="H738" i="6"/>
  <c r="I738" i="6"/>
  <c r="H739" i="6"/>
  <c r="I739" i="6"/>
  <c r="H740" i="6"/>
  <c r="I740" i="6"/>
  <c r="H741" i="6"/>
  <c r="I741" i="6"/>
  <c r="H742" i="6"/>
  <c r="I742" i="6"/>
  <c r="H743" i="6"/>
  <c r="I743" i="6"/>
  <c r="H744" i="6"/>
  <c r="I744" i="6"/>
  <c r="H745" i="6"/>
  <c r="I745" i="6"/>
  <c r="H746" i="6"/>
  <c r="I746" i="6"/>
  <c r="H747" i="6"/>
  <c r="I747" i="6"/>
  <c r="H748" i="6"/>
  <c r="I748" i="6"/>
  <c r="H749" i="6"/>
  <c r="I749" i="6"/>
  <c r="H750" i="6"/>
  <c r="I750" i="6"/>
  <c r="H751" i="6"/>
  <c r="I751" i="6"/>
  <c r="H752" i="6"/>
  <c r="I752" i="6"/>
  <c r="H753" i="6"/>
  <c r="I753" i="6"/>
  <c r="H754" i="6"/>
  <c r="I754" i="6"/>
  <c r="H755" i="6"/>
  <c r="I755" i="6"/>
  <c r="H756" i="6"/>
  <c r="I756" i="6"/>
  <c r="H757" i="6"/>
  <c r="I757" i="6"/>
  <c r="H758" i="6"/>
  <c r="I758" i="6"/>
  <c r="H759" i="6"/>
  <c r="I759" i="6"/>
  <c r="H760" i="6"/>
  <c r="I760" i="6"/>
  <c r="H761" i="6"/>
  <c r="I761" i="6"/>
  <c r="H762" i="6"/>
  <c r="I762" i="6"/>
  <c r="H763" i="6"/>
  <c r="I763" i="6"/>
  <c r="H764" i="6"/>
  <c r="I764" i="6"/>
  <c r="H765" i="6"/>
  <c r="I765" i="6"/>
  <c r="H766" i="6"/>
  <c r="I766" i="6"/>
  <c r="H767" i="6"/>
  <c r="I767" i="6"/>
  <c r="H768" i="6"/>
  <c r="I768" i="6"/>
  <c r="H769" i="6"/>
  <c r="I769" i="6"/>
  <c r="H770" i="6"/>
  <c r="I770" i="6"/>
  <c r="H771" i="6"/>
  <c r="I771" i="6"/>
  <c r="H772" i="6"/>
  <c r="I772" i="6"/>
  <c r="H773" i="6"/>
  <c r="I773" i="6"/>
  <c r="H774" i="6"/>
  <c r="I774" i="6"/>
  <c r="H775" i="6"/>
  <c r="I775" i="6"/>
  <c r="H776" i="6"/>
  <c r="I776" i="6"/>
  <c r="H777" i="6"/>
  <c r="I777" i="6"/>
  <c r="H778" i="6"/>
  <c r="I778" i="6"/>
  <c r="H779" i="6"/>
  <c r="I779" i="6"/>
  <c r="H780" i="6"/>
  <c r="I780" i="6"/>
  <c r="H781" i="6"/>
  <c r="I781" i="6"/>
  <c r="H782" i="6"/>
  <c r="I782" i="6"/>
  <c r="H783" i="6"/>
  <c r="I783" i="6"/>
  <c r="H784" i="6"/>
  <c r="I784" i="6"/>
  <c r="H785" i="6"/>
  <c r="I785" i="6"/>
  <c r="H786" i="6"/>
  <c r="I786" i="6"/>
  <c r="H787" i="6"/>
  <c r="I787" i="6"/>
  <c r="H788" i="6"/>
  <c r="I788" i="6"/>
  <c r="H789" i="6"/>
  <c r="I789" i="6"/>
  <c r="H790" i="6"/>
  <c r="I790" i="6"/>
  <c r="H791" i="6"/>
  <c r="I791" i="6"/>
  <c r="H792" i="6"/>
  <c r="I792" i="6"/>
  <c r="H793" i="6"/>
  <c r="I793" i="6"/>
  <c r="H794" i="6"/>
  <c r="I794" i="6"/>
  <c r="H795" i="6"/>
  <c r="I795" i="6"/>
  <c r="H796" i="6"/>
  <c r="I796" i="6"/>
  <c r="H797" i="6"/>
  <c r="I797" i="6"/>
  <c r="H798" i="6"/>
  <c r="I798" i="6"/>
  <c r="H799" i="6"/>
  <c r="I799" i="6"/>
  <c r="H800" i="6"/>
  <c r="I800" i="6"/>
  <c r="H801" i="6"/>
  <c r="I801" i="6"/>
  <c r="H802" i="6"/>
  <c r="I802" i="6"/>
  <c r="H803" i="6"/>
  <c r="I803" i="6"/>
  <c r="H804" i="6"/>
  <c r="I804" i="6"/>
  <c r="H805" i="6"/>
  <c r="I805" i="6"/>
  <c r="H806" i="6"/>
  <c r="I806" i="6"/>
  <c r="H807" i="6"/>
  <c r="I807" i="6"/>
  <c r="H808" i="6"/>
  <c r="I808" i="6"/>
  <c r="H809" i="6"/>
  <c r="I809" i="6"/>
  <c r="H810" i="6"/>
  <c r="I810" i="6"/>
  <c r="H811" i="6"/>
  <c r="I811" i="6"/>
  <c r="H812" i="6"/>
  <c r="I812" i="6"/>
  <c r="H813" i="6"/>
  <c r="I813" i="6"/>
  <c r="H814" i="6"/>
  <c r="I814" i="6"/>
  <c r="H815" i="6"/>
  <c r="I815" i="6"/>
  <c r="H816" i="6"/>
  <c r="I816" i="6"/>
  <c r="H817" i="6"/>
  <c r="I817" i="6"/>
  <c r="H818" i="6"/>
  <c r="I818" i="6"/>
  <c r="H819" i="6"/>
  <c r="I819" i="6"/>
  <c r="H820" i="6"/>
  <c r="I820" i="6"/>
  <c r="H821" i="6"/>
  <c r="I821" i="6"/>
  <c r="H822" i="6"/>
  <c r="I822" i="6"/>
  <c r="H823" i="6"/>
  <c r="I823" i="6"/>
  <c r="H824" i="6"/>
  <c r="I824" i="6"/>
  <c r="H825" i="6"/>
  <c r="I825" i="6"/>
  <c r="H826" i="6"/>
  <c r="I826" i="6"/>
  <c r="H827" i="6"/>
  <c r="I827" i="6"/>
  <c r="H828" i="6"/>
  <c r="I828" i="6"/>
  <c r="H829" i="6"/>
  <c r="I829" i="6"/>
  <c r="H830" i="6"/>
  <c r="I830" i="6"/>
  <c r="H831" i="6"/>
  <c r="I831" i="6"/>
  <c r="H832" i="6"/>
  <c r="I832" i="6"/>
  <c r="H833" i="6"/>
  <c r="I833" i="6"/>
  <c r="H834" i="6"/>
  <c r="I834" i="6"/>
  <c r="H835" i="6"/>
  <c r="I835" i="6"/>
  <c r="H836" i="6"/>
  <c r="I836" i="6"/>
  <c r="H837" i="6"/>
  <c r="I837" i="6"/>
  <c r="H838" i="6"/>
  <c r="I838" i="6"/>
  <c r="H839" i="6"/>
  <c r="I839" i="6"/>
  <c r="H840" i="6"/>
  <c r="I840" i="6"/>
  <c r="H841" i="6"/>
  <c r="I841" i="6"/>
  <c r="H842" i="6"/>
  <c r="I842" i="6"/>
  <c r="H843" i="6"/>
  <c r="I843" i="6"/>
  <c r="H844" i="6"/>
  <c r="I844" i="6"/>
  <c r="H845" i="6"/>
  <c r="I845" i="6"/>
  <c r="H846" i="6"/>
  <c r="I846" i="6"/>
  <c r="H847" i="6"/>
  <c r="I847" i="6"/>
  <c r="H848" i="6"/>
  <c r="I848" i="6"/>
  <c r="H849" i="6"/>
  <c r="I849" i="6"/>
  <c r="H850" i="6"/>
  <c r="I850" i="6"/>
  <c r="H851" i="6"/>
  <c r="I851" i="6"/>
  <c r="H852" i="6"/>
  <c r="I852" i="6"/>
  <c r="H853" i="6"/>
  <c r="I853" i="6"/>
  <c r="H854" i="6"/>
  <c r="I854" i="6"/>
  <c r="H855" i="6"/>
  <c r="I855" i="6"/>
  <c r="H856" i="6"/>
  <c r="I856" i="6"/>
  <c r="H857" i="6"/>
  <c r="I857" i="6"/>
  <c r="H858" i="6"/>
  <c r="I858" i="6"/>
  <c r="H859" i="6"/>
  <c r="I859" i="6"/>
  <c r="H860" i="6"/>
  <c r="I860" i="6"/>
  <c r="H861" i="6"/>
  <c r="I861" i="6"/>
  <c r="H862" i="6"/>
  <c r="I862" i="6"/>
  <c r="H863" i="6"/>
  <c r="I863" i="6"/>
  <c r="H864" i="6"/>
  <c r="I864" i="6"/>
  <c r="H865" i="6"/>
  <c r="I865" i="6"/>
  <c r="H866" i="6"/>
  <c r="I866" i="6"/>
  <c r="H867" i="6"/>
  <c r="I867" i="6"/>
  <c r="H868" i="6"/>
  <c r="I868" i="6"/>
  <c r="H869" i="6"/>
  <c r="I869" i="6"/>
  <c r="H870" i="6"/>
  <c r="I870" i="6"/>
  <c r="H871" i="6"/>
  <c r="I871" i="6"/>
  <c r="H872" i="6"/>
  <c r="I872" i="6"/>
  <c r="H873" i="6"/>
  <c r="I873" i="6"/>
  <c r="H874" i="6"/>
  <c r="I874" i="6"/>
  <c r="H875" i="6"/>
  <c r="I875" i="6"/>
  <c r="H876" i="6"/>
  <c r="I876" i="6"/>
  <c r="H877" i="6"/>
  <c r="I877" i="6"/>
  <c r="H878" i="6"/>
  <c r="I878" i="6"/>
  <c r="H879" i="6"/>
  <c r="I879" i="6"/>
  <c r="H880" i="6"/>
  <c r="I880" i="6"/>
  <c r="H881" i="6"/>
  <c r="I881" i="6"/>
  <c r="H882" i="6"/>
  <c r="I882" i="6"/>
  <c r="H883" i="6"/>
  <c r="I883" i="6"/>
  <c r="H884" i="6"/>
  <c r="I884" i="6"/>
  <c r="H885" i="6"/>
  <c r="I885" i="6"/>
  <c r="H886" i="6"/>
  <c r="I886" i="6"/>
  <c r="H887" i="6"/>
  <c r="I887" i="6"/>
  <c r="H888" i="6"/>
  <c r="I888" i="6"/>
  <c r="H889" i="6"/>
  <c r="I889" i="6"/>
  <c r="H890" i="6"/>
  <c r="I890" i="6"/>
  <c r="H891" i="6"/>
  <c r="I891" i="6"/>
  <c r="H892" i="6"/>
  <c r="I892" i="6"/>
  <c r="H893" i="6"/>
  <c r="I893" i="6"/>
  <c r="H894" i="6"/>
  <c r="I894" i="6"/>
  <c r="H895" i="6"/>
  <c r="I895" i="6"/>
  <c r="H896" i="6"/>
  <c r="I896" i="6"/>
  <c r="H897" i="6"/>
  <c r="I897" i="6"/>
  <c r="H898" i="6"/>
  <c r="I898" i="6"/>
  <c r="H899" i="6"/>
  <c r="I899" i="6"/>
  <c r="H900" i="6"/>
  <c r="I900" i="6"/>
  <c r="H901" i="6"/>
  <c r="I901" i="6"/>
  <c r="H902" i="6"/>
  <c r="I902" i="6"/>
  <c r="H903" i="6"/>
  <c r="I903" i="6"/>
  <c r="H904" i="6"/>
  <c r="I904" i="6"/>
  <c r="H905" i="6"/>
  <c r="I905" i="6"/>
  <c r="H906" i="6"/>
  <c r="I906" i="6"/>
  <c r="H907" i="6"/>
  <c r="I907" i="6"/>
  <c r="H908" i="6"/>
  <c r="I908" i="6"/>
  <c r="H909" i="6"/>
  <c r="I909" i="6"/>
  <c r="H910" i="6"/>
  <c r="I910" i="6"/>
  <c r="H911" i="6"/>
  <c r="I911" i="6"/>
  <c r="H912" i="6"/>
  <c r="I912" i="6"/>
  <c r="H913" i="6"/>
  <c r="I913" i="6"/>
  <c r="H914" i="6"/>
  <c r="I914" i="6"/>
  <c r="H915" i="6"/>
  <c r="I915" i="6"/>
  <c r="H916" i="6"/>
  <c r="I916" i="6"/>
  <c r="H917" i="6"/>
  <c r="I917" i="6"/>
  <c r="H918" i="6"/>
  <c r="I918" i="6"/>
  <c r="H919" i="6"/>
  <c r="I919" i="6"/>
  <c r="H920" i="6"/>
  <c r="I920" i="6"/>
  <c r="H921" i="6"/>
  <c r="I921" i="6"/>
  <c r="H922" i="6"/>
  <c r="I922" i="6"/>
  <c r="H923" i="6"/>
  <c r="I923" i="6"/>
  <c r="H924" i="6"/>
  <c r="I924" i="6"/>
  <c r="H925" i="6"/>
  <c r="I925" i="6"/>
  <c r="H926" i="6"/>
  <c r="I926" i="6"/>
  <c r="H927" i="6"/>
  <c r="I927" i="6"/>
  <c r="H928" i="6"/>
  <c r="I928" i="6"/>
  <c r="H929" i="6"/>
  <c r="I929" i="6"/>
  <c r="H930" i="6"/>
  <c r="I930" i="6"/>
  <c r="H931" i="6"/>
  <c r="I931" i="6"/>
  <c r="H932" i="6"/>
  <c r="I932" i="6"/>
  <c r="H933" i="6"/>
  <c r="I933" i="6"/>
  <c r="H934" i="6"/>
  <c r="I934" i="6"/>
  <c r="H935" i="6"/>
  <c r="I935" i="6"/>
  <c r="H936" i="6"/>
  <c r="I936" i="6"/>
  <c r="H937" i="6"/>
  <c r="I937" i="6"/>
  <c r="H938" i="6"/>
  <c r="I938" i="6"/>
  <c r="H939" i="6"/>
  <c r="I939" i="6"/>
  <c r="H940" i="6"/>
  <c r="I940" i="6"/>
  <c r="H941" i="6"/>
  <c r="I941" i="6"/>
  <c r="H942" i="6"/>
  <c r="I942" i="6"/>
  <c r="H943" i="6"/>
  <c r="I943" i="6"/>
  <c r="H944" i="6"/>
  <c r="I944" i="6"/>
  <c r="H945" i="6"/>
  <c r="I945" i="6"/>
  <c r="H946" i="6"/>
  <c r="I946" i="6"/>
  <c r="H947" i="6"/>
  <c r="I947" i="6"/>
  <c r="H948" i="6"/>
  <c r="I948" i="6"/>
  <c r="H949" i="6"/>
  <c r="I949" i="6"/>
  <c r="H950" i="6"/>
  <c r="I950" i="6"/>
  <c r="H951" i="6"/>
  <c r="I951" i="6"/>
  <c r="H952" i="6"/>
  <c r="I952" i="6"/>
  <c r="H953" i="6"/>
  <c r="I953" i="6"/>
  <c r="H954" i="6"/>
  <c r="I954" i="6"/>
  <c r="H955" i="6"/>
  <c r="I955" i="6"/>
  <c r="H956" i="6"/>
  <c r="I956" i="6"/>
  <c r="H957" i="6"/>
  <c r="I957" i="6"/>
  <c r="H958" i="6"/>
  <c r="I958" i="6"/>
  <c r="H959" i="6"/>
  <c r="I959" i="6"/>
  <c r="H960" i="6"/>
  <c r="I960" i="6"/>
  <c r="H961" i="6"/>
  <c r="I961" i="6"/>
  <c r="H962" i="6"/>
  <c r="I962" i="6"/>
  <c r="H963" i="6"/>
  <c r="I963" i="6"/>
  <c r="H964" i="6"/>
  <c r="I964" i="6"/>
  <c r="H965" i="6"/>
  <c r="I965" i="6"/>
  <c r="H966" i="6"/>
  <c r="I966" i="6"/>
  <c r="H967" i="6"/>
  <c r="I967" i="6"/>
  <c r="H968" i="6"/>
  <c r="I968" i="6"/>
  <c r="H969" i="6"/>
  <c r="I969" i="6"/>
  <c r="H970" i="6"/>
  <c r="I970" i="6"/>
  <c r="H971" i="6"/>
  <c r="I971" i="6"/>
  <c r="H972" i="6"/>
  <c r="I972" i="6"/>
  <c r="H973" i="6"/>
  <c r="I973" i="6"/>
  <c r="H974" i="6"/>
  <c r="I974" i="6"/>
  <c r="H975" i="6"/>
  <c r="I975" i="6"/>
  <c r="H976" i="6"/>
  <c r="I976" i="6"/>
  <c r="H977" i="6"/>
  <c r="I977" i="6"/>
  <c r="H978" i="6"/>
  <c r="I978" i="6"/>
  <c r="H979" i="6"/>
  <c r="I979" i="6"/>
  <c r="H980" i="6"/>
  <c r="I980" i="6"/>
  <c r="H981" i="6"/>
  <c r="I981" i="6"/>
  <c r="H982" i="6"/>
  <c r="I982" i="6"/>
  <c r="H983" i="6"/>
  <c r="I983" i="6"/>
  <c r="H984" i="6"/>
  <c r="I984" i="6"/>
  <c r="H985" i="6"/>
  <c r="I985" i="6"/>
  <c r="H986" i="6"/>
  <c r="I986" i="6"/>
  <c r="H987" i="6"/>
  <c r="I987" i="6"/>
  <c r="H988" i="6"/>
  <c r="I988" i="6"/>
  <c r="H989" i="6"/>
  <c r="I989" i="6"/>
  <c r="H990" i="6"/>
  <c r="I990" i="6"/>
  <c r="H991" i="6"/>
  <c r="I991" i="6"/>
  <c r="H992" i="6"/>
  <c r="I992" i="6"/>
  <c r="H993" i="6"/>
  <c r="I993" i="6"/>
  <c r="H994" i="6"/>
  <c r="I994" i="6"/>
  <c r="H995" i="6"/>
  <c r="I995" i="6"/>
  <c r="H996" i="6"/>
  <c r="I996" i="6"/>
  <c r="H997" i="6"/>
  <c r="I997" i="6"/>
  <c r="H998" i="6"/>
  <c r="I998" i="6"/>
  <c r="H999" i="6"/>
  <c r="I999" i="6"/>
  <c r="H1000" i="6"/>
  <c r="I1000" i="6"/>
  <c r="H1001" i="6"/>
  <c r="I1001" i="6"/>
  <c r="H2" i="6"/>
  <c r="I2" i="6"/>
  <c r="G3" i="11"/>
  <c r="G4" i="11"/>
  <c r="G5" i="11"/>
  <c r="G6" i="11"/>
  <c r="G7" i="11"/>
  <c r="G8" i="11"/>
  <c r="G9" i="11"/>
  <c r="G10" i="11"/>
  <c r="G11" i="11"/>
  <c r="G12" i="11"/>
  <c r="G13" i="11"/>
  <c r="G14" i="11"/>
  <c r="G15" i="11"/>
  <c r="G16" i="11"/>
  <c r="G17" i="11"/>
  <c r="G18" i="11"/>
  <c r="G19" i="11"/>
  <c r="G20" i="11"/>
  <c r="G21" i="11"/>
  <c r="G2" i="11"/>
  <c r="E2" i="11"/>
  <c r="F3" i="11"/>
  <c r="F4" i="11"/>
  <c r="F5" i="11"/>
  <c r="F6" i="11"/>
  <c r="F7" i="11"/>
  <c r="F8" i="11"/>
  <c r="F9" i="11"/>
  <c r="F10" i="11"/>
  <c r="F11" i="11"/>
  <c r="F12" i="11"/>
  <c r="F13" i="11"/>
  <c r="F14" i="11"/>
  <c r="F15" i="11"/>
  <c r="F16" i="11"/>
  <c r="F17" i="11"/>
  <c r="F18" i="11"/>
  <c r="F19" i="11"/>
  <c r="F20" i="11"/>
  <c r="F21" i="11"/>
  <c r="F2" i="11"/>
  <c r="E3" i="11"/>
  <c r="E4" i="11"/>
  <c r="E5" i="11"/>
  <c r="E6" i="11"/>
  <c r="E7" i="11"/>
  <c r="E8" i="11"/>
  <c r="E9" i="11"/>
  <c r="E10" i="11"/>
  <c r="E11" i="11"/>
  <c r="E12" i="11"/>
  <c r="E13" i="11"/>
  <c r="E14" i="11"/>
  <c r="E15" i="11"/>
  <c r="E16" i="11"/>
  <c r="E17" i="11"/>
  <c r="E18" i="11"/>
  <c r="E19" i="11"/>
  <c r="E20" i="11"/>
  <c r="E21" i="11"/>
  <c r="D3" i="11"/>
  <c r="D4" i="11"/>
  <c r="D5" i="11"/>
  <c r="D6" i="11"/>
  <c r="D7" i="11"/>
  <c r="D8" i="11"/>
  <c r="D9" i="11"/>
  <c r="D10" i="11"/>
  <c r="D11" i="11"/>
  <c r="D12" i="11"/>
  <c r="D13" i="11"/>
  <c r="D14" i="11"/>
  <c r="D15" i="11"/>
  <c r="D16" i="11"/>
  <c r="D17" i="11"/>
  <c r="D18" i="11"/>
  <c r="D19" i="11"/>
  <c r="D20" i="11"/>
  <c r="D21" i="11"/>
  <c r="D2" i="11"/>
  <c r="C21" i="11"/>
  <c r="C20" i="11"/>
  <c r="C19" i="11"/>
  <c r="C18" i="11"/>
  <c r="C17" i="11"/>
  <c r="C16" i="11"/>
  <c r="C15" i="11"/>
  <c r="C14" i="11"/>
  <c r="C13" i="11"/>
  <c r="C12" i="11"/>
  <c r="C11" i="11"/>
  <c r="C10" i="11"/>
  <c r="C9" i="11"/>
  <c r="C8" i="11"/>
  <c r="C7" i="11"/>
  <c r="C6" i="11"/>
  <c r="C5" i="11"/>
  <c r="C4" i="11"/>
  <c r="C3" i="11"/>
  <c r="C2" i="11"/>
  <c r="E147" i="4"/>
  <c r="D142" i="4"/>
  <c r="D140" i="4"/>
  <c r="D139" i="4"/>
  <c r="D138" i="4"/>
  <c r="D137" i="4"/>
  <c r="D136" i="4"/>
  <c r="C132" i="4"/>
  <c r="C128" i="4"/>
  <c r="D128" i="4"/>
  <c r="D126" i="4"/>
  <c r="D125" i="4"/>
  <c r="D124" i="4"/>
  <c r="H9" i="14"/>
  <c r="G9" i="14"/>
  <c r="C119" i="4"/>
  <c r="F118" i="4"/>
  <c r="C118" i="4"/>
  <c r="C117" i="4"/>
  <c r="F115" i="4"/>
  <c r="E115" i="4"/>
  <c r="E114" i="4"/>
  <c r="D110" i="4"/>
  <c r="D109" i="4"/>
  <c r="D108" i="4"/>
  <c r="D107" i="4"/>
  <c r="D105" i="4"/>
  <c r="D103" i="4"/>
  <c r="D102" i="4"/>
  <c r="F100" i="4"/>
  <c r="H100" i="4"/>
  <c r="F99" i="4"/>
  <c r="H99" i="4"/>
  <c r="F98" i="4"/>
  <c r="H98" i="4"/>
  <c r="F97" i="4"/>
  <c r="H97" i="4"/>
  <c r="H94" i="4"/>
  <c r="H93" i="4"/>
  <c r="F92" i="4"/>
  <c r="F91" i="4"/>
  <c r="D88" i="4"/>
  <c r="D85" i="4"/>
  <c r="D84" i="4"/>
  <c r="D80" i="4"/>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2" i="6"/>
  <c r="AJ10" i="6"/>
  <c r="AJ7" i="6"/>
  <c r="AJ5" i="6"/>
  <c r="AJ4"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2" i="6"/>
  <c r="C66" i="4"/>
  <c r="C65" i="4"/>
  <c r="C57" i="4"/>
  <c r="C58" i="4"/>
  <c r="C59" i="4"/>
  <c r="C63" i="4"/>
  <c r="C64" i="4"/>
  <c r="C62" i="4"/>
  <c r="C61" i="4"/>
  <c r="C60" i="4"/>
  <c r="C56" i="4"/>
  <c r="C52" i="4"/>
  <c r="C51" i="4"/>
  <c r="C50" i="4"/>
  <c r="C49" i="4"/>
  <c r="C48" i="4"/>
  <c r="C47" i="4"/>
  <c r="C46" i="4"/>
  <c r="I34" i="4"/>
  <c r="I33" i="4"/>
  <c r="I32" i="4"/>
  <c r="H32" i="4"/>
  <c r="H33" i="4"/>
  <c r="H34" i="4"/>
  <c r="I39" i="4"/>
  <c r="G39" i="4"/>
  <c r="F39" i="4"/>
  <c r="F30" i="4"/>
  <c r="D34" i="4"/>
  <c r="C34" i="4"/>
  <c r="C33" i="4"/>
  <c r="I27" i="4"/>
  <c r="I29" i="4"/>
  <c r="J30" i="4"/>
  <c r="H30" i="4"/>
  <c r="E30" i="4"/>
  <c r="E9" i="4"/>
  <c r="C8" i="4"/>
  <c r="C7" i="4"/>
  <c r="I9" i="12"/>
  <c r="J9" i="12"/>
  <c r="I10" i="12"/>
  <c r="J10" i="12"/>
  <c r="I11" i="12"/>
  <c r="J11" i="12"/>
  <c r="I12" i="12"/>
  <c r="J12" i="12"/>
  <c r="H10" i="12"/>
  <c r="H11" i="12"/>
  <c r="H12" i="12"/>
  <c r="H9" i="12"/>
  <c r="J78" i="4"/>
</calcChain>
</file>

<file path=xl/sharedStrings.xml><?xml version="1.0" encoding="utf-8"?>
<sst xmlns="http://schemas.openxmlformats.org/spreadsheetml/2006/main" count="5526" uniqueCount="1209">
  <si>
    <t>SUM</t>
  </si>
  <si>
    <t>AVERAGE</t>
  </si>
  <si>
    <t>COUNT</t>
  </si>
  <si>
    <t>Syntax</t>
  </si>
  <si>
    <t>Parentheses</t>
  </si>
  <si>
    <t>Double Quotes</t>
  </si>
  <si>
    <t>Arithmetic Operators</t>
  </si>
  <si>
    <t>Plus</t>
  </si>
  <si>
    <t>+</t>
  </si>
  <si>
    <t>Minus</t>
  </si>
  <si>
    <t>-</t>
  </si>
  <si>
    <t>Multiply</t>
  </si>
  <si>
    <t>*</t>
  </si>
  <si>
    <t>Divide</t>
  </si>
  <si>
    <t xml:space="preserve"> /</t>
  </si>
  <si>
    <t>Comparison Operators</t>
  </si>
  <si>
    <t>Equals</t>
  </si>
  <si>
    <t>Less Than</t>
  </si>
  <si>
    <t>Greather Than</t>
  </si>
  <si>
    <t>Less Than or Equal To</t>
  </si>
  <si>
    <t>Greater Than or Equal To</t>
  </si>
  <si>
    <t>Not Equal To</t>
  </si>
  <si>
    <t>=</t>
  </si>
  <si>
    <t>&lt;</t>
  </si>
  <si>
    <t>&gt;</t>
  </si>
  <si>
    <t>&lt;=</t>
  </si>
  <si>
    <t>&gt;=</t>
  </si>
  <si>
    <t>&lt;&gt;</t>
  </si>
  <si>
    <t>Functions Vs. Formulas</t>
  </si>
  <si>
    <t>Function</t>
  </si>
  <si>
    <t>Formula</t>
  </si>
  <si>
    <t>Absolute Vs. Relative Cell References</t>
  </si>
  <si>
    <t>Relative</t>
  </si>
  <si>
    <t>A1</t>
  </si>
  <si>
    <t>Absolute</t>
  </si>
  <si>
    <t>$A$1</t>
  </si>
  <si>
    <t>$A1</t>
  </si>
  <si>
    <t>Absolute Column, Relative Row</t>
  </si>
  <si>
    <t>Absolute Row, Relative Column</t>
  </si>
  <si>
    <t>A$1</t>
  </si>
  <si>
    <t>F4</t>
  </si>
  <si>
    <t>Shortcut (toggle in cell edit mode)</t>
  </si>
  <si>
    <t>Paste Vs. Paste Special</t>
  </si>
  <si>
    <t>Paste</t>
  </si>
  <si>
    <t>Paste Special</t>
  </si>
  <si>
    <t>Commonly Used Functions</t>
  </si>
  <si>
    <t>COUNTA</t>
  </si>
  <si>
    <t>COUNTBLANK</t>
  </si>
  <si>
    <t>COUNTIF</t>
  </si>
  <si>
    <t>Date &amp; Time Functions</t>
  </si>
  <si>
    <t>TODAY</t>
  </si>
  <si>
    <t>NOW</t>
  </si>
  <si>
    <t>YEAR</t>
  </si>
  <si>
    <t>MONTH</t>
  </si>
  <si>
    <t>DAY</t>
  </si>
  <si>
    <t>HOUR</t>
  </si>
  <si>
    <t>MINUTE</t>
  </si>
  <si>
    <t>SECOND</t>
  </si>
  <si>
    <t>DATE</t>
  </si>
  <si>
    <t>WEEKDAY</t>
  </si>
  <si>
    <t>WORKDAY</t>
  </si>
  <si>
    <t>WORKDAY.INTL</t>
  </si>
  <si>
    <t>EXERCISE 1</t>
  </si>
  <si>
    <t>*Create an extra column which calculates 2 months after the original date</t>
  </si>
  <si>
    <t>Excel is CRAP: How to Calculate, Record, Analyze, &amp; Present Data</t>
  </si>
  <si>
    <t>1. Calculate: You'll Never Look at Your Calculator the Same Way</t>
  </si>
  <si>
    <t>Transaction Date</t>
  </si>
  <si>
    <t>Cleared Date</t>
  </si>
  <si>
    <t>Transaction Time</t>
  </si>
  <si>
    <t>Payee</t>
  </si>
  <si>
    <t>Category</t>
  </si>
  <si>
    <t>Subcategory</t>
  </si>
  <si>
    <t>Account</t>
  </si>
  <si>
    <t>Amount</t>
  </si>
  <si>
    <t>Type</t>
  </si>
  <si>
    <t>Moe's Tavern</t>
  </si>
  <si>
    <t>Entertainment</t>
  </si>
  <si>
    <t>Alcohol</t>
  </si>
  <si>
    <t>Chase Freedom Visa</t>
  </si>
  <si>
    <t>Bangkok Heights</t>
  </si>
  <si>
    <t>Food</t>
  </si>
  <si>
    <t>Restaurants</t>
  </si>
  <si>
    <t>Amazon.com</t>
  </si>
  <si>
    <t>Shopping</t>
  </si>
  <si>
    <t>Electronics</t>
  </si>
  <si>
    <t>Anton Gazenbeek</t>
  </si>
  <si>
    <t>Education</t>
  </si>
  <si>
    <t>Tango Lessons</t>
  </si>
  <si>
    <t>AMEX Blue Sky</t>
  </si>
  <si>
    <t>Fandango</t>
  </si>
  <si>
    <t>Movies</t>
  </si>
  <si>
    <t>Cash</t>
  </si>
  <si>
    <t>Trader Joe's</t>
  </si>
  <si>
    <t>Groceries</t>
  </si>
  <si>
    <t>MTA</t>
  </si>
  <si>
    <t>Transportation</t>
  </si>
  <si>
    <t>Subway</t>
  </si>
  <si>
    <t>Skillshare</t>
  </si>
  <si>
    <t>Professional Development</t>
  </si>
  <si>
    <t>Bed Bath &amp; Beyond</t>
  </si>
  <si>
    <t>Home</t>
  </si>
  <si>
    <t>Cleaning Supplies</t>
  </si>
  <si>
    <t>Express</t>
  </si>
  <si>
    <t>Clothing</t>
  </si>
  <si>
    <t>City Bakery</t>
  </si>
  <si>
    <t>Coffee</t>
  </si>
  <si>
    <t>Freelancer's Union</t>
  </si>
  <si>
    <t>Health</t>
  </si>
  <si>
    <t>Insurance Premium</t>
  </si>
  <si>
    <t>Con Edison</t>
  </si>
  <si>
    <t>Bills</t>
  </si>
  <si>
    <t>Utilities</t>
  </si>
  <si>
    <t>Text Functions</t>
  </si>
  <si>
    <t>Other Useful Functions</t>
  </si>
  <si>
    <t>How to Discover New Functions</t>
  </si>
  <si>
    <t>More help on this function</t>
  </si>
  <si>
    <t>F1 Microsoft Help</t>
  </si>
  <si>
    <t>Google</t>
  </si>
  <si>
    <t>The Shir Substitution Method (WRASP)</t>
  </si>
  <si>
    <t>IF</t>
  </si>
  <si>
    <t>AND</t>
  </si>
  <si>
    <t>OR</t>
  </si>
  <si>
    <t>NOT</t>
  </si>
  <si>
    <t>TRIM</t>
  </si>
  <si>
    <t>CLEAN</t>
  </si>
  <si>
    <t>SUBSTITUTE</t>
  </si>
  <si>
    <t>REPLACE</t>
  </si>
  <si>
    <t>LEFT</t>
  </si>
  <si>
    <t>RIGHT</t>
  </si>
  <si>
    <t>MID</t>
  </si>
  <si>
    <t>CONCATENATE (alternative is "&amp;")</t>
  </si>
  <si>
    <t>TEXT</t>
  </si>
  <si>
    <t>VLOOKUP</t>
  </si>
  <si>
    <t>ROUND</t>
  </si>
  <si>
    <t>ROUNDUP</t>
  </si>
  <si>
    <t>ROUNDDOWN</t>
  </si>
  <si>
    <t>RAND</t>
  </si>
  <si>
    <t>RANDBETWEEN</t>
  </si>
  <si>
    <t>ISNUMBER</t>
  </si>
  <si>
    <t>ISTEXT</t>
  </si>
  <si>
    <t>ISBLANK</t>
  </si>
  <si>
    <t>ISEVEN</t>
  </si>
  <si>
    <t>ISODD</t>
  </si>
  <si>
    <t>*Logical Functions</t>
  </si>
  <si>
    <t>EXERCISE 2</t>
  </si>
  <si>
    <t>Write out entire formula in plain English and indent with tabs for easy viewing</t>
  </si>
  <si>
    <t>Reposition arguments until they are in the correct order</t>
  </si>
  <si>
    <t>Substitute English with proper Excel syntax</t>
  </si>
  <si>
    <t>Paste into formula bar after removing extra white space (find &amp; replace)</t>
  </si>
  <si>
    <t>FIND</t>
  </si>
  <si>
    <t>VALUE</t>
  </si>
  <si>
    <t>Date Bad Format</t>
  </si>
  <si>
    <t>COUNTIF(A1:A20,"?*")</t>
  </si>
  <si>
    <t>Add parenthases &amp; commas to ensure proper order of operations (PEMDAS) and argument separation</t>
  </si>
  <si>
    <t>If year of transaction is between 2007 and 2009, and payee is not MTA or Fandango, and category is food, shopping, or entertainment, then show "Awesome Transaction." If transaction is 2010 or later and subcategory is not Alcohol, then show "Late Transaction." If year of transaction is 2006, then show "Early Transaction". For everything else, show "CRAP Transaction"</t>
  </si>
  <si>
    <t>NESTED IF CHALLENGE QUESTION</t>
  </si>
  <si>
    <t>Create new columns for HOUR, MINUTE, and SECOND, and then hide them from view (hint: use "Group")</t>
  </si>
  <si>
    <t>Create new column for 10 WORKDAYs past the original transaction</t>
  </si>
  <si>
    <t>Income</t>
  </si>
  <si>
    <t>Salary</t>
  </si>
  <si>
    <t>Freelance Project</t>
  </si>
  <si>
    <t>Gift Received</t>
  </si>
  <si>
    <t>Eze Castle Integration</t>
  </si>
  <si>
    <t>Legal Capital Corp</t>
  </si>
  <si>
    <t>Aunt Sally</t>
  </si>
  <si>
    <t>09.04.12</t>
  </si>
  <si>
    <t>04.29.12</t>
  </si>
  <si>
    <t>07.19.11</t>
  </si>
  <si>
    <t>12.27.10</t>
  </si>
  <si>
    <t>03.26.08</t>
  </si>
  <si>
    <t>02.07.11</t>
  </si>
  <si>
    <t>03.15.09</t>
  </si>
  <si>
    <t>03.23.12</t>
  </si>
  <si>
    <t>06.27.08</t>
  </si>
  <si>
    <t>06.25.08</t>
  </si>
  <si>
    <t>01.30.07</t>
  </si>
  <si>
    <t>10.21.11</t>
  </si>
  <si>
    <t>10.06.11</t>
  </si>
  <si>
    <t>09.02.08</t>
  </si>
  <si>
    <t>09.03.12</t>
  </si>
  <si>
    <t>08.10.08</t>
  </si>
  <si>
    <t>02.15.07</t>
  </si>
  <si>
    <t>01.25.08</t>
  </si>
  <si>
    <t>08.11.08</t>
  </si>
  <si>
    <t>12.17.08</t>
  </si>
  <si>
    <t>05.28.08</t>
  </si>
  <si>
    <t>07.06.08</t>
  </si>
  <si>
    <t>11.08.11</t>
  </si>
  <si>
    <t>05.04.08</t>
  </si>
  <si>
    <t>06.17.08</t>
  </si>
  <si>
    <t>03.06.10</t>
  </si>
  <si>
    <t>04.20.09</t>
  </si>
  <si>
    <t>11.20.10</t>
  </si>
  <si>
    <t>04.13.10</t>
  </si>
  <si>
    <t>05.16.08</t>
  </si>
  <si>
    <t>02.07.07</t>
  </si>
  <si>
    <t>11.30.11</t>
  </si>
  <si>
    <t>04.04.09</t>
  </si>
  <si>
    <t>01.08.09</t>
  </si>
  <si>
    <t>12.08.09</t>
  </si>
  <si>
    <t>08.19.09</t>
  </si>
  <si>
    <t>02.02.11</t>
  </si>
  <si>
    <t>06.30.10</t>
  </si>
  <si>
    <t>07.25.12</t>
  </si>
  <si>
    <t>02.23.07</t>
  </si>
  <si>
    <t>05.05.07</t>
  </si>
  <si>
    <t>07.26.12</t>
  </si>
  <si>
    <t>10.06.12</t>
  </si>
  <si>
    <t>01.02.12</t>
  </si>
  <si>
    <t>04.14.09</t>
  </si>
  <si>
    <t>01.28.10</t>
  </si>
  <si>
    <t>12.27.08</t>
  </si>
  <si>
    <t>12.25.11</t>
  </si>
  <si>
    <t>05.12.08</t>
  </si>
  <si>
    <t>08.02.07</t>
  </si>
  <si>
    <t>08.23.11</t>
  </si>
  <si>
    <t>05.04.07</t>
  </si>
  <si>
    <t>11.13.11</t>
  </si>
  <si>
    <t>08.10.09</t>
  </si>
  <si>
    <t>11.04.08</t>
  </si>
  <si>
    <t>03.01.10</t>
  </si>
  <si>
    <t>12.07.07</t>
  </si>
  <si>
    <t>01.13.12</t>
  </si>
  <si>
    <t>08.28.07</t>
  </si>
  <si>
    <t>08.31.08</t>
  </si>
  <si>
    <t>02.24.11</t>
  </si>
  <si>
    <t>12.18.11</t>
  </si>
  <si>
    <t>01.09.08</t>
  </si>
  <si>
    <t>11.25.08</t>
  </si>
  <si>
    <t>05.10.11</t>
  </si>
  <si>
    <t>01.23.07</t>
  </si>
  <si>
    <t>08.06.09</t>
  </si>
  <si>
    <t>10.19.08</t>
  </si>
  <si>
    <t>10.21.07</t>
  </si>
  <si>
    <t>11.14.10</t>
  </si>
  <si>
    <t>03.30.08</t>
  </si>
  <si>
    <t>01.11.08</t>
  </si>
  <si>
    <t>09.20.10</t>
  </si>
  <si>
    <t>07.28.07</t>
  </si>
  <si>
    <t>10.20.09</t>
  </si>
  <si>
    <t>01.19.11</t>
  </si>
  <si>
    <t>10.29.09</t>
  </si>
  <si>
    <t>02.02.08</t>
  </si>
  <si>
    <t>05.12.11</t>
  </si>
  <si>
    <t>10.03.12</t>
  </si>
  <si>
    <t>10.25.08</t>
  </si>
  <si>
    <t>04.07.08</t>
  </si>
  <si>
    <t>11.29.10</t>
  </si>
  <si>
    <t>04.13.09</t>
  </si>
  <si>
    <t>10.05.09</t>
  </si>
  <si>
    <t>08.09.11</t>
  </si>
  <si>
    <t>02.18.07</t>
  </si>
  <si>
    <t>06.03.09</t>
  </si>
  <si>
    <t>11.02.08</t>
  </si>
  <si>
    <t>11.21.09</t>
  </si>
  <si>
    <t>08.26.12</t>
  </si>
  <si>
    <t>09.29.07</t>
  </si>
  <si>
    <t>10.06.08</t>
  </si>
  <si>
    <t>08.04.08</t>
  </si>
  <si>
    <t>09.21.07</t>
  </si>
  <si>
    <t>10.13.09</t>
  </si>
  <si>
    <t>01.18.07</t>
  </si>
  <si>
    <t>07.09.08</t>
  </si>
  <si>
    <t>06.14.11</t>
  </si>
  <si>
    <t>07.27.11</t>
  </si>
  <si>
    <t>04.15.07</t>
  </si>
  <si>
    <t>02.04.12</t>
  </si>
  <si>
    <t>08.26.07</t>
  </si>
  <si>
    <t>01.03.10</t>
  </si>
  <si>
    <t>02.14.12</t>
  </si>
  <si>
    <t>03.14.11</t>
  </si>
  <si>
    <t>02.23.10</t>
  </si>
  <si>
    <t>02.28.11</t>
  </si>
  <si>
    <t>03.16.12</t>
  </si>
  <si>
    <t>12.21.09</t>
  </si>
  <si>
    <t>05.01.11</t>
  </si>
  <si>
    <t>07.09.07</t>
  </si>
  <si>
    <t>04.30.12</t>
  </si>
  <si>
    <t>11.15.08</t>
  </si>
  <si>
    <t>04.13.07</t>
  </si>
  <si>
    <t>05.16.09</t>
  </si>
  <si>
    <t>01.31.12</t>
  </si>
  <si>
    <t>02.09.09</t>
  </si>
  <si>
    <t>11.01.07</t>
  </si>
  <si>
    <t>02.01.09</t>
  </si>
  <si>
    <t>04.21.08</t>
  </si>
  <si>
    <t>02.20.11</t>
  </si>
  <si>
    <t>03.03.08</t>
  </si>
  <si>
    <t>08.24.08</t>
  </si>
  <si>
    <t>09.29.09</t>
  </si>
  <si>
    <t>01.21.11</t>
  </si>
  <si>
    <t>08.31.07</t>
  </si>
  <si>
    <t>08.28.11</t>
  </si>
  <si>
    <t>10.17.09</t>
  </si>
  <si>
    <t>12.03.10</t>
  </si>
  <si>
    <t>10.04.10</t>
  </si>
  <si>
    <t>03.13.10</t>
  </si>
  <si>
    <t>11.05.08</t>
  </si>
  <si>
    <t>11.10.07</t>
  </si>
  <si>
    <t>03.22.08</t>
  </si>
  <si>
    <t>01.18.08</t>
  </si>
  <si>
    <t>04.06.09</t>
  </si>
  <si>
    <t>02.06.12</t>
  </si>
  <si>
    <t>04.19.11</t>
  </si>
  <si>
    <t>05.03.10</t>
  </si>
  <si>
    <t>06.24.12</t>
  </si>
  <si>
    <t>03.24.08</t>
  </si>
  <si>
    <t>04.26.11</t>
  </si>
  <si>
    <t>06.13.09</t>
  </si>
  <si>
    <t>01.25.10</t>
  </si>
  <si>
    <t>12.29.09</t>
  </si>
  <si>
    <t>06.22.12</t>
  </si>
  <si>
    <t>01.17.08</t>
  </si>
  <si>
    <t>07.03.09</t>
  </si>
  <si>
    <t>09.07.10</t>
  </si>
  <si>
    <t>09.15.09</t>
  </si>
  <si>
    <t>08.03.07</t>
  </si>
  <si>
    <t>05.04.12</t>
  </si>
  <si>
    <t>11.19.09</t>
  </si>
  <si>
    <t>07.13.11</t>
  </si>
  <si>
    <t>01.26.07</t>
  </si>
  <si>
    <t>07.22.09</t>
  </si>
  <si>
    <t>03.11.12</t>
  </si>
  <si>
    <t>08.12.10</t>
  </si>
  <si>
    <t>03.06.11</t>
  </si>
  <si>
    <t>12.24.10</t>
  </si>
  <si>
    <t>02.15.11</t>
  </si>
  <si>
    <t>09.14.10</t>
  </si>
  <si>
    <t>09.14.08</t>
  </si>
  <si>
    <t>03.11.10</t>
  </si>
  <si>
    <t>09.29.11</t>
  </si>
  <si>
    <t>02.18.10</t>
  </si>
  <si>
    <t>02.05.12</t>
  </si>
  <si>
    <t>04.25.10</t>
  </si>
  <si>
    <t>06.04.12</t>
  </si>
  <si>
    <t>09.26.12</t>
  </si>
  <si>
    <t>06.01.10</t>
  </si>
  <si>
    <t>05.11.09</t>
  </si>
  <si>
    <t>08.09.07</t>
  </si>
  <si>
    <t>06.26.11</t>
  </si>
  <si>
    <t>10.22.11</t>
  </si>
  <si>
    <t>12.14.09</t>
  </si>
  <si>
    <t>01.31.08</t>
  </si>
  <si>
    <t>02.24.08</t>
  </si>
  <si>
    <t>05.08.09</t>
  </si>
  <si>
    <t>07.27.10</t>
  </si>
  <si>
    <t>03.01.12</t>
  </si>
  <si>
    <t>02.27.07</t>
  </si>
  <si>
    <t>10.19.11</t>
  </si>
  <si>
    <t>07.02.10</t>
  </si>
  <si>
    <t>03.19.12</t>
  </si>
  <si>
    <t>08.20.07</t>
  </si>
  <si>
    <t>07.19.10</t>
  </si>
  <si>
    <t>07.31.11</t>
  </si>
  <si>
    <t>05.25.09</t>
  </si>
  <si>
    <t>04.03.12</t>
  </si>
  <si>
    <t>07.29.11</t>
  </si>
  <si>
    <t>05.26.12</t>
  </si>
  <si>
    <t>06.04.10</t>
  </si>
  <si>
    <t>06.29.09</t>
  </si>
  <si>
    <t>09.02.12</t>
  </si>
  <si>
    <t>09.03.10</t>
  </si>
  <si>
    <t>03.13.12</t>
  </si>
  <si>
    <t>05.13.10</t>
  </si>
  <si>
    <t>07.24.08</t>
  </si>
  <si>
    <t>07.06.10</t>
  </si>
  <si>
    <t>03.30.09</t>
  </si>
  <si>
    <t>09.16.07</t>
  </si>
  <si>
    <t>04.22.08</t>
  </si>
  <si>
    <t>01.31.07</t>
  </si>
  <si>
    <t>06.05.12</t>
  </si>
  <si>
    <t>01.05.11</t>
  </si>
  <si>
    <t>04.19.08</t>
  </si>
  <si>
    <t>11.15.07</t>
  </si>
  <si>
    <t>02.04.11</t>
  </si>
  <si>
    <t>07.27.09</t>
  </si>
  <si>
    <t>05.27.10</t>
  </si>
  <si>
    <t>01.12.09</t>
  </si>
  <si>
    <t>06.06.10</t>
  </si>
  <si>
    <t>07.16.08</t>
  </si>
  <si>
    <t>07.02.12</t>
  </si>
  <si>
    <t>04.12.08</t>
  </si>
  <si>
    <t>05.09.11</t>
  </si>
  <si>
    <t>07.06.07</t>
  </si>
  <si>
    <t>03.25.09</t>
  </si>
  <si>
    <t>11.30.07</t>
  </si>
  <si>
    <t>12.30.08</t>
  </si>
  <si>
    <t>12.13.11</t>
  </si>
  <si>
    <t>06.09.11</t>
  </si>
  <si>
    <t>07.27.07</t>
  </si>
  <si>
    <t>11.04.07</t>
  </si>
  <si>
    <t>07.22.07</t>
  </si>
  <si>
    <t>11.08.10</t>
  </si>
  <si>
    <t>03.07.09</t>
  </si>
  <si>
    <t>02.08.09</t>
  </si>
  <si>
    <t>02.02.07</t>
  </si>
  <si>
    <t>02.26.10</t>
  </si>
  <si>
    <t>07.13.08</t>
  </si>
  <si>
    <t>09.03.11</t>
  </si>
  <si>
    <t>11.03.07</t>
  </si>
  <si>
    <t>05.10.09</t>
  </si>
  <si>
    <t>09.26.10</t>
  </si>
  <si>
    <t>10.16.12</t>
  </si>
  <si>
    <t>01.04.09</t>
  </si>
  <si>
    <t>03.01.08</t>
  </si>
  <si>
    <t>12.09.10</t>
  </si>
  <si>
    <t>04.03.10</t>
  </si>
  <si>
    <t>06.27.10</t>
  </si>
  <si>
    <t>12.05.09</t>
  </si>
  <si>
    <t>07.23.08</t>
  </si>
  <si>
    <t>11.23.07</t>
  </si>
  <si>
    <t>11.05.07</t>
  </si>
  <si>
    <t>09.09.08</t>
  </si>
  <si>
    <t>02.11.11</t>
  </si>
  <si>
    <t>05.03.09</t>
  </si>
  <si>
    <t>03.09.12</t>
  </si>
  <si>
    <t>09.13.09</t>
  </si>
  <si>
    <t>10.24.07</t>
  </si>
  <si>
    <t>06.01.07</t>
  </si>
  <si>
    <t>01.14.10</t>
  </si>
  <si>
    <t>03.27.07</t>
  </si>
  <si>
    <t>07.19.12</t>
  </si>
  <si>
    <t>01.26.12</t>
  </si>
  <si>
    <t>02.15.08</t>
  </si>
  <si>
    <t>06.20.09</t>
  </si>
  <si>
    <t>06.09.08</t>
  </si>
  <si>
    <t>09.21.11</t>
  </si>
  <si>
    <t>09.20.09</t>
  </si>
  <si>
    <t>05.24.08</t>
  </si>
  <si>
    <t>11.01.08</t>
  </si>
  <si>
    <t>04.11.11</t>
  </si>
  <si>
    <t>08.08.07</t>
  </si>
  <si>
    <t>09.22.11</t>
  </si>
  <si>
    <t>04.16.08</t>
  </si>
  <si>
    <t>04.23.10</t>
  </si>
  <si>
    <t>06.04.07</t>
  </si>
  <si>
    <t>09.29.12</t>
  </si>
  <si>
    <t>06.28.11</t>
  </si>
  <si>
    <t>08.25.09</t>
  </si>
  <si>
    <t>07.18.11</t>
  </si>
  <si>
    <t>01.07.11</t>
  </si>
  <si>
    <t>08.13.10</t>
  </si>
  <si>
    <t>01.07.07</t>
  </si>
  <si>
    <t>11.26.08</t>
  </si>
  <si>
    <t>03.13.09</t>
  </si>
  <si>
    <t>06.19.11</t>
  </si>
  <si>
    <t>04.05.08</t>
  </si>
  <si>
    <t>01.05.12</t>
  </si>
  <si>
    <t>10.05.12</t>
  </si>
  <si>
    <t>11.13.08</t>
  </si>
  <si>
    <t>05.30.10</t>
  </si>
  <si>
    <t>12.10.11</t>
  </si>
  <si>
    <t>02.28.09</t>
  </si>
  <si>
    <t>02.01.08</t>
  </si>
  <si>
    <t>07.26.11</t>
  </si>
  <si>
    <t>10.08.11</t>
  </si>
  <si>
    <t>12.29.10</t>
  </si>
  <si>
    <t>08.20.10</t>
  </si>
  <si>
    <t>07.15.07</t>
  </si>
  <si>
    <t>08.06.08</t>
  </si>
  <si>
    <t>09.05.10</t>
  </si>
  <si>
    <t>05.08.12</t>
  </si>
  <si>
    <t>07.26.07</t>
  </si>
  <si>
    <t>05.14.11</t>
  </si>
  <si>
    <t>11.09.09</t>
  </si>
  <si>
    <t>08.27.08</t>
  </si>
  <si>
    <t>01.12.08</t>
  </si>
  <si>
    <t>10.17.11</t>
  </si>
  <si>
    <t>10.18.11</t>
  </si>
  <si>
    <t>06.21.09</t>
  </si>
  <si>
    <t>06.22.07</t>
  </si>
  <si>
    <t>11.03.11</t>
  </si>
  <si>
    <t>01.06.07</t>
  </si>
  <si>
    <t>06.19.09</t>
  </si>
  <si>
    <t>08.29.07</t>
  </si>
  <si>
    <t>02.28.07</t>
  </si>
  <si>
    <t>03.17.08</t>
  </si>
  <si>
    <t>10.27.10</t>
  </si>
  <si>
    <t>07.12.08</t>
  </si>
  <si>
    <t>03.16.07</t>
  </si>
  <si>
    <t>04.02.11</t>
  </si>
  <si>
    <t>05.06.11</t>
  </si>
  <si>
    <t>07.10.09</t>
  </si>
  <si>
    <t>05.01.08</t>
  </si>
  <si>
    <t>11.07.11</t>
  </si>
  <si>
    <t>09.24.12</t>
  </si>
  <si>
    <t>06.21.11</t>
  </si>
  <si>
    <t>03.15.07</t>
  </si>
  <si>
    <t>07.05.11</t>
  </si>
  <si>
    <t>04.15.11</t>
  </si>
  <si>
    <t>11.15.11</t>
  </si>
  <si>
    <t>03.25.08</t>
  </si>
  <si>
    <t>11.10.11</t>
  </si>
  <si>
    <t>03.31.09</t>
  </si>
  <si>
    <t>08.22.10</t>
  </si>
  <si>
    <t>05.10.08</t>
  </si>
  <si>
    <t>04.06.12</t>
  </si>
  <si>
    <t>08.18.10</t>
  </si>
  <si>
    <t>07.27.08</t>
  </si>
  <si>
    <t>07.09.11</t>
  </si>
  <si>
    <t>01.24.08</t>
  </si>
  <si>
    <t>06.10.07</t>
  </si>
  <si>
    <t>10.31.08</t>
  </si>
  <si>
    <t>09.27.08</t>
  </si>
  <si>
    <t>07.12.12</t>
  </si>
  <si>
    <t>05.12.12</t>
  </si>
  <si>
    <t>04.25.12</t>
  </si>
  <si>
    <t>07.16.10</t>
  </si>
  <si>
    <t>02.13.08</t>
  </si>
  <si>
    <t>10.25.11</t>
  </si>
  <si>
    <t>06.23.12</t>
  </si>
  <si>
    <t>11.07.09</t>
  </si>
  <si>
    <t>03.03.07</t>
  </si>
  <si>
    <t>10.15.12</t>
  </si>
  <si>
    <t>05.29.10</t>
  </si>
  <si>
    <t>11.18.08</t>
  </si>
  <si>
    <t>02.22.08</t>
  </si>
  <si>
    <t>01.09.10</t>
  </si>
  <si>
    <t>10.19.09</t>
  </si>
  <si>
    <t>01.14.08</t>
  </si>
  <si>
    <t>01.08.08</t>
  </si>
  <si>
    <t>01.19.08</t>
  </si>
  <si>
    <t>07.29.10</t>
  </si>
  <si>
    <t>11.24.10</t>
  </si>
  <si>
    <t>08.18.08</t>
  </si>
  <si>
    <t>07.11.08</t>
  </si>
  <si>
    <t>04.17.11</t>
  </si>
  <si>
    <t>05.15.11</t>
  </si>
  <si>
    <t>08.08.11</t>
  </si>
  <si>
    <t>05.25.11</t>
  </si>
  <si>
    <t>05.10.12</t>
  </si>
  <si>
    <t>09.26.08</t>
  </si>
  <si>
    <t>04.27.07</t>
  </si>
  <si>
    <t>12.15.07</t>
  </si>
  <si>
    <t>09.17.09</t>
  </si>
  <si>
    <t>12.05.10</t>
  </si>
  <si>
    <t>05.31.09</t>
  </si>
  <si>
    <t>11.06.10</t>
  </si>
  <si>
    <t>08.05.10</t>
  </si>
  <si>
    <t>07.21.07</t>
  </si>
  <si>
    <t>05.29.12</t>
  </si>
  <si>
    <t>01.27.12</t>
  </si>
  <si>
    <t>12.16.07</t>
  </si>
  <si>
    <t>08.12.12</t>
  </si>
  <si>
    <t>11.13.07</t>
  </si>
  <si>
    <t>04.24.12</t>
  </si>
  <si>
    <t>04.10.11</t>
  </si>
  <si>
    <t>11.26.09</t>
  </si>
  <si>
    <t>10.26.08</t>
  </si>
  <si>
    <t>05.09.09</t>
  </si>
  <si>
    <t>02.25.08</t>
  </si>
  <si>
    <t>02.19.09</t>
  </si>
  <si>
    <t>10.08.09</t>
  </si>
  <si>
    <t>01.24.09</t>
  </si>
  <si>
    <t>01.05.09</t>
  </si>
  <si>
    <t>05.30.11</t>
  </si>
  <si>
    <t>06.29.07</t>
  </si>
  <si>
    <t>01.07.09</t>
  </si>
  <si>
    <t>03.10.09</t>
  </si>
  <si>
    <t>03.10.12</t>
  </si>
  <si>
    <t>11.29.11</t>
  </si>
  <si>
    <t>12.17.09</t>
  </si>
  <si>
    <t>07.10.12</t>
  </si>
  <si>
    <t>07.15.12</t>
  </si>
  <si>
    <t>07.13.09</t>
  </si>
  <si>
    <t>07.29.12</t>
  </si>
  <si>
    <t>12.28.09</t>
  </si>
  <si>
    <t>10.07.07</t>
  </si>
  <si>
    <t>09.01.09</t>
  </si>
  <si>
    <t>09.03.07</t>
  </si>
  <si>
    <t>10.09.09</t>
  </si>
  <si>
    <t>11.18.09</t>
  </si>
  <si>
    <t>07.09.12</t>
  </si>
  <si>
    <t>11.14.08</t>
  </si>
  <si>
    <t>04.03.09</t>
  </si>
  <si>
    <t>02.14.08</t>
  </si>
  <si>
    <t>03.11.08</t>
  </si>
  <si>
    <t>04.08.09</t>
  </si>
  <si>
    <t>10.01.10</t>
  </si>
  <si>
    <t>06.02.12</t>
  </si>
  <si>
    <t>07.25.07</t>
  </si>
  <si>
    <t>02.09.12</t>
  </si>
  <si>
    <t>07.25.09</t>
  </si>
  <si>
    <t>07.07.11</t>
  </si>
  <si>
    <t>12.07.10</t>
  </si>
  <si>
    <t>01.14.11</t>
  </si>
  <si>
    <t>12.17.10</t>
  </si>
  <si>
    <t>01.03.11</t>
  </si>
  <si>
    <t>09.04.07</t>
  </si>
  <si>
    <t>10.16.10</t>
  </si>
  <si>
    <t>08.16.12</t>
  </si>
  <si>
    <t>12.04.09</t>
  </si>
  <si>
    <t>04.14.10</t>
  </si>
  <si>
    <t>11.05.09</t>
  </si>
  <si>
    <t>06.10.09</t>
  </si>
  <si>
    <t>01.05.07</t>
  </si>
  <si>
    <t>12.15.10</t>
  </si>
  <si>
    <t>05.14.12</t>
  </si>
  <si>
    <t>03.18.10</t>
  </si>
  <si>
    <t>09.27.10</t>
  </si>
  <si>
    <t>04.11.10</t>
  </si>
  <si>
    <t>02.12.10</t>
  </si>
  <si>
    <t>08.04.11</t>
  </si>
  <si>
    <t>02.10.08</t>
  </si>
  <si>
    <t>06.07.10</t>
  </si>
  <si>
    <t>04.20.07</t>
  </si>
  <si>
    <t>04.05.07</t>
  </si>
  <si>
    <t>06.11.11</t>
  </si>
  <si>
    <t>01.27.11</t>
  </si>
  <si>
    <t>05.06.10</t>
  </si>
  <si>
    <t>03.28.11</t>
  </si>
  <si>
    <t>09.05.08</t>
  </si>
  <si>
    <t>06.18.10</t>
  </si>
  <si>
    <t>05.04.09</t>
  </si>
  <si>
    <t>08.15.12</t>
  </si>
  <si>
    <t>01.30.12</t>
  </si>
  <si>
    <t>03.07.10</t>
  </si>
  <si>
    <t>03.05.07</t>
  </si>
  <si>
    <t>09.28.10</t>
  </si>
  <si>
    <t>12.12.08</t>
  </si>
  <si>
    <t>03.20.09</t>
  </si>
  <si>
    <t>06.13.12</t>
  </si>
  <si>
    <t>07.14.11</t>
  </si>
  <si>
    <t>04.08.07</t>
  </si>
  <si>
    <t>06.03.08</t>
  </si>
  <si>
    <t>04.22.11</t>
  </si>
  <si>
    <t>05.21.10</t>
  </si>
  <si>
    <t>11.12.10</t>
  </si>
  <si>
    <t>06.08.09</t>
  </si>
  <si>
    <t>06.11.12</t>
  </si>
  <si>
    <t>05.25.10</t>
  </si>
  <si>
    <t>02.11.12</t>
  </si>
  <si>
    <t>04.21.07</t>
  </si>
  <si>
    <t>09.05.07</t>
  </si>
  <si>
    <t>06.20.07</t>
  </si>
  <si>
    <t>04.16.10</t>
  </si>
  <si>
    <t>08.30.11</t>
  </si>
  <si>
    <t>06.26.12</t>
  </si>
  <si>
    <t>03.12.12</t>
  </si>
  <si>
    <t>07.06.11</t>
  </si>
  <si>
    <t>02.09.10</t>
  </si>
  <si>
    <t>07.25.08</t>
  </si>
  <si>
    <t>07.18.12</t>
  </si>
  <si>
    <t>01.16.07</t>
  </si>
  <si>
    <t>06.23.07</t>
  </si>
  <si>
    <t>08.01.09</t>
  </si>
  <si>
    <t>01.15.07</t>
  </si>
  <si>
    <t>01.31.11</t>
  </si>
  <si>
    <t>07.30.11</t>
  </si>
  <si>
    <t>05.24.10</t>
  </si>
  <si>
    <t>09.18.08</t>
  </si>
  <si>
    <t>01.01.08</t>
  </si>
  <si>
    <t>07.30.09</t>
  </si>
  <si>
    <t>09.17.10</t>
  </si>
  <si>
    <t>09.22.12</t>
  </si>
  <si>
    <t>04.24.10</t>
  </si>
  <si>
    <t>08.03.10</t>
  </si>
  <si>
    <t>08.23.08</t>
  </si>
  <si>
    <t>06.25.12</t>
  </si>
  <si>
    <t>05.11.08</t>
  </si>
  <si>
    <t>05.01.09</t>
  </si>
  <si>
    <t>06.19.12</t>
  </si>
  <si>
    <t>01.23.08</t>
  </si>
  <si>
    <t>08.04.07</t>
  </si>
  <si>
    <t>02.21.09</t>
  </si>
  <si>
    <t>06.27.09</t>
  </si>
  <si>
    <t>11.09.08</t>
  </si>
  <si>
    <t>10.18.10</t>
  </si>
  <si>
    <t>11.22.10</t>
  </si>
  <si>
    <t>05.12.10</t>
  </si>
  <si>
    <t>06.20.12</t>
  </si>
  <si>
    <t>04.15.10</t>
  </si>
  <si>
    <t>11.26.07</t>
  </si>
  <si>
    <t>06.10.10</t>
  </si>
  <si>
    <t>05.01.12</t>
  </si>
  <si>
    <t>08.24.09</t>
  </si>
  <si>
    <t>09.11.09</t>
  </si>
  <si>
    <t>01.20.12</t>
  </si>
  <si>
    <t>08.21.10</t>
  </si>
  <si>
    <t>12.09.07</t>
  </si>
  <si>
    <t>08.23.12</t>
  </si>
  <si>
    <t>04.12.12</t>
  </si>
  <si>
    <t>10.31.07</t>
  </si>
  <si>
    <t>05.27.11</t>
  </si>
  <si>
    <t>10.31.11</t>
  </si>
  <si>
    <t>06.16.11</t>
  </si>
  <si>
    <t>07.30.10</t>
  </si>
  <si>
    <t>03.07.07</t>
  </si>
  <si>
    <t>05.07.07</t>
  </si>
  <si>
    <t>07.03.12</t>
  </si>
  <si>
    <t>06.21.12</t>
  </si>
  <si>
    <t>11.16.10</t>
  </si>
  <si>
    <t>09.12.07</t>
  </si>
  <si>
    <t>08.22.11</t>
  </si>
  <si>
    <t>02.29.08</t>
  </si>
  <si>
    <t>10.07.08</t>
  </si>
  <si>
    <t>05.23.10</t>
  </si>
  <si>
    <t>10.09.11</t>
  </si>
  <si>
    <t>08.31.12</t>
  </si>
  <si>
    <t>05.18.07</t>
  </si>
  <si>
    <t>04.28.10</t>
  </si>
  <si>
    <t>01.29.10</t>
  </si>
  <si>
    <t>08.24.07</t>
  </si>
  <si>
    <t>12.06.11</t>
  </si>
  <si>
    <t>12.11.08</t>
  </si>
  <si>
    <t>02.28.08</t>
  </si>
  <si>
    <t>07.16.11</t>
  </si>
  <si>
    <t>02.19.11</t>
  </si>
  <si>
    <t>03.30.11</t>
  </si>
  <si>
    <t>02.25.09</t>
  </si>
  <si>
    <t>12.21.11</t>
  </si>
  <si>
    <t>05.09.10</t>
  </si>
  <si>
    <t>07.03.08</t>
  </si>
  <si>
    <t>05.26.07</t>
  </si>
  <si>
    <t>03.21.11</t>
  </si>
  <si>
    <t>08.21.12</t>
  </si>
  <si>
    <t>12.22.08</t>
  </si>
  <si>
    <t>02.22.11</t>
  </si>
  <si>
    <t>08.21.07</t>
  </si>
  <si>
    <t>06.23.09</t>
  </si>
  <si>
    <t>02.21.10</t>
  </si>
  <si>
    <t>08.20.12</t>
  </si>
  <si>
    <t>04.06.11</t>
  </si>
  <si>
    <t>07.29.08</t>
  </si>
  <si>
    <t>04.29.07</t>
  </si>
  <si>
    <t>05.29.09</t>
  </si>
  <si>
    <t>11.21.07</t>
  </si>
  <si>
    <t>10.02.11</t>
  </si>
  <si>
    <t>08.25.08</t>
  </si>
  <si>
    <t>05.22.11</t>
  </si>
  <si>
    <t>12.28.08</t>
  </si>
  <si>
    <t>04.26.07</t>
  </si>
  <si>
    <t>06.27.12</t>
  </si>
  <si>
    <t>03.18.08</t>
  </si>
  <si>
    <t>03.02.11</t>
  </si>
  <si>
    <t>11.22.11</t>
  </si>
  <si>
    <t>10.18.09</t>
  </si>
  <si>
    <t>03.31.08</t>
  </si>
  <si>
    <t>06.08.08</t>
  </si>
  <si>
    <t>10.07.12</t>
  </si>
  <si>
    <t>06.15.09</t>
  </si>
  <si>
    <t>02.10.07</t>
  </si>
  <si>
    <t>08.22.12</t>
  </si>
  <si>
    <t>09.23.08</t>
  </si>
  <si>
    <t>01.24.10</t>
  </si>
  <si>
    <t>02.26.12</t>
  </si>
  <si>
    <t>02.20.08</t>
  </si>
  <si>
    <t>04.04.12</t>
  </si>
  <si>
    <t>07.07.09</t>
  </si>
  <si>
    <t>06.26.07</t>
  </si>
  <si>
    <t>03.19.10</t>
  </si>
  <si>
    <t>04.12.09</t>
  </si>
  <si>
    <t>06.19.10</t>
  </si>
  <si>
    <t>05.08.10</t>
  </si>
  <si>
    <t>07.26.10</t>
  </si>
  <si>
    <t>04.23.09</t>
  </si>
  <si>
    <t>12.22.07</t>
  </si>
  <si>
    <t>06.24.10</t>
  </si>
  <si>
    <t>03.28.10</t>
  </si>
  <si>
    <t>08.22.07</t>
  </si>
  <si>
    <t>01.13.11</t>
  </si>
  <si>
    <t>12.26.10</t>
  </si>
  <si>
    <t>11.28.07</t>
  </si>
  <si>
    <t>04.02.08</t>
  </si>
  <si>
    <t>10.18.07</t>
  </si>
  <si>
    <t>04.07.09</t>
  </si>
  <si>
    <t>08.14.11</t>
  </si>
  <si>
    <t>07.01.12</t>
  </si>
  <si>
    <t>03.11.09</t>
  </si>
  <si>
    <t>09.12.12</t>
  </si>
  <si>
    <t>04.28.07</t>
  </si>
  <si>
    <t>07.17.09</t>
  </si>
  <si>
    <t>06.06.07</t>
  </si>
  <si>
    <t>09.30.07</t>
  </si>
  <si>
    <t>03.07.08</t>
  </si>
  <si>
    <t>06.10.12</t>
  </si>
  <si>
    <t>08.19.08</t>
  </si>
  <si>
    <t>08.13.09</t>
  </si>
  <si>
    <t>05.23.09</t>
  </si>
  <si>
    <t>04.07.07</t>
  </si>
  <si>
    <t>11.10.10</t>
  </si>
  <si>
    <t>11.23.08</t>
  </si>
  <si>
    <t>11.23.10</t>
  </si>
  <si>
    <t>03.01.07</t>
  </si>
  <si>
    <t>01.22.07</t>
  </si>
  <si>
    <t>10.23.10</t>
  </si>
  <si>
    <t>09.09.12</t>
  </si>
  <si>
    <t>03.16.10</t>
  </si>
  <si>
    <t>12.13.07</t>
  </si>
  <si>
    <t>12.08.10</t>
  </si>
  <si>
    <t>12.04.08</t>
  </si>
  <si>
    <t>01.13.07</t>
  </si>
  <si>
    <t>05.18.12</t>
  </si>
  <si>
    <t>10.12.12</t>
  </si>
  <si>
    <t>08.27.12</t>
  </si>
  <si>
    <t>03.04.07</t>
  </si>
  <si>
    <t>08.15.11</t>
  </si>
  <si>
    <t>04.01.12</t>
  </si>
  <si>
    <t>07.30.12</t>
  </si>
  <si>
    <t>10.25.10</t>
  </si>
  <si>
    <t>01.27.07</t>
  </si>
  <si>
    <t>12.26.08</t>
  </si>
  <si>
    <t>09.19.12</t>
  </si>
  <si>
    <t>09.08.12</t>
  </si>
  <si>
    <t>10.27.11</t>
  </si>
  <si>
    <t>09.25.10</t>
  </si>
  <si>
    <t>11.05.10</t>
  </si>
  <si>
    <t>04.23.12</t>
  </si>
  <si>
    <t>11.26.10</t>
  </si>
  <si>
    <t>05.07.12</t>
  </si>
  <si>
    <t>02.04.09</t>
  </si>
  <si>
    <t>07.01.08</t>
  </si>
  <si>
    <t>06.06.09</t>
  </si>
  <si>
    <t>09.26.09</t>
  </si>
  <si>
    <t>02.24.07</t>
  </si>
  <si>
    <t>07.18.10</t>
  </si>
  <si>
    <t>07.10.11</t>
  </si>
  <si>
    <t>06.25.09</t>
  </si>
  <si>
    <t>01.29.11</t>
  </si>
  <si>
    <t>09.09.09</t>
  </si>
  <si>
    <t>09.15.10</t>
  </si>
  <si>
    <t>02.26.09</t>
  </si>
  <si>
    <t>10.12.09</t>
  </si>
  <si>
    <t>12.09.11</t>
  </si>
  <si>
    <t>06.08.12</t>
  </si>
  <si>
    <t>09.06.11</t>
  </si>
  <si>
    <t>06.21.08</t>
  </si>
  <si>
    <t>05.22.12</t>
  </si>
  <si>
    <t>06.20.10</t>
  </si>
  <si>
    <t>05.21.11</t>
  </si>
  <si>
    <t>02.11.07</t>
  </si>
  <si>
    <t>01.20.08</t>
  </si>
  <si>
    <t>03.21.12</t>
  </si>
  <si>
    <t>12.25.10</t>
  </si>
  <si>
    <t>02.10.11</t>
  </si>
  <si>
    <t>10.08.10</t>
  </si>
  <si>
    <t>02.01.12</t>
  </si>
  <si>
    <t>05.02.09</t>
  </si>
  <si>
    <t>12.06.07</t>
  </si>
  <si>
    <t>05.08.08</t>
  </si>
  <si>
    <t>03.02.12</t>
  </si>
  <si>
    <t>02.22.10</t>
  </si>
  <si>
    <t>07.02.08</t>
  </si>
  <si>
    <t>03.11.11</t>
  </si>
  <si>
    <t>08.07.09</t>
  </si>
  <si>
    <t>02.20.07</t>
  </si>
  <si>
    <t>09.30.11</t>
  </si>
  <si>
    <t>10.20.11</t>
  </si>
  <si>
    <t>10.28.08</t>
  </si>
  <si>
    <t>07.08.12</t>
  </si>
  <si>
    <t>02.04.08</t>
  </si>
  <si>
    <t>12.18.08</t>
  </si>
  <si>
    <t>11.23.11</t>
  </si>
  <si>
    <t>04.22.12</t>
  </si>
  <si>
    <t>09.08.08</t>
  </si>
  <si>
    <t>03.03.12</t>
  </si>
  <si>
    <t>11.21.08</t>
  </si>
  <si>
    <t>09.01.10</t>
  </si>
  <si>
    <t>04.23.08</t>
  </si>
  <si>
    <t>06.16.09</t>
  </si>
  <si>
    <t>03.16.08</t>
  </si>
  <si>
    <t>10.22.07</t>
  </si>
  <si>
    <t>11.05.11</t>
  </si>
  <si>
    <t>10.20.10</t>
  </si>
  <si>
    <t>06.07.12</t>
  </si>
  <si>
    <t>08.25.12</t>
  </si>
  <si>
    <t>02.09.07</t>
  </si>
  <si>
    <t>10.16.09</t>
  </si>
  <si>
    <t>02.21.11</t>
  </si>
  <si>
    <t>01.09.07</t>
  </si>
  <si>
    <t>08.07.07</t>
  </si>
  <si>
    <t>12.28.10</t>
  </si>
  <si>
    <t>02.11.09</t>
  </si>
  <si>
    <t>01.08.07</t>
  </si>
  <si>
    <t>12.28.07</t>
  </si>
  <si>
    <t>12.19.10</t>
  </si>
  <si>
    <t>08.05.07</t>
  </si>
  <si>
    <t>08.31.11</t>
  </si>
  <si>
    <t>11.06.07</t>
  </si>
  <si>
    <t>12.04.10</t>
  </si>
  <si>
    <t>10.11.08</t>
  </si>
  <si>
    <t>01.22.10</t>
  </si>
  <si>
    <t>02.27.12</t>
  </si>
  <si>
    <t>01.06.11</t>
  </si>
  <si>
    <t>05.28.11</t>
  </si>
  <si>
    <t>01.16.08</t>
  </si>
  <si>
    <t>04.18.08</t>
  </si>
  <si>
    <t>02.03.07</t>
  </si>
  <si>
    <t>05.09.12</t>
  </si>
  <si>
    <t>11.19.10</t>
  </si>
  <si>
    <t>08.16.07</t>
  </si>
  <si>
    <t>01.14.12</t>
  </si>
  <si>
    <t>12.18.07</t>
  </si>
  <si>
    <t>08.29.10</t>
  </si>
  <si>
    <t>05.26.11</t>
  </si>
  <si>
    <t>05.02.07</t>
  </si>
  <si>
    <t>04.22.07</t>
  </si>
  <si>
    <t>07.15.10</t>
  </si>
  <si>
    <t>07.19.07</t>
  </si>
  <si>
    <t>04.12.07</t>
  </si>
  <si>
    <t>07.07.10</t>
  </si>
  <si>
    <t>11.22.08</t>
  </si>
  <si>
    <t>03.07.12</t>
  </si>
  <si>
    <t>07.23.09</t>
  </si>
  <si>
    <t>09.16.11</t>
  </si>
  <si>
    <t>02.02.10</t>
  </si>
  <si>
    <t>01.16.10</t>
  </si>
  <si>
    <t>05.23.08</t>
  </si>
  <si>
    <t>01.29.09</t>
  </si>
  <si>
    <t>01.08.12</t>
  </si>
  <si>
    <t>04.10.09</t>
  </si>
  <si>
    <t>04.19.09</t>
  </si>
  <si>
    <t>06.07.09</t>
  </si>
  <si>
    <t>08.09.09</t>
  </si>
  <si>
    <t>03.18.11</t>
  </si>
  <si>
    <t>06.09.12</t>
  </si>
  <si>
    <t>11.12.08</t>
  </si>
  <si>
    <t>08.11.10</t>
  </si>
  <si>
    <t>12.01.09</t>
  </si>
  <si>
    <t>08.27.11</t>
  </si>
  <si>
    <t>05.06.09</t>
  </si>
  <si>
    <t>06.03.07</t>
  </si>
  <si>
    <t>06.01.08</t>
  </si>
  <si>
    <t>11.14.11</t>
  </si>
  <si>
    <t>09.10.12</t>
  </si>
  <si>
    <t>03.22.11</t>
  </si>
  <si>
    <t>05.07.09</t>
  </si>
  <si>
    <t>01.03.12</t>
  </si>
  <si>
    <t>05.15.10</t>
  </si>
  <si>
    <t>01.05.08</t>
  </si>
  <si>
    <t>04.09.11</t>
  </si>
  <si>
    <t>12.14.08</t>
  </si>
  <si>
    <t>08.22.08</t>
  </si>
  <si>
    <t>08.13.08</t>
  </si>
  <si>
    <t>03.21.09</t>
  </si>
  <si>
    <t>01.28.12</t>
  </si>
  <si>
    <t>02.15.10</t>
  </si>
  <si>
    <t>06.29.12</t>
  </si>
  <si>
    <t>02.01.07</t>
  </si>
  <si>
    <t>08.08.08</t>
  </si>
  <si>
    <t>07.11.11</t>
  </si>
  <si>
    <t>10.13.10</t>
  </si>
  <si>
    <t>05.16.10</t>
  </si>
  <si>
    <t>03.26.11</t>
  </si>
  <si>
    <t>02.12.07</t>
  </si>
  <si>
    <t>12.17.07</t>
  </si>
  <si>
    <t>01.30.08</t>
  </si>
  <si>
    <t>11.10.08</t>
  </si>
  <si>
    <t>09.23.11</t>
  </si>
  <si>
    <t>01.28.07</t>
  </si>
  <si>
    <t>03.26.09</t>
  </si>
  <si>
    <t>02.03.11</t>
  </si>
  <si>
    <t>10.07.10</t>
  </si>
  <si>
    <t>11.08.07</t>
  </si>
  <si>
    <t>03.16.11</t>
  </si>
  <si>
    <t>07.31.09</t>
  </si>
  <si>
    <t>06.17.11</t>
  </si>
  <si>
    <t>12.24.07</t>
  </si>
  <si>
    <t>Transaction 
ID</t>
  </si>
  <si>
    <t>Fill in [Transaction ID] column with numbers 1, 2, 3… etc.</t>
  </si>
  <si>
    <t>Create new columns for [Transaction Year], [Transaction Month], [Transaction Day], and [Transaction Weekday]</t>
  </si>
  <si>
    <t>Include an extra column which calculates sales tax</t>
  </si>
  <si>
    <t>Count the number of transactions that occurred on a Wednesday, and the number of Food transactions</t>
  </si>
  <si>
    <t>*Create an extra column which always shows the last day of the month for the [Transaction Date]</t>
  </si>
  <si>
    <t>Calculate the number of days between [Transaction Date] and [Cleared Date]</t>
  </si>
  <si>
    <t>Create a new column that combines Category and Subcategory in the format "[Category]: [Subcategory]"</t>
  </si>
  <si>
    <t>Convert [Date Bad Format] into the format "mm/dd/yy"</t>
  </si>
  <si>
    <t>Create new column that shows [Category] and [Amount] (Ex: "Food: $17.00"). Hint: use TEXT and &amp;</t>
  </si>
  <si>
    <t>ROUND the [Tax] column to the nearest cent</t>
  </si>
  <si>
    <t>Clean up "1.0 Transactions" by using Freeze Panes and minimizing white space</t>
  </si>
  <si>
    <t>Use VLOOKUP to assign month names and weekday names</t>
  </si>
  <si>
    <t>Update [Tax] column such that if [Amount] is empty, show nothing, otherwise calculate tax</t>
  </si>
  <si>
    <t>Tax Eligible (Y/N)</t>
  </si>
  <si>
    <t>Populate [Business Expense] so that if a transaction is "Transportation", "Professional Development",</t>
  </si>
  <si>
    <t>Populate [Tax Eligible] so that if a transaction is a business expense, and has an [Amount] greater</t>
  </si>
  <si>
    <t>or "Electronics", the answer is "YES", and if not the answer is "NO".</t>
  </si>
  <si>
    <t>than or equal to $400, the answer is "YES", and if not the answer is "NO".</t>
  </si>
  <si>
    <t>Enter your birthday in a blank cell and calculate your age to the nearest whole year (based on today's date)</t>
  </si>
  <si>
    <t>*Create [Smart ID] column with [Transaction Date], First 2 letters of [Category], and first 3 letters of [Payee]</t>
  </si>
  <si>
    <t>Forecast</t>
  </si>
  <si>
    <t>Sunny</t>
  </si>
  <si>
    <t>Rain</t>
  </si>
  <si>
    <t>Snow</t>
  </si>
  <si>
    <t>AND and OR</t>
  </si>
  <si>
    <t>IF, AND, OR</t>
  </si>
  <si>
    <t>Temp⁰ F</t>
  </si>
  <si>
    <t>greater than or equal to 70 and sunny</t>
  </si>
  <si>
    <t>greater than or equal to 70 or sunny</t>
  </si>
  <si>
    <t>greater than or equal to 70 and (sunny or rain)</t>
  </si>
  <si>
    <t>not greater than or equal to 70 and (sunny or rain)</t>
  </si>
  <si>
    <t>if (temp is between 40 and 60), or rain or snow, then bring jacket, otherwise no jacket</t>
  </si>
  <si>
    <t>Taught by: Shir Aviv</t>
  </si>
  <si>
    <t>VLOOKUP Arguments Defined</t>
  </si>
  <si>
    <t>Excel Argument</t>
  </si>
  <si>
    <t>Hint</t>
  </si>
  <si>
    <t>lookup_value</t>
  </si>
  <si>
    <t>What value do you want to use to find other values?</t>
  </si>
  <si>
    <t>table_array</t>
  </si>
  <si>
    <t>Where is the lookup table of other values?</t>
  </si>
  <si>
    <t>col_index_num</t>
  </si>
  <si>
    <t>Which column number (relative to the lookup table) is the data you want to find located in?</t>
  </si>
  <si>
    <t>range_lookup</t>
  </si>
  <si>
    <t>Do you want an exact match (FALSE) or approximate match (TRUE)?</t>
  </si>
  <si>
    <t>Harry Shearer</t>
  </si>
  <si>
    <t>Yeardley Smith</t>
  </si>
  <si>
    <t>Nancy Cartwright</t>
  </si>
  <si>
    <t xml:space="preserve">Character Name </t>
  </si>
  <si>
    <t xml:space="preserve">Voice Actor(s) </t>
  </si>
  <si>
    <t>Original Air Date</t>
  </si>
  <si>
    <t>Liz Georges</t>
  </si>
  <si>
    <t>Character Name</t>
  </si>
  <si>
    <t>Bart Simpson</t>
  </si>
  <si>
    <t>Voice Actor</t>
  </si>
  <si>
    <t>Air Date</t>
  </si>
  <si>
    <t>Homer Simpson</t>
  </si>
  <si>
    <t>Lisa Simpson</t>
  </si>
  <si>
    <t>Maggie Simpson</t>
  </si>
  <si>
    <t>Marge Simpson</t>
  </si>
  <si>
    <t>Krusty the Clown</t>
  </si>
  <si>
    <t>Barney Gumble</t>
  </si>
  <si>
    <t>Charles Montgomery Burns</t>
  </si>
  <si>
    <t>Moe Szyslak</t>
  </si>
  <si>
    <t>Ned Flanders</t>
  </si>
  <si>
    <t>Nelson Muntz</t>
  </si>
  <si>
    <t>Ralph Wiggum</t>
  </si>
  <si>
    <t>Apu Nahasapeemapetilon</t>
  </si>
  <si>
    <t>Sideshow Bob</t>
  </si>
  <si>
    <t>Kent Brockman</t>
  </si>
  <si>
    <t>Troy McClure</t>
  </si>
  <si>
    <t>Groundskeeper Willie</t>
  </si>
  <si>
    <t>Hans Moleman</t>
  </si>
  <si>
    <t>Bumblebee Man</t>
  </si>
  <si>
    <t>Superintendent Gary Chalmers</t>
  </si>
  <si>
    <t>Disco Stu</t>
  </si>
  <si>
    <t>Dan Castellaneta</t>
  </si>
  <si>
    <t>Julie Kavner</t>
  </si>
  <si>
    <t>Hank Azaria</t>
  </si>
  <si>
    <t>Kelsey Grammer</t>
  </si>
  <si>
    <t>Phil Hartman</t>
  </si>
  <si>
    <t>Col # --&gt;</t>
  </si>
  <si>
    <t>Approximate Match?</t>
  </si>
  <si>
    <t>$A$2:$D$22</t>
  </si>
  <si>
    <t>[Character Num]</t>
  </si>
  <si>
    <t>Populate [Type] to show "Income" or "Expense" (Hint: use an IF Statement)</t>
  </si>
  <si>
    <t>Today's Date: 03/10/13</t>
  </si>
  <si>
    <t>Equal Sign</t>
  </si>
  <si>
    <t>Comma</t>
  </si>
  <si>
    <t>Excel is awesome!</t>
  </si>
  <si>
    <t>PEMDAS</t>
  </si>
  <si>
    <t>Please Excuse My Dear Aunt Sally</t>
  </si>
  <si>
    <t>Exponents</t>
  </si>
  <si>
    <t>Multiplication</t>
  </si>
  <si>
    <t>Division</t>
  </si>
  <si>
    <t>Addition</t>
  </si>
  <si>
    <t>Subtraction</t>
  </si>
  <si>
    <t>forty five</t>
  </si>
  <si>
    <t>sixty two</t>
  </si>
  <si>
    <t>seven</t>
  </si>
  <si>
    <t>twenty four</t>
  </si>
  <si>
    <t>asdf</t>
  </si>
  <si>
    <t>sdf</t>
  </si>
  <si>
    <t>Dynamic</t>
  </si>
  <si>
    <t>Static</t>
  </si>
  <si>
    <t>Start Date</t>
  </si>
  <si>
    <t># Workdays</t>
  </si>
  <si>
    <t>Holidays</t>
  </si>
  <si>
    <t>CALCULATE EXERCISES: ROUND 1</t>
  </si>
  <si>
    <t>CALCULATE EXERCISES: ROUND 2</t>
  </si>
  <si>
    <t>CALCULATE EXERCISES: EXTRA PRACTICE</t>
  </si>
  <si>
    <t>Days Between</t>
  </si>
  <si>
    <t>Transaction Year</t>
  </si>
  <si>
    <t>Transaction Month</t>
  </si>
  <si>
    <t>Transaction Day</t>
  </si>
  <si>
    <t>Transaction Weekday</t>
  </si>
  <si>
    <t>Sales Tax</t>
  </si>
  <si>
    <t>Weekday</t>
  </si>
  <si>
    <t># Transactions on Wednesdays</t>
  </si>
  <si>
    <t># Transactions for Food</t>
  </si>
  <si>
    <t># Transactions</t>
  </si>
  <si>
    <t>Transaction Date 2 Months After</t>
  </si>
  <si>
    <t>Transaction Date End of Month</t>
  </si>
  <si>
    <t xml:space="preserve">      Excel is the most          amazing tool      ever    created by human beings!       </t>
  </si>
  <si>
    <t>Excel is the most amazing tool ever created by human beings!</t>
  </si>
  <si>
    <t>I can't believe 
how fun Excel is!</t>
  </si>
  <si>
    <t>Messy Data</t>
  </si>
  <si>
    <t>Trimmed Data</t>
  </si>
  <si>
    <t>Values Only</t>
  </si>
  <si>
    <t>Cleaned Data</t>
  </si>
  <si>
    <t>Cleaned &amp; Trimmed</t>
  </si>
  <si>
    <t>Shir can be a little silly sometimes, but in the end Shir always gets the job done.</t>
  </si>
  <si>
    <t>The Human Macro can be a little silly sometimes, but in the end The Human Macro always gets the job done.</t>
  </si>
  <si>
    <t>Original Text</t>
  </si>
  <si>
    <t>Substituted Text</t>
  </si>
  <si>
    <t>9952-4087-2049-1484</t>
  </si>
  <si>
    <t>My favorite actor is Samuel L. Jackson</t>
  </si>
  <si>
    <t>My favorite actor is Nicole Kidman</t>
  </si>
  <si>
    <t>Christopher Walken</t>
  </si>
  <si>
    <t>Halle Berry</t>
  </si>
  <si>
    <t>xxxx</t>
  </si>
  <si>
    <t>Louis C. K.</t>
  </si>
  <si>
    <t>Most talented comedian: Dane Cook</t>
  </si>
  <si>
    <t>Jerry Seinfeld</t>
  </si>
  <si>
    <t>Cell Phone #212-424-5352</t>
  </si>
  <si>
    <t>Mobile Phone #212-732-1561</t>
  </si>
  <si>
    <t>Most respected comedian: Chris Rock</t>
  </si>
  <si>
    <t>#</t>
  </si>
  <si>
    <t>:</t>
  </si>
  <si>
    <t>xxx-xxx-xxxx</t>
  </si>
  <si>
    <t>FIND and REPLACE</t>
  </si>
  <si>
    <t>Martin Luther King Jr.</t>
  </si>
  <si>
    <t>Dr. Phil</t>
  </si>
  <si>
    <t>Ben Stiller</t>
  </si>
  <si>
    <t>Barack Obama</t>
  </si>
  <si>
    <t>George W. Bush</t>
  </si>
  <si>
    <t>Bill Clinton</t>
  </si>
  <si>
    <t>Richard M. Nixon</t>
  </si>
  <si>
    <t>First Name</t>
  </si>
  <si>
    <t>Last Name</t>
  </si>
  <si>
    <t>Jon</t>
  </si>
  <si>
    <t>Stewart</t>
  </si>
  <si>
    <t>Stephen</t>
  </si>
  <si>
    <t>Colbert</t>
  </si>
  <si>
    <t>CONCATENATE</t>
  </si>
  <si>
    <t>&amp;</t>
  </si>
  <si>
    <t>Stephen Colbert</t>
  </si>
  <si>
    <t>Char Num</t>
  </si>
  <si>
    <t>Low</t>
  </si>
  <si>
    <t>High</t>
  </si>
  <si>
    <t>Joe</t>
  </si>
  <si>
    <t>Susan</t>
  </si>
  <si>
    <t>Molly</t>
  </si>
  <si>
    <t>Sample Data</t>
  </si>
  <si>
    <t>Verdict</t>
  </si>
  <si>
    <t>jaskd872834kjhasdf</t>
  </si>
  <si>
    <t>Today is 3/17/2013</t>
  </si>
  <si>
    <t>Condition</t>
  </si>
  <si>
    <t>5+5=10</t>
  </si>
  <si>
    <t>Hooray!</t>
  </si>
  <si>
    <t>Oops!</t>
  </si>
  <si>
    <t>IF Statement</t>
  </si>
  <si>
    <t>Month Num</t>
  </si>
  <si>
    <t>Month</t>
  </si>
  <si>
    <t>JAN</t>
  </si>
  <si>
    <t>FEB</t>
  </si>
  <si>
    <t>MAR</t>
  </si>
  <si>
    <t>APR</t>
  </si>
  <si>
    <t>MAY</t>
  </si>
  <si>
    <t>JUN</t>
  </si>
  <si>
    <t>JUL</t>
  </si>
  <si>
    <t>AUG</t>
  </si>
  <si>
    <t>SEP</t>
  </si>
  <si>
    <t>OCT</t>
  </si>
  <si>
    <t>NOV</t>
  </si>
  <si>
    <t>DEC</t>
  </si>
  <si>
    <t>Weekday Num</t>
  </si>
  <si>
    <t>Sunday</t>
  </si>
  <si>
    <t>Monday</t>
  </si>
  <si>
    <t>Tuesday</t>
  </si>
  <si>
    <t>Wednesday</t>
  </si>
  <si>
    <t>Thursday</t>
  </si>
  <si>
    <t>Friday</t>
  </si>
  <si>
    <t>Saturday</t>
  </si>
  <si>
    <t>Transaction Month Num</t>
  </si>
  <si>
    <t>Transaction Weekday Num</t>
  </si>
  <si>
    <t>Category &amp; Subcategory</t>
  </si>
  <si>
    <t>Date Clean</t>
  </si>
  <si>
    <t>Smart ID</t>
  </si>
  <si>
    <t>Business Expense (Y/N)</t>
  </si>
  <si>
    <t>My Birthday</t>
  </si>
  <si>
    <t>My Age</t>
  </si>
  <si>
    <t>***Solve the Nested IF Challenge Question - create new column that uses that complex nested IF function to determine the correct result</t>
  </si>
  <si>
    <t>**Create a new column that says "Morning, Afternoon, or Evening" based on [Transaction Time] (hint: use VLOOKUP Approximate Match)</t>
  </si>
  <si>
    <t>Nested IF Challenge Question</t>
  </si>
  <si>
    <t>Transaction Hour</t>
  </si>
  <si>
    <t>Transaction Minute</t>
  </si>
  <si>
    <t>Transaction Second</t>
  </si>
  <si>
    <t>10 Days Past Original Date</t>
  </si>
  <si>
    <t>Category &amp; Amount</t>
  </si>
  <si>
    <t>Start Time</t>
  </si>
  <si>
    <t>End Time</t>
  </si>
  <si>
    <t>Time Range</t>
  </si>
  <si>
    <t>Time Block</t>
  </si>
  <si>
    <t>Early Morning</t>
  </si>
  <si>
    <t>Morning</t>
  </si>
  <si>
    <t>Late Morning</t>
  </si>
  <si>
    <t>Afternoon</t>
  </si>
  <si>
    <t>Evening</t>
  </si>
  <si>
    <t>Late Evening</t>
  </si>
  <si>
    <t>Dead of Night</t>
  </si>
  <si>
    <t>Bonus Topics</t>
  </si>
  <si>
    <t>Text to Columns</t>
  </si>
  <si>
    <t>Formula Audit Mode</t>
  </si>
  <si>
    <t>Goal Seek</t>
  </si>
  <si>
    <t>Stark</t>
  </si>
  <si>
    <t>Kent</t>
  </si>
  <si>
    <t>Banner</t>
  </si>
  <si>
    <t>Wayne</t>
  </si>
  <si>
    <t>Tony</t>
  </si>
  <si>
    <t>Iron Man</t>
  </si>
  <si>
    <t>Clark</t>
  </si>
  <si>
    <t>Superman</t>
  </si>
  <si>
    <t>Bruce</t>
  </si>
  <si>
    <t>The Hulk</t>
  </si>
  <si>
    <t>Batman</t>
  </si>
  <si>
    <t>Hourly Rate</t>
  </si>
  <si>
    <t>Hours Worked Per Client</t>
  </si>
  <si>
    <t># of Clients</t>
  </si>
  <si>
    <t>Total Earned</t>
  </si>
  <si>
    <t>Office Rental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</si>
</sst>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164" formatCode="mm/dd/yy;@"/>
    <numFmt numFmtId="165" formatCode="mm/dd/yyyy"/>
    <numFmt numFmtId="166" formatCode="[$-409]h:mm\ AM/PM;@"/>
    <numFmt numFmtId="167" formatCode="[$-409]d\-mmm;@"/>
  </numFmts>
  <fonts count="17"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u/>
      <sz val="14"/>
      <color theme="1"/>
      <name val="Calibri"/>
      <family val="2"/>
      <scheme val="minor"/>
    </font>
    <font>
      <b/>
      <u/>
      <sz val="11"/>
      <color theme="1"/>
      <name val="Calibri"/>
      <family val="2"/>
      <scheme val="minor"/>
    </font>
    <font>
      <b/>
      <i/>
      <u/>
      <sz val="11"/>
      <color theme="1"/>
      <name val="Calibri"/>
      <family val="2"/>
      <scheme val="minor"/>
    </font>
    <font>
      <b/>
      <sz val="11"/>
      <color theme="1"/>
      <name val="Calibri"/>
      <family val="2"/>
    </font>
    <font>
      <sz val="10.199999999999999"/>
      <color theme="1"/>
      <name val="Calibri"/>
      <family val="2"/>
      <scheme val="minor"/>
    </font>
    <font>
      <i/>
      <sz val="10.199999999999999"/>
      <color theme="1"/>
      <name val="Calibri"/>
      <family val="2"/>
      <scheme val="minor"/>
    </font>
    <font>
      <b/>
      <u/>
      <sz val="10.199999999999999"/>
      <color theme="1"/>
      <name val="Calibri"/>
      <family val="2"/>
      <scheme val="minor"/>
    </font>
    <font>
      <b/>
      <sz val="10.199999999999999"/>
      <color theme="1"/>
      <name val="Calibri"/>
      <family val="2"/>
      <scheme val="minor"/>
    </font>
    <font>
      <b/>
      <i/>
      <u/>
      <sz val="10.199999999999999"/>
      <color theme="1"/>
      <name val="Calibri"/>
      <family val="2"/>
      <scheme val="minor"/>
    </font>
    <font>
      <u/>
      <sz val="11"/>
      <color theme="1"/>
      <name val="Calibri"/>
      <family val="2"/>
      <scheme val="minor"/>
    </font>
    <font>
      <b/>
      <i/>
      <sz val="11"/>
      <color rgb="FFFF0000"/>
      <name val="Calibri"/>
      <family val="2"/>
      <scheme val="minor"/>
    </font>
    <font>
      <b/>
      <sz val="11"/>
      <name val="Calibri"/>
      <family val="2"/>
      <scheme val="minor"/>
    </font>
    <font>
      <b/>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B0F0"/>
        <bgColor indexed="64"/>
      </patternFill>
    </fill>
  </fills>
  <borders count="15">
    <border>
      <left/>
      <right/>
      <top/>
      <bottom/>
      <diagonal/>
    </border>
    <border>
      <left style="thin">
        <color theme="0"/>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auto="1"/>
      </top>
      <bottom/>
      <diagonal/>
    </border>
    <border>
      <left/>
      <right/>
      <top/>
      <bottom style="double">
        <color indexed="64"/>
      </bottom>
      <diagonal/>
    </border>
  </borders>
  <cellStyleXfs count="1">
    <xf numFmtId="0" fontId="0" fillId="0" borderId="0"/>
  </cellStyleXfs>
  <cellXfs count="101">
    <xf numFmtId="0" fontId="0" fillId="0" borderId="0" xfId="0"/>
    <xf numFmtId="8" fontId="0" fillId="0" borderId="0" xfId="0" applyNumberFormat="1"/>
    <xf numFmtId="0" fontId="0" fillId="0" borderId="0" xfId="0" applyAlignment="1">
      <alignment horizontal="center"/>
    </xf>
    <xf numFmtId="164" fontId="0" fillId="0" borderId="0" xfId="0" applyNumberFormat="1" applyAlignment="1">
      <alignment horizontal="center"/>
    </xf>
    <xf numFmtId="0" fontId="0" fillId="0" borderId="0" xfId="0" applyFont="1"/>
    <xf numFmtId="0" fontId="1" fillId="0" borderId="0" xfId="0" applyFont="1"/>
    <xf numFmtId="14" fontId="0" fillId="0" borderId="0" xfId="0" applyNumberFormat="1"/>
    <xf numFmtId="49" fontId="0" fillId="0" borderId="0" xfId="0" applyNumberFormat="1"/>
    <xf numFmtId="0" fontId="3" fillId="0" borderId="0" xfId="0" applyFont="1"/>
    <xf numFmtId="0" fontId="2" fillId="0" borderId="0" xfId="0" applyFont="1"/>
    <xf numFmtId="0" fontId="4" fillId="0" borderId="0" xfId="0" applyFont="1"/>
    <xf numFmtId="18" fontId="0" fillId="0" borderId="0" xfId="0" applyNumberFormat="1"/>
    <xf numFmtId="0" fontId="0" fillId="0" borderId="0" xfId="0" applyBorder="1"/>
    <xf numFmtId="0" fontId="5" fillId="0" borderId="0" xfId="0" applyFont="1"/>
    <xf numFmtId="0" fontId="6" fillId="0" borderId="0" xfId="0" applyFont="1"/>
    <xf numFmtId="164" fontId="0" fillId="0" borderId="0" xfId="0" applyNumberFormat="1"/>
    <xf numFmtId="0" fontId="0" fillId="0" borderId="0" xfId="0" applyBorder="1" applyAlignment="1">
      <alignment horizontal="center"/>
    </xf>
    <xf numFmtId="0" fontId="7"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8" fillId="0" borderId="0" xfId="0" applyFont="1"/>
    <xf numFmtId="0" fontId="9" fillId="0" borderId="0" xfId="0" applyFont="1"/>
    <xf numFmtId="0" fontId="10" fillId="0" borderId="0" xfId="0" applyFont="1"/>
    <xf numFmtId="0" fontId="8" fillId="0" borderId="0" xfId="0" applyFont="1" applyBorder="1"/>
    <xf numFmtId="0" fontId="12" fillId="0" borderId="0" xfId="0" applyFont="1"/>
    <xf numFmtId="14" fontId="8" fillId="0" borderId="0" xfId="0" applyNumberFormat="1" applyFont="1"/>
    <xf numFmtId="165" fontId="8" fillId="0" borderId="0" xfId="0" applyNumberFormat="1" applyFont="1"/>
    <xf numFmtId="18" fontId="8" fillId="0" borderId="0" xfId="0" applyNumberFormat="1" applyFont="1"/>
    <xf numFmtId="0" fontId="8" fillId="0" borderId="0" xfId="0" applyFont="1" applyAlignment="1">
      <alignment horizontal="left" vertical="top" wrapText="1"/>
    </xf>
    <xf numFmtId="0" fontId="13" fillId="0" borderId="0" xfId="0" applyFont="1"/>
    <xf numFmtId="0" fontId="0" fillId="0" borderId="0" xfId="0" applyFill="1"/>
    <xf numFmtId="0" fontId="1" fillId="0" borderId="0" xfId="0" applyFont="1" applyFill="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4" xfId="0" applyFont="1" applyBorder="1"/>
    <xf numFmtId="0" fontId="0" fillId="0" borderId="4" xfId="0" applyBorder="1" applyAlignment="1">
      <alignment horizontal="center"/>
    </xf>
    <xf numFmtId="0" fontId="0" fillId="0" borderId="0" xfId="0" applyAlignment="1">
      <alignment horizontal="center" vertical="center" wrapText="1"/>
    </xf>
    <xf numFmtId="0" fontId="0" fillId="0" borderId="6" xfId="0" applyBorder="1"/>
    <xf numFmtId="0" fontId="0" fillId="2" borderId="0" xfId="0" applyFill="1" applyBorder="1" applyAlignment="1">
      <alignment horizontal="left"/>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7" xfId="0" applyNumberFormat="1" applyFont="1" applyBorder="1" applyAlignment="1">
      <alignment horizontal="center" vertical="center" wrapText="1"/>
    </xf>
    <xf numFmtId="0" fontId="0" fillId="0" borderId="2" xfId="0" applyBorder="1"/>
    <xf numFmtId="164" fontId="0" fillId="0" borderId="8" xfId="0" applyNumberFormat="1" applyBorder="1"/>
    <xf numFmtId="0" fontId="0" fillId="0" borderId="9" xfId="0" applyBorder="1"/>
    <xf numFmtId="164" fontId="0" fillId="0" borderId="10" xfId="0" applyNumberFormat="1" applyBorder="1"/>
    <xf numFmtId="0" fontId="0" fillId="3" borderId="3" xfId="0" applyFill="1" applyBorder="1" applyAlignment="1">
      <alignment horizontal="center"/>
    </xf>
    <xf numFmtId="0" fontId="0" fillId="3" borderId="9" xfId="0" applyFill="1" applyBorder="1" applyAlignment="1">
      <alignment horizontal="center"/>
    </xf>
    <xf numFmtId="0" fontId="0" fillId="2" borderId="4" xfId="0" applyFill="1" applyBorder="1" applyAlignment="1">
      <alignment horizontal="center"/>
    </xf>
    <xf numFmtId="0" fontId="0" fillId="2" borderId="11" xfId="0" applyFill="1" applyBorder="1" applyAlignment="1">
      <alignment horizontal="left"/>
    </xf>
    <xf numFmtId="0" fontId="0" fillId="0" borderId="0" xfId="0" applyNumberFormat="1"/>
    <xf numFmtId="0" fontId="0" fillId="2" borderId="5"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center"/>
    </xf>
    <xf numFmtId="0" fontId="0" fillId="3" borderId="8" xfId="0" applyFill="1" applyBorder="1"/>
    <xf numFmtId="0" fontId="0" fillId="2" borderId="6" xfId="0" applyFill="1" applyBorder="1" applyAlignment="1">
      <alignment horizontal="left"/>
    </xf>
    <xf numFmtId="0" fontId="0" fillId="3" borderId="10" xfId="0" applyFill="1" applyBorder="1"/>
    <xf numFmtId="0" fontId="0" fillId="2" borderId="12" xfId="0" applyFill="1" applyBorder="1" applyAlignment="1">
      <alignment horizontal="left"/>
    </xf>
    <xf numFmtId="164" fontId="0" fillId="2" borderId="12" xfId="0" applyNumberFormat="1" applyFill="1" applyBorder="1" applyAlignment="1">
      <alignment horizontal="center"/>
    </xf>
    <xf numFmtId="164" fontId="0" fillId="2" borderId="11" xfId="0" applyNumberFormat="1" applyFill="1" applyBorder="1" applyAlignment="1">
      <alignment horizontal="center"/>
    </xf>
    <xf numFmtId="0" fontId="8" fillId="0" borderId="0" xfId="0" applyFont="1" applyBorder="1" applyAlignment="1">
      <alignment horizontal="center"/>
    </xf>
    <xf numFmtId="0" fontId="11" fillId="0" borderId="0" xfId="0" applyNumberFormat="1" applyFont="1" applyBorder="1" applyAlignment="1">
      <alignment horizontal="center"/>
    </xf>
    <xf numFmtId="6" fontId="0" fillId="0" borderId="0" xfId="0" applyNumberFormat="1"/>
    <xf numFmtId="0" fontId="14" fillId="4" borderId="13" xfId="0" applyFont="1" applyFill="1" applyBorder="1"/>
    <xf numFmtId="4" fontId="0" fillId="0" borderId="0" xfId="0" applyNumberFormat="1"/>
    <xf numFmtId="166" fontId="0" fillId="0" borderId="0" xfId="0" applyNumberFormat="1"/>
    <xf numFmtId="0" fontId="15" fillId="0" borderId="0" xfId="0" applyFont="1" applyFill="1" applyBorder="1" applyAlignment="1">
      <alignment horizontal="center" vertical="center" wrapText="1"/>
    </xf>
    <xf numFmtId="164"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8" fontId="15"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18"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0" fillId="5" borderId="0" xfId="0" applyFill="1"/>
    <xf numFmtId="1" fontId="16" fillId="0" borderId="1" xfId="0" applyNumberFormat="1" applyFont="1" applyFill="1" applyBorder="1" applyAlignment="1">
      <alignment horizontal="center" vertical="center" wrapText="1"/>
    </xf>
    <xf numFmtId="1" fontId="0" fillId="0" borderId="0" xfId="0" applyNumberFormat="1" applyAlignment="1">
      <alignment horizontal="center"/>
    </xf>
    <xf numFmtId="3" fontId="15" fillId="0" borderId="1" xfId="0" applyNumberFormat="1" applyFont="1" applyFill="1" applyBorder="1" applyAlignment="1">
      <alignment horizontal="center" vertical="center" wrapText="1"/>
    </xf>
    <xf numFmtId="3" fontId="0" fillId="0" borderId="0" xfId="0" applyNumberFormat="1" applyAlignment="1">
      <alignment horizontal="center"/>
    </xf>
    <xf numFmtId="8" fontId="15" fillId="0" borderId="0" xfId="0" applyNumberFormat="1" applyFont="1" applyFill="1" applyBorder="1" applyAlignment="1">
      <alignment horizontal="center" vertical="center" wrapText="1"/>
    </xf>
    <xf numFmtId="10" fontId="0" fillId="0" borderId="0" xfId="0" applyNumberFormat="1"/>
    <xf numFmtId="0" fontId="0" fillId="0" borderId="0" xfId="0" applyAlignment="1"/>
    <xf numFmtId="0" fontId="5" fillId="0" borderId="0" xfId="0" applyFont="1" applyAlignment="1"/>
    <xf numFmtId="0" fontId="6" fillId="0" borderId="0" xfId="0" applyFont="1" applyAlignment="1"/>
    <xf numFmtId="0" fontId="1" fillId="0" borderId="0" xfId="0" applyFont="1" applyAlignment="1"/>
    <xf numFmtId="9" fontId="0" fillId="0" borderId="0" xfId="0" applyNumberFormat="1" applyAlignment="1"/>
    <xf numFmtId="164" fontId="0" fillId="0" borderId="0" xfId="0" applyNumberFormat="1" applyAlignment="1"/>
    <xf numFmtId="0" fontId="0" fillId="0" borderId="0" xfId="0" applyNumberFormat="1" applyAlignment="1"/>
    <xf numFmtId="14" fontId="0" fillId="0" borderId="0" xfId="0" applyNumberFormat="1" applyAlignment="1"/>
    <xf numFmtId="167" fontId="0" fillId="0" borderId="0" xfId="0" applyNumberFormat="1" applyAlignment="1"/>
    <xf numFmtId="0" fontId="1" fillId="0" borderId="0" xfId="0" applyFont="1" applyAlignment="1">
      <alignment horizontal="center"/>
    </xf>
    <xf numFmtId="0" fontId="0" fillId="5" borderId="0" xfId="0" applyFill="1" applyAlignment="1"/>
    <xf numFmtId="164" fontId="15" fillId="0" borderId="0" xfId="0" applyNumberFormat="1" applyFont="1" applyFill="1" applyBorder="1" applyAlignment="1">
      <alignment horizontal="center" vertical="center" wrapText="1"/>
    </xf>
    <xf numFmtId="8" fontId="0" fillId="0" borderId="0" xfId="0" applyNumberFormat="1" applyAlignment="1">
      <alignment horizontal="center"/>
    </xf>
    <xf numFmtId="1" fontId="0" fillId="0" borderId="0" xfId="0" applyNumberFormat="1"/>
    <xf numFmtId="0" fontId="1" fillId="2" borderId="0" xfId="0" applyFont="1" applyFill="1" applyAlignment="1">
      <alignment horizontal="center" vertical="center" wrapText="1"/>
    </xf>
    <xf numFmtId="18" fontId="0" fillId="2" borderId="0" xfId="0" applyNumberFormat="1" applyFill="1"/>
    <xf numFmtId="0" fontId="0" fillId="0" borderId="14" xfId="0" applyBorder="1"/>
    <xf numFmtId="8" fontId="0" fillId="0" borderId="14" xfId="0" applyNumberFormat="1" applyBorder="1"/>
    <xf numFmtId="0" fontId="0" fillId="0" borderId="0" xfId="0" applyAlignment="1">
      <alignment horizontal="left" vertical="top" wrapText="1"/>
    </xf>
    <xf numFmtId="0" fontId="8" fillId="0" borderId="0" xfId="0" applyFont="1" applyAlignment="1">
      <alignment horizontal="left" vertical="top" wrapText="1"/>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tabSelected="1" zoomScale="125" zoomScaleNormal="125" workbookViewId="0"/>
  </sheetViews>
  <sheetFormatPr defaultRowHeight="15" x14ac:dyDescent="0.25"/>
  <cols>
    <col min="1" max="1" width="2.140625" customWidth="1"/>
    <col min="2" max="2" width="34.7109375" customWidth="1"/>
    <col min="3" max="3" width="21.28515625" customWidth="1"/>
    <col min="4" max="4" width="13.85546875" customWidth="1"/>
    <col min="5" max="5" width="17.7109375" bestFit="1" customWidth="1"/>
    <col min="6" max="6" width="18.85546875" bestFit="1" customWidth="1"/>
    <col min="7" max="7" width="11.85546875" customWidth="1"/>
    <col min="8" max="8" width="10.85546875" bestFit="1" customWidth="1"/>
  </cols>
  <sheetData>
    <row r="1" spans="2:10" ht="18.75" x14ac:dyDescent="0.3">
      <c r="B1" s="10" t="s">
        <v>64</v>
      </c>
    </row>
    <row r="2" spans="2:10" ht="15.75" x14ac:dyDescent="0.25">
      <c r="B2" s="8" t="s">
        <v>65</v>
      </c>
    </row>
    <row r="3" spans="2:10" x14ac:dyDescent="0.25">
      <c r="B3" s="9" t="s">
        <v>991</v>
      </c>
    </row>
    <row r="5" spans="2:10" x14ac:dyDescent="0.25">
      <c r="B5" s="13" t="s">
        <v>3</v>
      </c>
    </row>
    <row r="6" spans="2:10" x14ac:dyDescent="0.25">
      <c r="B6" s="4" t="s">
        <v>1045</v>
      </c>
      <c r="G6" t="s">
        <v>1048</v>
      </c>
    </row>
    <row r="7" spans="2:10" x14ac:dyDescent="0.25">
      <c r="B7" t="s">
        <v>1046</v>
      </c>
      <c r="C7">
        <f>SUM(E5:E8,F5:F8,G5:G8)</f>
        <v>0</v>
      </c>
      <c r="D7" s="63">
        <v>1000000</v>
      </c>
      <c r="G7" t="s">
        <v>1049</v>
      </c>
      <c r="J7" s="51"/>
    </row>
    <row r="8" spans="2:10" x14ac:dyDescent="0.25">
      <c r="B8" t="s">
        <v>4</v>
      </c>
      <c r="C8">
        <f>SUM(E6:E9,F6:F9)</f>
        <v>0</v>
      </c>
    </row>
    <row r="9" spans="2:10" x14ac:dyDescent="0.25">
      <c r="B9" t="s">
        <v>5</v>
      </c>
      <c r="C9" t="s">
        <v>1047</v>
      </c>
      <c r="E9" t="str">
        <f>"Excel is awesome" &amp; 1+1</f>
        <v>Excel is awesome2</v>
      </c>
      <c r="G9" t="s">
        <v>4</v>
      </c>
    </row>
    <row r="10" spans="2:10" x14ac:dyDescent="0.25">
      <c r="G10" t="s">
        <v>1050</v>
      </c>
    </row>
    <row r="11" spans="2:10" x14ac:dyDescent="0.25">
      <c r="B11" s="13" t="s">
        <v>6</v>
      </c>
      <c r="G11" t="s">
        <v>1051</v>
      </c>
    </row>
    <row r="12" spans="2:10" x14ac:dyDescent="0.25">
      <c r="B12" t="s">
        <v>7</v>
      </c>
      <c r="C12" t="s">
        <v>8</v>
      </c>
      <c r="G12" t="s">
        <v>1052</v>
      </c>
    </row>
    <row r="13" spans="2:10" x14ac:dyDescent="0.25">
      <c r="B13" t="s">
        <v>9</v>
      </c>
      <c r="C13" t="s">
        <v>10</v>
      </c>
      <c r="G13" t="s">
        <v>1053</v>
      </c>
    </row>
    <row r="14" spans="2:10" x14ac:dyDescent="0.25">
      <c r="B14" t="s">
        <v>11</v>
      </c>
      <c r="C14" t="s">
        <v>12</v>
      </c>
      <c r="G14" t="s">
        <v>1054</v>
      </c>
    </row>
    <row r="15" spans="2:10" x14ac:dyDescent="0.25">
      <c r="B15" t="s">
        <v>13</v>
      </c>
      <c r="C15" t="s">
        <v>14</v>
      </c>
    </row>
    <row r="17" spans="2:10" x14ac:dyDescent="0.25">
      <c r="B17" s="13" t="s">
        <v>15</v>
      </c>
    </row>
    <row r="18" spans="2:10" x14ac:dyDescent="0.25">
      <c r="B18" t="s">
        <v>16</v>
      </c>
      <c r="C18" t="s">
        <v>22</v>
      </c>
    </row>
    <row r="19" spans="2:10" x14ac:dyDescent="0.25">
      <c r="B19" t="s">
        <v>17</v>
      </c>
      <c r="C19" t="s">
        <v>23</v>
      </c>
    </row>
    <row r="20" spans="2:10" x14ac:dyDescent="0.25">
      <c r="B20" t="s">
        <v>18</v>
      </c>
      <c r="C20" t="s">
        <v>24</v>
      </c>
    </row>
    <row r="21" spans="2:10" x14ac:dyDescent="0.25">
      <c r="B21" t="s">
        <v>19</v>
      </c>
      <c r="C21" t="s">
        <v>25</v>
      </c>
    </row>
    <row r="22" spans="2:10" x14ac:dyDescent="0.25">
      <c r="B22" t="s">
        <v>20</v>
      </c>
      <c r="C22" t="s">
        <v>26</v>
      </c>
    </row>
    <row r="23" spans="2:10" x14ac:dyDescent="0.25">
      <c r="B23" t="s">
        <v>21</v>
      </c>
      <c r="C23" t="s">
        <v>27</v>
      </c>
    </row>
    <row r="25" spans="2:10" x14ac:dyDescent="0.25">
      <c r="B25" s="13" t="s">
        <v>31</v>
      </c>
    </row>
    <row r="26" spans="2:10" x14ac:dyDescent="0.25">
      <c r="B26" t="s">
        <v>32</v>
      </c>
      <c r="C26" t="s">
        <v>33</v>
      </c>
      <c r="E26">
        <v>1</v>
      </c>
      <c r="F26">
        <v>5</v>
      </c>
    </row>
    <row r="27" spans="2:10" x14ac:dyDescent="0.25">
      <c r="B27" t="s">
        <v>34</v>
      </c>
      <c r="C27" t="s">
        <v>35</v>
      </c>
      <c r="E27">
        <v>2</v>
      </c>
      <c r="F27">
        <v>6</v>
      </c>
      <c r="I27">
        <f>SUM($E$26:$E$29)</f>
        <v>10</v>
      </c>
    </row>
    <row r="28" spans="2:10" x14ac:dyDescent="0.25">
      <c r="B28" t="s">
        <v>37</v>
      </c>
      <c r="C28" t="s">
        <v>36</v>
      </c>
      <c r="E28">
        <v>3</v>
      </c>
      <c r="F28">
        <v>7</v>
      </c>
    </row>
    <row r="29" spans="2:10" x14ac:dyDescent="0.25">
      <c r="B29" t="s">
        <v>38</v>
      </c>
      <c r="C29" t="s">
        <v>39</v>
      </c>
      <c r="E29">
        <v>4</v>
      </c>
      <c r="F29">
        <v>8</v>
      </c>
      <c r="I29">
        <f>SUM($E$26:$E$29)</f>
        <v>10</v>
      </c>
    </row>
    <row r="30" spans="2:10" x14ac:dyDescent="0.25">
      <c r="B30" t="s">
        <v>41</v>
      </c>
      <c r="C30" t="s">
        <v>40</v>
      </c>
      <c r="E30">
        <f>SUM($E$26:$E$29)</f>
        <v>10</v>
      </c>
      <c r="F30">
        <f>SUM(F26:F29)</f>
        <v>26</v>
      </c>
      <c r="H30">
        <f>SUM($E$26:$E$29)</f>
        <v>10</v>
      </c>
      <c r="J30">
        <f>SUM($E$26:$E$29)</f>
        <v>10</v>
      </c>
    </row>
    <row r="32" spans="2:10" x14ac:dyDescent="0.25">
      <c r="B32" s="13" t="s">
        <v>28</v>
      </c>
      <c r="H32">
        <f t="shared" ref="H32:H34" si="0">F36</f>
        <v>1</v>
      </c>
      <c r="I32">
        <f>F36</f>
        <v>1</v>
      </c>
    </row>
    <row r="33" spans="2:12" x14ac:dyDescent="0.25">
      <c r="B33" s="4" t="s">
        <v>29</v>
      </c>
      <c r="C33">
        <f>SUM(E26:E29)</f>
        <v>10</v>
      </c>
      <c r="H33">
        <f t="shared" si="0"/>
        <v>2</v>
      </c>
      <c r="I33">
        <f t="shared" ref="I33:I34" si="1">F37</f>
        <v>2</v>
      </c>
    </row>
    <row r="34" spans="2:12" x14ac:dyDescent="0.25">
      <c r="B34" s="4" t="s">
        <v>30</v>
      </c>
      <c r="C34">
        <f>E26+F26+E27-F27</f>
        <v>2</v>
      </c>
      <c r="D34">
        <f>SUM(E26:E29)-F30+F26+F28</f>
        <v>-4</v>
      </c>
      <c r="H34">
        <f t="shared" si="0"/>
        <v>3</v>
      </c>
      <c r="I34">
        <f t="shared" si="1"/>
        <v>3</v>
      </c>
    </row>
    <row r="36" spans="2:12" x14ac:dyDescent="0.25">
      <c r="B36" s="13" t="s">
        <v>42</v>
      </c>
      <c r="C36">
        <v>1</v>
      </c>
      <c r="D36">
        <v>2</v>
      </c>
      <c r="E36" s="12">
        <v>3</v>
      </c>
      <c r="F36">
        <v>1</v>
      </c>
      <c r="G36">
        <v>5</v>
      </c>
      <c r="I36">
        <v>8</v>
      </c>
      <c r="J36">
        <v>11</v>
      </c>
      <c r="L36">
        <v>1</v>
      </c>
    </row>
    <row r="37" spans="2:12" x14ac:dyDescent="0.25">
      <c r="B37" t="s">
        <v>43</v>
      </c>
      <c r="F37">
        <v>2</v>
      </c>
      <c r="G37">
        <v>6</v>
      </c>
      <c r="I37">
        <v>9</v>
      </c>
      <c r="J37">
        <v>12</v>
      </c>
      <c r="L37">
        <v>2</v>
      </c>
    </row>
    <row r="38" spans="2:12" ht="15.75" thickBot="1" x14ac:dyDescent="0.3">
      <c r="B38" t="s">
        <v>44</v>
      </c>
      <c r="F38" s="12">
        <v>3</v>
      </c>
      <c r="G38">
        <v>7</v>
      </c>
      <c r="I38">
        <v>10</v>
      </c>
      <c r="J38">
        <v>13</v>
      </c>
      <c r="L38" s="12">
        <v>3</v>
      </c>
    </row>
    <row r="39" spans="2:12" ht="15.75" thickTop="1" x14ac:dyDescent="0.25">
      <c r="F39" s="64">
        <f>SUM(F36:F38)</f>
        <v>6</v>
      </c>
      <c r="G39" s="64">
        <f>SUM(G36:G38)</f>
        <v>18</v>
      </c>
      <c r="I39">
        <f>SUM(I36:I38)</f>
        <v>27</v>
      </c>
      <c r="J39" s="64">
        <v>6</v>
      </c>
    </row>
    <row r="40" spans="2:12" x14ac:dyDescent="0.25">
      <c r="B40" s="13" t="s">
        <v>114</v>
      </c>
      <c r="L40">
        <v>1</v>
      </c>
    </row>
    <row r="41" spans="2:12" x14ac:dyDescent="0.25">
      <c r="B41" t="s">
        <v>115</v>
      </c>
      <c r="H41" s="12"/>
      <c r="L41">
        <v>2</v>
      </c>
    </row>
    <row r="42" spans="2:12" x14ac:dyDescent="0.25">
      <c r="B42" t="s">
        <v>116</v>
      </c>
      <c r="L42">
        <v>3</v>
      </c>
    </row>
    <row r="43" spans="2:12" x14ac:dyDescent="0.25">
      <c r="B43" t="s">
        <v>117</v>
      </c>
    </row>
    <row r="44" spans="2:12" x14ac:dyDescent="0.25">
      <c r="G44" t="s">
        <v>1059</v>
      </c>
    </row>
    <row r="45" spans="2:12" x14ac:dyDescent="0.25">
      <c r="B45" s="13" t="s">
        <v>45</v>
      </c>
      <c r="G45">
        <v>68</v>
      </c>
      <c r="H45">
        <v>54</v>
      </c>
      <c r="I45">
        <v>29</v>
      </c>
      <c r="J45">
        <v>81</v>
      </c>
      <c r="K45">
        <v>54</v>
      </c>
    </row>
    <row r="46" spans="2:12" x14ac:dyDescent="0.25">
      <c r="B46" t="s">
        <v>0</v>
      </c>
      <c r="C46">
        <f>SUM(G45:G47,H45:H47,K45)</f>
        <v>211</v>
      </c>
      <c r="G46" t="s">
        <v>1058</v>
      </c>
      <c r="H46">
        <v>8</v>
      </c>
      <c r="I46" t="s">
        <v>1055</v>
      </c>
      <c r="J46" t="s">
        <v>1056</v>
      </c>
    </row>
    <row r="47" spans="2:12" x14ac:dyDescent="0.25">
      <c r="B47" t="s">
        <v>1</v>
      </c>
      <c r="C47" s="65">
        <f>AVERAGE(G45:G47,H45:H47,K47,I45)</f>
        <v>36.833333333333336</v>
      </c>
      <c r="G47" t="s">
        <v>1060</v>
      </c>
      <c r="H47">
        <v>27</v>
      </c>
      <c r="I47">
        <v>60</v>
      </c>
      <c r="J47" t="s">
        <v>1057</v>
      </c>
      <c r="K47">
        <v>35</v>
      </c>
    </row>
    <row r="48" spans="2:12" x14ac:dyDescent="0.25">
      <c r="B48" t="s">
        <v>2</v>
      </c>
      <c r="C48">
        <f>COUNT(G45:G47)</f>
        <v>1</v>
      </c>
      <c r="G48" t="s">
        <v>1059</v>
      </c>
    </row>
    <row r="49" spans="2:9" x14ac:dyDescent="0.25">
      <c r="B49" t="s">
        <v>46</v>
      </c>
      <c r="C49">
        <f>COUNTA(G45:G47)</f>
        <v>3</v>
      </c>
    </row>
    <row r="50" spans="2:9" x14ac:dyDescent="0.25">
      <c r="B50" t="s">
        <v>47</v>
      </c>
      <c r="C50">
        <f>COUNTBLANK(G44:G48)</f>
        <v>0</v>
      </c>
    </row>
    <row r="51" spans="2:9" x14ac:dyDescent="0.25">
      <c r="B51" t="s">
        <v>48</v>
      </c>
      <c r="C51">
        <f>COUNTIF(H45:H47,"&gt;28")</f>
        <v>1</v>
      </c>
    </row>
    <row r="52" spans="2:9" x14ac:dyDescent="0.25">
      <c r="B52" s="9" t="s">
        <v>152</v>
      </c>
      <c r="C52" s="9">
        <f>COUNTIF(J45:J47,"?*")</f>
        <v>2</v>
      </c>
    </row>
    <row r="54" spans="2:9" x14ac:dyDescent="0.25">
      <c r="B54" s="13" t="s">
        <v>49</v>
      </c>
      <c r="C54" t="s">
        <v>1061</v>
      </c>
      <c r="D54" t="s">
        <v>1062</v>
      </c>
    </row>
    <row r="55" spans="2:9" x14ac:dyDescent="0.25">
      <c r="B55" t="s">
        <v>50</v>
      </c>
      <c r="C55" s="15">
        <v>38421</v>
      </c>
      <c r="D55" s="6">
        <v>41343</v>
      </c>
    </row>
    <row r="56" spans="2:9" x14ac:dyDescent="0.25">
      <c r="B56" t="s">
        <v>51</v>
      </c>
      <c r="C56" s="66">
        <f ca="1">NOW()</f>
        <v>41401.450742013891</v>
      </c>
      <c r="D56" s="11">
        <v>0.7909722222222223</v>
      </c>
    </row>
    <row r="57" spans="2:9" x14ac:dyDescent="0.25">
      <c r="B57" t="s">
        <v>52</v>
      </c>
      <c r="C57">
        <f>YEAR(C55)</f>
        <v>2005</v>
      </c>
    </row>
    <row r="58" spans="2:9" x14ac:dyDescent="0.25">
      <c r="B58" t="s">
        <v>53</v>
      </c>
      <c r="C58">
        <f>MONTH(C55)</f>
        <v>3</v>
      </c>
    </row>
    <row r="59" spans="2:9" x14ac:dyDescent="0.25">
      <c r="B59" t="s">
        <v>54</v>
      </c>
      <c r="C59">
        <f>DAY(C55)</f>
        <v>10</v>
      </c>
    </row>
    <row r="60" spans="2:9" x14ac:dyDescent="0.25">
      <c r="B60" t="s">
        <v>55</v>
      </c>
      <c r="C60">
        <f>HOUR(D56)</f>
        <v>18</v>
      </c>
    </row>
    <row r="61" spans="2:9" x14ac:dyDescent="0.25">
      <c r="B61" t="s">
        <v>56</v>
      </c>
      <c r="C61">
        <f>MINUTE(D56)</f>
        <v>59</v>
      </c>
    </row>
    <row r="62" spans="2:9" x14ac:dyDescent="0.25">
      <c r="B62" t="s">
        <v>57</v>
      </c>
      <c r="C62">
        <f>SECOND(D56)</f>
        <v>0</v>
      </c>
      <c r="D62" s="7"/>
      <c r="G62" t="s">
        <v>1063</v>
      </c>
      <c r="H62" s="15">
        <v>41263</v>
      </c>
      <c r="I62" s="6"/>
    </row>
    <row r="63" spans="2:9" x14ac:dyDescent="0.25">
      <c r="B63" t="s">
        <v>58</v>
      </c>
      <c r="C63" s="6">
        <f>DATE(C57,C58-5,C59-10)</f>
        <v>38260</v>
      </c>
      <c r="G63" t="s">
        <v>1064</v>
      </c>
      <c r="H63">
        <v>10</v>
      </c>
      <c r="I63" s="6"/>
    </row>
    <row r="64" spans="2:9" x14ac:dyDescent="0.25">
      <c r="B64" t="s">
        <v>59</v>
      </c>
      <c r="C64">
        <f>WEEKDAY(C63)</f>
        <v>5</v>
      </c>
      <c r="G64" t="s">
        <v>1065</v>
      </c>
      <c r="H64" s="15">
        <v>41268</v>
      </c>
    </row>
    <row r="65" spans="1:10" x14ac:dyDescent="0.25">
      <c r="B65" t="s">
        <v>60</v>
      </c>
      <c r="C65" s="15">
        <f>WORKDAY(H62,H63,H64:H65)</f>
        <v>41281</v>
      </c>
      <c r="D65" s="51"/>
      <c r="E65" s="15"/>
      <c r="F65" s="15"/>
      <c r="H65" s="15">
        <v>41275</v>
      </c>
      <c r="I65" s="6"/>
    </row>
    <row r="66" spans="1:10" x14ac:dyDescent="0.25">
      <c r="B66" t="s">
        <v>61</v>
      </c>
      <c r="C66" s="15">
        <f>WORKDAY.INTL(H62,H63,4,H64:H65)</f>
        <v>41277</v>
      </c>
      <c r="I66" s="6"/>
    </row>
    <row r="68" spans="1:10" x14ac:dyDescent="0.25">
      <c r="B68" s="14" t="s">
        <v>1066</v>
      </c>
    </row>
    <row r="69" spans="1:10" x14ac:dyDescent="0.25">
      <c r="A69" s="74">
        <v>1</v>
      </c>
      <c r="B69" t="s">
        <v>969</v>
      </c>
    </row>
    <row r="70" spans="1:10" x14ac:dyDescent="0.25">
      <c r="A70" s="74">
        <v>2</v>
      </c>
      <c r="B70" t="s">
        <v>959</v>
      </c>
    </row>
    <row r="71" spans="1:10" x14ac:dyDescent="0.25">
      <c r="A71" s="74">
        <v>3</v>
      </c>
      <c r="B71" t="s">
        <v>964</v>
      </c>
    </row>
    <row r="72" spans="1:10" x14ac:dyDescent="0.25">
      <c r="A72" s="74">
        <v>4</v>
      </c>
      <c r="B72" t="s">
        <v>960</v>
      </c>
    </row>
    <row r="73" spans="1:10" x14ac:dyDescent="0.25">
      <c r="A73" s="74">
        <v>5</v>
      </c>
      <c r="B73" t="s">
        <v>961</v>
      </c>
    </row>
    <row r="74" spans="1:10" x14ac:dyDescent="0.25">
      <c r="A74" s="74">
        <v>6</v>
      </c>
      <c r="B74" t="s">
        <v>962</v>
      </c>
    </row>
    <row r="75" spans="1:10" x14ac:dyDescent="0.25">
      <c r="A75" s="74">
        <v>7</v>
      </c>
      <c r="B75" t="s">
        <v>63</v>
      </c>
    </row>
    <row r="76" spans="1:10" x14ac:dyDescent="0.25">
      <c r="A76" s="74">
        <v>8</v>
      </c>
      <c r="B76" t="s">
        <v>963</v>
      </c>
    </row>
    <row r="78" spans="1:10" x14ac:dyDescent="0.25">
      <c r="B78" s="13" t="s">
        <v>112</v>
      </c>
      <c r="J78" t="str">
        <f>CHAR(9) &amp; CHAR(10)</f>
        <v xml:space="preserve">	
</v>
      </c>
    </row>
    <row r="79" spans="1:10" s="81" customFormat="1" x14ac:dyDescent="0.25">
      <c r="B79" s="81" t="s">
        <v>123</v>
      </c>
      <c r="C79" s="81" t="s">
        <v>1084</v>
      </c>
      <c r="D79" s="81" t="s">
        <v>1081</v>
      </c>
    </row>
    <row r="80" spans="1:10" s="81" customFormat="1" x14ac:dyDescent="0.25">
      <c r="C80" s="81" t="s">
        <v>1085</v>
      </c>
      <c r="D80" s="81" t="str">
        <f>TRIM(D79)</f>
        <v>Excel is the most amazing tool ever created by human beings!</v>
      </c>
    </row>
    <row r="81" spans="2:8" s="81" customFormat="1" x14ac:dyDescent="0.25">
      <c r="C81" s="81" t="s">
        <v>1086</v>
      </c>
      <c r="D81" s="81" t="s">
        <v>1082</v>
      </c>
    </row>
    <row r="82" spans="2:8" s="81" customFormat="1" x14ac:dyDescent="0.25"/>
    <row r="83" spans="2:8" s="81" customFormat="1" x14ac:dyDescent="0.25">
      <c r="B83" s="81" t="s">
        <v>124</v>
      </c>
      <c r="C83" s="81" t="s">
        <v>1084</v>
      </c>
      <c r="D83" s="81" t="s">
        <v>1083</v>
      </c>
    </row>
    <row r="84" spans="2:8" s="81" customFormat="1" x14ac:dyDescent="0.25">
      <c r="C84" s="81" t="s">
        <v>1087</v>
      </c>
      <c r="D84" s="81" t="str">
        <f>CLEAN(D83)</f>
        <v>I can't believe how fun Excel is!</v>
      </c>
    </row>
    <row r="85" spans="2:8" s="81" customFormat="1" x14ac:dyDescent="0.25">
      <c r="C85" s="81" t="s">
        <v>1088</v>
      </c>
      <c r="D85" s="81" t="str">
        <f>CLEAN(TRIM(D83))</f>
        <v>I can't believe how fun Excel is!</v>
      </c>
    </row>
    <row r="86" spans="2:8" s="81" customFormat="1" x14ac:dyDescent="0.25"/>
    <row r="87" spans="2:8" s="81" customFormat="1" x14ac:dyDescent="0.25">
      <c r="B87" s="81" t="s">
        <v>125</v>
      </c>
      <c r="C87" s="81" t="s">
        <v>1091</v>
      </c>
      <c r="D87" s="81" t="s">
        <v>1089</v>
      </c>
    </row>
    <row r="88" spans="2:8" s="81" customFormat="1" x14ac:dyDescent="0.25">
      <c r="C88" s="81" t="s">
        <v>1092</v>
      </c>
      <c r="D88" s="81" t="str">
        <f>SUBSTITUTE(D87,"Shir","The Human Macro")</f>
        <v>The Human Macro can be a little silly sometimes, but in the end The Human Macro always gets the job done.</v>
      </c>
    </row>
    <row r="89" spans="2:8" s="81" customFormat="1" x14ac:dyDescent="0.25">
      <c r="C89" s="81" t="s">
        <v>1086</v>
      </c>
      <c r="D89" s="81" t="s">
        <v>1090</v>
      </c>
    </row>
    <row r="90" spans="2:8" s="81" customFormat="1" x14ac:dyDescent="0.25"/>
    <row r="91" spans="2:8" s="81" customFormat="1" x14ac:dyDescent="0.25">
      <c r="B91" s="81" t="s">
        <v>126</v>
      </c>
      <c r="C91" s="81">
        <v>2000</v>
      </c>
      <c r="E91" s="81">
        <v>13</v>
      </c>
      <c r="F91" s="81" t="str">
        <f>REPLACE(C91,3,2,E91)</f>
        <v>2013</v>
      </c>
    </row>
    <row r="92" spans="2:8" s="81" customFormat="1" x14ac:dyDescent="0.25">
      <c r="C92" s="81" t="s">
        <v>1093</v>
      </c>
      <c r="E92" s="81" t="s">
        <v>1098</v>
      </c>
      <c r="F92" s="81" t="str">
        <f>REPLACE(C92,1,15,E92)</f>
        <v>xxxx1484</v>
      </c>
    </row>
    <row r="93" spans="2:8" s="81" customFormat="1" x14ac:dyDescent="0.25">
      <c r="C93" s="81" t="s">
        <v>1094</v>
      </c>
      <c r="F93" s="81" t="s">
        <v>1096</v>
      </c>
      <c r="H93" s="81" t="str">
        <f>REPLACE(C93,22,99,F93)</f>
        <v>My favorite actor is Christopher Walken</v>
      </c>
    </row>
    <row r="94" spans="2:8" s="81" customFormat="1" x14ac:dyDescent="0.25">
      <c r="C94" s="81" t="s">
        <v>1095</v>
      </c>
      <c r="F94" s="81" t="s">
        <v>1097</v>
      </c>
      <c r="H94" s="81" t="str">
        <f>REPLACE(C94,22,99,F94)</f>
        <v>My favorite actor is Halle Berry</v>
      </c>
    </row>
    <row r="95" spans="2:8" s="81" customFormat="1" x14ac:dyDescent="0.25"/>
    <row r="96" spans="2:8" s="81" customFormat="1" x14ac:dyDescent="0.25">
      <c r="B96" s="81" t="s">
        <v>149</v>
      </c>
      <c r="F96" s="84" t="s">
        <v>149</v>
      </c>
      <c r="H96" s="84" t="s">
        <v>1108</v>
      </c>
    </row>
    <row r="97" spans="2:8" s="81" customFormat="1" x14ac:dyDescent="0.25">
      <c r="C97" s="81" t="s">
        <v>1102</v>
      </c>
      <c r="E97" s="81" t="s">
        <v>1105</v>
      </c>
      <c r="F97" s="81">
        <f>FIND(E97,C97)</f>
        <v>12</v>
      </c>
      <c r="G97" s="81" t="s">
        <v>1107</v>
      </c>
      <c r="H97" s="81" t="str">
        <f>REPLACE(C97,F97+1,99,G97)</f>
        <v>Cell Phone #xxx-xxx-xxxx</v>
      </c>
    </row>
    <row r="98" spans="2:8" s="81" customFormat="1" x14ac:dyDescent="0.25">
      <c r="C98" s="81" t="s">
        <v>1103</v>
      </c>
      <c r="E98" s="81" t="s">
        <v>1105</v>
      </c>
      <c r="F98" s="81">
        <f>FIND(E98,C98)</f>
        <v>14</v>
      </c>
      <c r="G98" s="81" t="s">
        <v>1107</v>
      </c>
      <c r="H98" s="81" t="str">
        <f t="shared" ref="H98" si="2">REPLACE(C98,F98+1,99,G98)</f>
        <v>Mobile Phone #xxx-xxx-xxxx</v>
      </c>
    </row>
    <row r="99" spans="2:8" s="81" customFormat="1" x14ac:dyDescent="0.25">
      <c r="C99" s="81" t="s">
        <v>1100</v>
      </c>
      <c r="E99" s="81" t="s">
        <v>1106</v>
      </c>
      <c r="F99" s="81">
        <f>FIND(E99,C99)</f>
        <v>23</v>
      </c>
      <c r="G99" s="81" t="s">
        <v>1101</v>
      </c>
      <c r="H99" s="81" t="str">
        <f>REPLACE(C99,F99+2,99,G99)</f>
        <v>Most talented comedian: Jerry Seinfeld</v>
      </c>
    </row>
    <row r="100" spans="2:8" s="81" customFormat="1" x14ac:dyDescent="0.25">
      <c r="C100" s="81" t="s">
        <v>1104</v>
      </c>
      <c r="E100" s="81" t="s">
        <v>1106</v>
      </c>
      <c r="F100" s="81">
        <f>FIND(E100,C100)</f>
        <v>24</v>
      </c>
      <c r="G100" s="81" t="s">
        <v>1099</v>
      </c>
      <c r="H100" s="81" t="str">
        <f>REPLACE(C100,F100+2,99,G100)</f>
        <v>Most respected comedian: Louis C. K.</v>
      </c>
    </row>
    <row r="101" spans="2:8" s="81" customFormat="1" x14ac:dyDescent="0.25"/>
    <row r="102" spans="2:8" s="81" customFormat="1" x14ac:dyDescent="0.25">
      <c r="B102" s="81" t="s">
        <v>127</v>
      </c>
      <c r="C102" s="81" t="s">
        <v>1111</v>
      </c>
      <c r="D102" s="81" t="str">
        <f>LEFT(C102,1)</f>
        <v>B</v>
      </c>
    </row>
    <row r="103" spans="2:8" s="81" customFormat="1" x14ac:dyDescent="0.25">
      <c r="C103" s="81" t="s">
        <v>1110</v>
      </c>
      <c r="D103" s="81" t="str">
        <f>LEFT(C103,3)</f>
        <v>Dr.</v>
      </c>
    </row>
    <row r="104" spans="2:8" s="81" customFormat="1" x14ac:dyDescent="0.25"/>
    <row r="105" spans="2:8" s="81" customFormat="1" x14ac:dyDescent="0.25">
      <c r="B105" s="81" t="s">
        <v>128</v>
      </c>
      <c r="C105" s="81" t="s">
        <v>1109</v>
      </c>
      <c r="D105" s="81" t="str">
        <f>RIGHT(C105,3)</f>
        <v>Jr.</v>
      </c>
    </row>
    <row r="106" spans="2:8" s="81" customFormat="1" x14ac:dyDescent="0.25"/>
    <row r="107" spans="2:8" s="81" customFormat="1" x14ac:dyDescent="0.25">
      <c r="B107" s="81" t="s">
        <v>129</v>
      </c>
      <c r="C107" s="81" t="s">
        <v>1112</v>
      </c>
      <c r="D107" s="81" t="str">
        <f>MID(C107,8,1)</f>
        <v>O</v>
      </c>
    </row>
    <row r="108" spans="2:8" s="81" customFormat="1" x14ac:dyDescent="0.25">
      <c r="C108" s="81" t="s">
        <v>1114</v>
      </c>
      <c r="D108" s="81" t="str">
        <f>MID(C108,6,99)</f>
        <v>Clinton</v>
      </c>
    </row>
    <row r="109" spans="2:8" s="81" customFormat="1" x14ac:dyDescent="0.25">
      <c r="C109" s="81" t="s">
        <v>1113</v>
      </c>
      <c r="D109" s="81" t="str">
        <f>MID(C109,8,2)</f>
        <v>W.</v>
      </c>
    </row>
    <row r="110" spans="2:8" s="81" customFormat="1" x14ac:dyDescent="0.25">
      <c r="C110" s="81" t="s">
        <v>1115</v>
      </c>
      <c r="D110" s="81" t="str">
        <f>MID(C110,9,2)</f>
        <v>M.</v>
      </c>
    </row>
    <row r="111" spans="2:8" s="81" customFormat="1" x14ac:dyDescent="0.25"/>
    <row r="112" spans="2:8" s="81" customFormat="1" x14ac:dyDescent="0.25"/>
    <row r="113" spans="2:6" s="81" customFormat="1" x14ac:dyDescent="0.25">
      <c r="B113" s="81" t="s">
        <v>130</v>
      </c>
      <c r="C113" s="84" t="s">
        <v>1116</v>
      </c>
      <c r="D113" s="84" t="s">
        <v>1117</v>
      </c>
      <c r="E113" s="84" t="s">
        <v>1122</v>
      </c>
      <c r="F113" s="84" t="s">
        <v>1123</v>
      </c>
    </row>
    <row r="114" spans="2:6" s="81" customFormat="1" x14ac:dyDescent="0.25">
      <c r="C114" s="81" t="s">
        <v>1118</v>
      </c>
      <c r="D114" s="81" t="s">
        <v>1119</v>
      </c>
      <c r="E114" s="81" t="str">
        <f>CONCATENATE(C114," ",D114)</f>
        <v>Jon Stewart</v>
      </c>
      <c r="F114" s="81" t="s">
        <v>1124</v>
      </c>
    </row>
    <row r="115" spans="2:6" s="81" customFormat="1" x14ac:dyDescent="0.25">
      <c r="C115" s="81" t="s">
        <v>1120</v>
      </c>
      <c r="D115" s="81" t="s">
        <v>1121</v>
      </c>
      <c r="E115" s="81" t="str">
        <f>CONCATENATE(C115," ",D115)</f>
        <v>Stephen Colbert</v>
      </c>
      <c r="F115" s="81" t="str">
        <f>C115 &amp; " " &amp; D115</f>
        <v>Stephen Colbert</v>
      </c>
    </row>
    <row r="116" spans="2:6" s="81" customFormat="1" x14ac:dyDescent="0.25"/>
    <row r="117" spans="2:6" s="81" customFormat="1" x14ac:dyDescent="0.25">
      <c r="B117" s="81" t="s">
        <v>131</v>
      </c>
      <c r="C117" s="81" t="str">
        <f ca="1">TEXT(F118,"mm/dd/yy")</f>
        <v>05/07/13</v>
      </c>
    </row>
    <row r="118" spans="2:6" s="81" customFormat="1" x14ac:dyDescent="0.25">
      <c r="C118" s="81" t="str">
        <f ca="1">"Today's Date: " &amp; TEXT(F118,"mm/dd/yy")</f>
        <v>Today's Date: 05/07/13</v>
      </c>
      <c r="F118" s="86">
        <f ca="1">TODAY()</f>
        <v>41401</v>
      </c>
    </row>
    <row r="119" spans="2:6" s="81" customFormat="1" x14ac:dyDescent="0.25">
      <c r="C119" s="81" t="str">
        <f>"Happiness increased by "&amp; TEXT(F119,"#%") &amp;" as a result of this course."</f>
        <v>Happiness increased by 250% as a result of this course.</v>
      </c>
      <c r="F119" s="85">
        <v>2.5</v>
      </c>
    </row>
    <row r="120" spans="2:6" s="81" customFormat="1" x14ac:dyDescent="0.25"/>
    <row r="121" spans="2:6" s="81" customFormat="1" x14ac:dyDescent="0.25"/>
    <row r="122" spans="2:6" s="81" customFormat="1" x14ac:dyDescent="0.25">
      <c r="B122" s="82" t="s">
        <v>113</v>
      </c>
    </row>
    <row r="123" spans="2:6" s="81" customFormat="1" x14ac:dyDescent="0.25">
      <c r="B123" s="81" t="s">
        <v>132</v>
      </c>
    </row>
    <row r="124" spans="2:6" s="81" customFormat="1" x14ac:dyDescent="0.25">
      <c r="B124" s="81" t="s">
        <v>133</v>
      </c>
      <c r="C124" s="81">
        <v>90.615958045678823</v>
      </c>
      <c r="D124" s="81">
        <f>ROUND(C124,0)</f>
        <v>91</v>
      </c>
    </row>
    <row r="125" spans="2:6" s="81" customFormat="1" x14ac:dyDescent="0.25">
      <c r="B125" s="81" t="s">
        <v>134</v>
      </c>
      <c r="C125" s="81">
        <v>90.615958045678823</v>
      </c>
      <c r="D125" s="81">
        <f>ROUNDUP(C125,0)</f>
        <v>91</v>
      </c>
    </row>
    <row r="126" spans="2:6" s="81" customFormat="1" x14ac:dyDescent="0.25">
      <c r="B126" s="81" t="s">
        <v>135</v>
      </c>
      <c r="C126" s="81">
        <v>90.615958045678823</v>
      </c>
      <c r="D126" s="81">
        <f>ROUNDDOWN(C126,0)</f>
        <v>90</v>
      </c>
    </row>
    <row r="127" spans="2:6" s="81" customFormat="1" x14ac:dyDescent="0.25"/>
    <row r="128" spans="2:6" s="81" customFormat="1" x14ac:dyDescent="0.25">
      <c r="B128" s="81" t="s">
        <v>136</v>
      </c>
      <c r="C128" s="81">
        <f ca="1">RAND()</f>
        <v>0.46394708400325191</v>
      </c>
      <c r="D128" s="81">
        <f ca="1">ROUND(C128*1000,0)</f>
        <v>464</v>
      </c>
      <c r="E128" s="81">
        <v>5.3455763420311331E-2</v>
      </c>
      <c r="F128" s="81" t="s">
        <v>1130</v>
      </c>
    </row>
    <row r="129" spans="2:6" s="81" customFormat="1" x14ac:dyDescent="0.25">
      <c r="E129" s="81">
        <v>0.29881315527791019</v>
      </c>
      <c r="F129" s="81" t="s">
        <v>1129</v>
      </c>
    </row>
    <row r="130" spans="2:6" s="81" customFormat="1" x14ac:dyDescent="0.25">
      <c r="E130" s="81">
        <v>0.83462667050998385</v>
      </c>
      <c r="F130" s="81" t="s">
        <v>1128</v>
      </c>
    </row>
    <row r="131" spans="2:6" s="81" customFormat="1" x14ac:dyDescent="0.25"/>
    <row r="132" spans="2:6" s="81" customFormat="1" x14ac:dyDescent="0.25">
      <c r="B132" s="81" t="s">
        <v>137</v>
      </c>
      <c r="C132" s="81">
        <f ca="1">RANDBETWEEN(E133,F133)</f>
        <v>85</v>
      </c>
      <c r="E132" s="2" t="s">
        <v>1126</v>
      </c>
      <c r="F132" s="2" t="s">
        <v>1127</v>
      </c>
    </row>
    <row r="133" spans="2:6" s="81" customFormat="1" x14ac:dyDescent="0.25">
      <c r="E133" s="2">
        <v>1</v>
      </c>
      <c r="F133" s="2">
        <v>100</v>
      </c>
    </row>
    <row r="134" spans="2:6" s="81" customFormat="1" x14ac:dyDescent="0.25">
      <c r="E134" s="2"/>
      <c r="F134" s="2"/>
    </row>
    <row r="135" spans="2:6" s="81" customFormat="1" x14ac:dyDescent="0.25">
      <c r="C135" s="81" t="s">
        <v>1131</v>
      </c>
      <c r="D135" s="81" t="s">
        <v>1132</v>
      </c>
      <c r="E135" s="2"/>
      <c r="F135" s="2"/>
    </row>
    <row r="136" spans="2:6" s="81" customFormat="1" x14ac:dyDescent="0.25">
      <c r="B136" s="81" t="s">
        <v>138</v>
      </c>
      <c r="C136" s="81">
        <v>72837</v>
      </c>
      <c r="D136" s="81" t="b">
        <f>ISNUMBER(C136)</f>
        <v>1</v>
      </c>
    </row>
    <row r="137" spans="2:6" s="81" customFormat="1" x14ac:dyDescent="0.25">
      <c r="B137" s="81" t="s">
        <v>139</v>
      </c>
      <c r="C137" s="81" t="s">
        <v>1133</v>
      </c>
      <c r="D137" s="81" t="b">
        <f>ISTEXT(C137)</f>
        <v>1</v>
      </c>
    </row>
    <row r="138" spans="2:6" s="81" customFormat="1" x14ac:dyDescent="0.25">
      <c r="B138" s="81" t="s">
        <v>140</v>
      </c>
      <c r="D138" s="81" t="b">
        <f>ISBLANK(C138)</f>
        <v>1</v>
      </c>
    </row>
    <row r="139" spans="2:6" s="81" customFormat="1" x14ac:dyDescent="0.25">
      <c r="B139" s="81" t="s">
        <v>141</v>
      </c>
      <c r="C139" s="81">
        <v>1324</v>
      </c>
      <c r="D139" s="81" t="b">
        <f>ISEVEN(C139)</f>
        <v>1</v>
      </c>
    </row>
    <row r="140" spans="2:6" s="81" customFormat="1" x14ac:dyDescent="0.25">
      <c r="B140" s="81" t="s">
        <v>142</v>
      </c>
      <c r="C140" s="81">
        <v>1325</v>
      </c>
      <c r="D140" s="81" t="b">
        <f>ISODD(C140)</f>
        <v>1</v>
      </c>
    </row>
    <row r="141" spans="2:6" s="81" customFormat="1" x14ac:dyDescent="0.25"/>
    <row r="142" spans="2:6" s="81" customFormat="1" x14ac:dyDescent="0.25">
      <c r="B142" s="81" t="s">
        <v>150</v>
      </c>
      <c r="C142" s="88" t="s">
        <v>1134</v>
      </c>
      <c r="D142" s="89">
        <f>VALUE(RIGHT(C142,9))</f>
        <v>41350</v>
      </c>
    </row>
    <row r="143" spans="2:6" s="81" customFormat="1" x14ac:dyDescent="0.25">
      <c r="C143" s="87"/>
    </row>
    <row r="144" spans="2:6" s="81" customFormat="1" x14ac:dyDescent="0.25"/>
    <row r="145" spans="1:5" s="81" customFormat="1" x14ac:dyDescent="0.25">
      <c r="B145" s="82" t="s">
        <v>143</v>
      </c>
    </row>
    <row r="146" spans="1:5" s="81" customFormat="1" x14ac:dyDescent="0.25">
      <c r="B146" s="81" t="s">
        <v>119</v>
      </c>
      <c r="C146" s="90" t="s">
        <v>1139</v>
      </c>
    </row>
    <row r="147" spans="1:5" s="81" customFormat="1" x14ac:dyDescent="0.25">
      <c r="B147" s="81" t="s">
        <v>120</v>
      </c>
      <c r="C147" s="2" t="s">
        <v>1135</v>
      </c>
      <c r="D147" s="81" t="s">
        <v>1136</v>
      </c>
      <c r="E147" s="81" t="str">
        <f>IF(-1,"Hooray!","Oops!")</f>
        <v>Hooray!</v>
      </c>
    </row>
    <row r="148" spans="1:5" s="81" customFormat="1" x14ac:dyDescent="0.25">
      <c r="B148" s="81" t="s">
        <v>121</v>
      </c>
      <c r="C148" s="81" t="b">
        <v>1</v>
      </c>
      <c r="D148" s="81" t="s">
        <v>1137</v>
      </c>
    </row>
    <row r="149" spans="1:5" s="81" customFormat="1" x14ac:dyDescent="0.25">
      <c r="B149" s="81" t="s">
        <v>122</v>
      </c>
      <c r="C149" s="81" t="b">
        <v>0</v>
      </c>
      <c r="D149" s="81" t="s">
        <v>1138</v>
      </c>
    </row>
    <row r="150" spans="1:5" s="81" customFormat="1" x14ac:dyDescent="0.25"/>
    <row r="151" spans="1:5" s="81" customFormat="1" x14ac:dyDescent="0.25">
      <c r="B151" s="83" t="s">
        <v>1067</v>
      </c>
    </row>
    <row r="152" spans="1:5" s="81" customFormat="1" x14ac:dyDescent="0.25">
      <c r="A152" s="91">
        <v>1</v>
      </c>
      <c r="B152" s="81" t="s">
        <v>970</v>
      </c>
    </row>
    <row r="153" spans="1:5" s="81" customFormat="1" x14ac:dyDescent="0.25">
      <c r="A153" s="91">
        <v>2</v>
      </c>
      <c r="B153" s="81" t="s">
        <v>965</v>
      </c>
    </row>
    <row r="154" spans="1:5" s="81" customFormat="1" x14ac:dyDescent="0.25">
      <c r="A154" s="91">
        <v>3</v>
      </c>
      <c r="B154" s="81" t="s">
        <v>966</v>
      </c>
    </row>
    <row r="155" spans="1:5" s="81" customFormat="1" x14ac:dyDescent="0.25">
      <c r="A155" s="91">
        <v>4</v>
      </c>
      <c r="B155" s="81" t="s">
        <v>971</v>
      </c>
    </row>
    <row r="156" spans="1:5" s="81" customFormat="1" x14ac:dyDescent="0.25">
      <c r="A156" s="91">
        <v>5</v>
      </c>
      <c r="B156" s="81" t="s">
        <v>978</v>
      </c>
    </row>
    <row r="157" spans="1:5" s="81" customFormat="1" x14ac:dyDescent="0.25">
      <c r="A157" s="91">
        <v>6</v>
      </c>
      <c r="B157" s="81" t="s">
        <v>1043</v>
      </c>
    </row>
    <row r="158" spans="1:5" s="81" customFormat="1" x14ac:dyDescent="0.25">
      <c r="A158" s="91">
        <v>7</v>
      </c>
      <c r="B158" s="81" t="s">
        <v>973</v>
      </c>
    </row>
    <row r="159" spans="1:5" s="81" customFormat="1" x14ac:dyDescent="0.25">
      <c r="A159" s="91"/>
      <c r="B159" s="81" t="s">
        <v>975</v>
      </c>
    </row>
    <row r="160" spans="1:5" s="81" customFormat="1" x14ac:dyDescent="0.25">
      <c r="A160" s="91">
        <v>8</v>
      </c>
      <c r="B160" s="81" t="s">
        <v>974</v>
      </c>
    </row>
    <row r="161" spans="1:8" s="81" customFormat="1" x14ac:dyDescent="0.25">
      <c r="A161" s="91"/>
      <c r="B161" s="81" t="s">
        <v>976</v>
      </c>
    </row>
    <row r="162" spans="1:8" s="81" customFormat="1" x14ac:dyDescent="0.25">
      <c r="A162" s="91">
        <v>9</v>
      </c>
      <c r="B162" s="81" t="s">
        <v>977</v>
      </c>
    </row>
    <row r="163" spans="1:8" s="81" customFormat="1" x14ac:dyDescent="0.25"/>
    <row r="164" spans="1:8" x14ac:dyDescent="0.25">
      <c r="B164" s="14" t="s">
        <v>155</v>
      </c>
    </row>
    <row r="165" spans="1:8" x14ac:dyDescent="0.25">
      <c r="B165" s="99" t="s">
        <v>154</v>
      </c>
      <c r="C165" s="99"/>
      <c r="D165" s="99"/>
      <c r="E165" s="99"/>
      <c r="F165" s="99"/>
      <c r="G165" s="99"/>
      <c r="H165" s="99"/>
    </row>
    <row r="166" spans="1:8" x14ac:dyDescent="0.25">
      <c r="B166" s="99"/>
      <c r="C166" s="99"/>
      <c r="D166" s="99"/>
      <c r="E166" s="99"/>
      <c r="F166" s="99"/>
      <c r="G166" s="99"/>
      <c r="H166" s="99"/>
    </row>
    <row r="167" spans="1:8" x14ac:dyDescent="0.25">
      <c r="B167" s="99"/>
      <c r="C167" s="99"/>
      <c r="D167" s="99"/>
      <c r="E167" s="99"/>
      <c r="F167" s="99"/>
      <c r="G167" s="99"/>
      <c r="H167" s="99"/>
    </row>
    <row r="168" spans="1:8" x14ac:dyDescent="0.25">
      <c r="B168" s="99"/>
      <c r="C168" s="99"/>
      <c r="D168" s="99"/>
      <c r="E168" s="99"/>
      <c r="F168" s="99"/>
      <c r="G168" s="99"/>
      <c r="H168" s="99"/>
    </row>
    <row r="170" spans="1:8" x14ac:dyDescent="0.25">
      <c r="B170" s="13" t="s">
        <v>118</v>
      </c>
    </row>
    <row r="171" spans="1:8" x14ac:dyDescent="0.25">
      <c r="A171">
        <v>1</v>
      </c>
      <c r="B171" t="s">
        <v>145</v>
      </c>
    </row>
    <row r="172" spans="1:8" x14ac:dyDescent="0.25">
      <c r="A172">
        <v>2</v>
      </c>
      <c r="B172" t="s">
        <v>146</v>
      </c>
    </row>
    <row r="173" spans="1:8" x14ac:dyDescent="0.25">
      <c r="A173">
        <v>3</v>
      </c>
      <c r="B173" t="s">
        <v>153</v>
      </c>
    </row>
    <row r="174" spans="1:8" x14ac:dyDescent="0.25">
      <c r="A174">
        <v>4</v>
      </c>
      <c r="B174" t="s">
        <v>147</v>
      </c>
    </row>
    <row r="175" spans="1:8" x14ac:dyDescent="0.25">
      <c r="A175">
        <v>5</v>
      </c>
      <c r="B175" t="s">
        <v>148</v>
      </c>
    </row>
    <row r="177" spans="1:5" x14ac:dyDescent="0.25">
      <c r="B177" s="14" t="s">
        <v>1068</v>
      </c>
    </row>
    <row r="178" spans="1:5" x14ac:dyDescent="0.25">
      <c r="A178" s="74">
        <v>1</v>
      </c>
      <c r="B178" t="s">
        <v>156</v>
      </c>
    </row>
    <row r="179" spans="1:5" x14ac:dyDescent="0.25">
      <c r="A179" s="74">
        <v>2</v>
      </c>
      <c r="B179" t="s">
        <v>157</v>
      </c>
    </row>
    <row r="180" spans="1:5" x14ac:dyDescent="0.25">
      <c r="A180" s="74">
        <v>3</v>
      </c>
      <c r="B180" t="s">
        <v>967</v>
      </c>
    </row>
    <row r="181" spans="1:5" x14ac:dyDescent="0.25">
      <c r="A181" s="74">
        <v>4</v>
      </c>
      <c r="B181" t="s">
        <v>968</v>
      </c>
    </row>
    <row r="182" spans="1:5" x14ac:dyDescent="0.25">
      <c r="A182" s="74">
        <v>5</v>
      </c>
      <c r="B182" t="s">
        <v>1171</v>
      </c>
    </row>
    <row r="183" spans="1:5" x14ac:dyDescent="0.25">
      <c r="A183" s="74">
        <v>6</v>
      </c>
      <c r="B183" t="s">
        <v>1170</v>
      </c>
    </row>
    <row r="185" spans="1:5" x14ac:dyDescent="0.25">
      <c r="B185" s="13" t="s">
        <v>1189</v>
      </c>
      <c r="C185" s="5" t="s">
        <v>1091</v>
      </c>
    </row>
    <row r="186" spans="1:5" x14ac:dyDescent="0.25">
      <c r="B186" t="s">
        <v>1190</v>
      </c>
      <c r="C186" t="s">
        <v>1193</v>
      </c>
      <c r="D186" t="s">
        <v>1197</v>
      </c>
      <c r="E186" t="s">
        <v>1198</v>
      </c>
    </row>
    <row r="187" spans="1:5" x14ac:dyDescent="0.25">
      <c r="C187" t="s">
        <v>1194</v>
      </c>
      <c r="D187" t="s">
        <v>1199</v>
      </c>
      <c r="E187" t="s">
        <v>1200</v>
      </c>
    </row>
    <row r="188" spans="1:5" x14ac:dyDescent="0.25">
      <c r="C188" t="s">
        <v>1195</v>
      </c>
      <c r="D188" t="s">
        <v>1201</v>
      </c>
      <c r="E188" t="s">
        <v>1202</v>
      </c>
    </row>
    <row r="189" spans="1:5" x14ac:dyDescent="0.25">
      <c r="C189" t="s">
        <v>1196</v>
      </c>
      <c r="D189" t="s">
        <v>1201</v>
      </c>
      <c r="E189" t="s">
        <v>1203</v>
      </c>
    </row>
    <row r="191" spans="1:5" x14ac:dyDescent="0.25">
      <c r="B191" t="s">
        <v>1191</v>
      </c>
    </row>
    <row r="193" spans="2:4" x14ac:dyDescent="0.25">
      <c r="B193" t="s">
        <v>1192</v>
      </c>
      <c r="C193" t="s">
        <v>1204</v>
      </c>
      <c r="D193" s="1">
        <v>40</v>
      </c>
    </row>
    <row r="194" spans="2:4" x14ac:dyDescent="0.25">
      <c r="C194" t="s">
        <v>1206</v>
      </c>
      <c r="D194">
        <v>2</v>
      </c>
    </row>
    <row r="195" spans="2:4" x14ac:dyDescent="0.25">
      <c r="C195" t="s">
        <v>1205</v>
      </c>
      <c r="D195">
        <v>6.25</v>
      </c>
    </row>
    <row r="196" spans="2:4" ht="15.75" thickBot="1" x14ac:dyDescent="0.3">
      <c r="C196" s="97" t="s">
        <v>1208</v>
      </c>
      <c r="D196" s="98">
        <v>200</v>
      </c>
    </row>
    <row r="197" spans="2:4" ht="15.75" thickTop="1" x14ac:dyDescent="0.25">
      <c r="C197" t="s">
        <v>1207</v>
      </c>
      <c r="D197" s="1">
        <f>D193*D194*D195-D196</f>
        <v>300</v>
      </c>
    </row>
  </sheetData>
  <sortState ref="E128:F130">
    <sortCondition ref="E128"/>
  </sortState>
  <mergeCells count="1">
    <mergeCell ref="B165:H168"/>
  </mergeCells>
  <pageMargins left="0.7" right="0.7" top="0.75" bottom="0.75" header="0.3" footer="0.3"/>
  <pageSetup paperSize="12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1"/>
  <sheetViews>
    <sheetView zoomScale="125" zoomScaleNormal="125" workbookViewId="0">
      <pane xSplit="3" ySplit="1" topLeftCell="D2" activePane="bottomRight" state="frozen"/>
      <selection pane="topRight" activeCell="C1" sqref="C1"/>
      <selection pane="bottomLeft" activeCell="A2" sqref="A2"/>
      <selection pane="bottomRight" activeCell="A4" sqref="A4"/>
    </sheetView>
  </sheetViews>
  <sheetFormatPr defaultColWidth="15.7109375" defaultRowHeight="15" outlineLevelCol="1" x14ac:dyDescent="0.25"/>
  <cols>
    <col min="1" max="1" width="11.28515625" style="2" customWidth="1"/>
    <col min="2" max="2" width="14.85546875" style="2" bestFit="1" customWidth="1"/>
    <col min="3" max="6" width="10.28515625" style="3" customWidth="1"/>
    <col min="7" max="11" width="10.28515625" style="76" customWidth="1"/>
    <col min="12" max="12" width="11.140625" style="76" customWidth="1"/>
    <col min="13" max="13" width="8.85546875" style="3" bestFit="1" customWidth="1"/>
    <col min="14" max="14" width="8.85546875" style="78" customWidth="1"/>
    <col min="15" max="15" width="9.85546875" style="11" customWidth="1"/>
    <col min="16" max="18" width="9.85546875" style="94" hidden="1" customWidth="1" outlineLevel="1"/>
    <col min="19" max="19" width="12.85546875" style="94" customWidth="1" collapsed="1"/>
    <col min="20" max="20" width="14.140625" bestFit="1" customWidth="1"/>
    <col min="21" max="21" width="20.42578125" customWidth="1"/>
    <col min="22" max="22" width="23.28515625" bestFit="1" customWidth="1"/>
    <col min="23" max="23" width="20.42578125" bestFit="1" customWidth="1"/>
    <col min="24" max="24" width="19.140625" bestFit="1" customWidth="1"/>
    <col min="25" max="25" width="8.42578125" style="1" bestFit="1" customWidth="1"/>
    <col min="26" max="26" width="22" style="1" bestFit="1" customWidth="1"/>
    <col min="27" max="27" width="9.7109375" style="1" customWidth="1"/>
    <col min="28" max="28" width="8.7109375" style="16" bestFit="1" customWidth="1"/>
    <col min="29" max="29" width="8.85546875" style="2" bestFit="1" customWidth="1"/>
    <col min="30" max="30" width="8.85546875" style="3" customWidth="1"/>
    <col min="31" max="31" width="8.85546875" style="2" customWidth="1"/>
    <col min="32" max="32" width="8.42578125" style="2" customWidth="1"/>
    <col min="33" max="33" width="20.7109375" bestFit="1" customWidth="1"/>
    <col min="35" max="35" width="28.42578125" bestFit="1" customWidth="1"/>
  </cols>
  <sheetData>
    <row r="1" spans="1:36" s="71" customFormat="1" ht="45" x14ac:dyDescent="0.25">
      <c r="A1" s="67" t="s">
        <v>958</v>
      </c>
      <c r="B1" s="67" t="s">
        <v>1166</v>
      </c>
      <c r="C1" s="73" t="s">
        <v>66</v>
      </c>
      <c r="D1" s="73" t="s">
        <v>1176</v>
      </c>
      <c r="E1" s="73" t="s">
        <v>1079</v>
      </c>
      <c r="F1" s="73" t="s">
        <v>1080</v>
      </c>
      <c r="G1" s="75" t="s">
        <v>1070</v>
      </c>
      <c r="H1" s="75" t="s">
        <v>1162</v>
      </c>
      <c r="I1" s="75" t="s">
        <v>1071</v>
      </c>
      <c r="J1" s="75" t="s">
        <v>1072</v>
      </c>
      <c r="K1" s="75" t="s">
        <v>1163</v>
      </c>
      <c r="L1" s="75" t="s">
        <v>1073</v>
      </c>
      <c r="M1" s="68" t="s">
        <v>67</v>
      </c>
      <c r="N1" s="77" t="s">
        <v>1069</v>
      </c>
      <c r="O1" s="72" t="s">
        <v>68</v>
      </c>
      <c r="P1" s="75" t="s">
        <v>1173</v>
      </c>
      <c r="Q1" s="75" t="s">
        <v>1174</v>
      </c>
      <c r="R1" s="75" t="s">
        <v>1175</v>
      </c>
      <c r="S1" s="75" t="s">
        <v>1181</v>
      </c>
      <c r="T1" s="69" t="s">
        <v>70</v>
      </c>
      <c r="U1" s="69" t="s">
        <v>71</v>
      </c>
      <c r="V1" s="69" t="s">
        <v>1164</v>
      </c>
      <c r="W1" s="69" t="s">
        <v>69</v>
      </c>
      <c r="X1" s="69" t="s">
        <v>72</v>
      </c>
      <c r="Y1" s="70" t="s">
        <v>73</v>
      </c>
      <c r="Z1" s="79" t="s">
        <v>1177</v>
      </c>
      <c r="AA1" s="79" t="s">
        <v>1074</v>
      </c>
      <c r="AB1" s="67" t="s">
        <v>74</v>
      </c>
      <c r="AC1" s="67" t="s">
        <v>151</v>
      </c>
      <c r="AD1" s="92" t="s">
        <v>1165</v>
      </c>
      <c r="AE1" s="71" t="s">
        <v>1167</v>
      </c>
      <c r="AF1" s="71" t="s">
        <v>972</v>
      </c>
      <c r="AG1" s="71" t="s">
        <v>1172</v>
      </c>
    </row>
    <row r="2" spans="1:36" x14ac:dyDescent="0.25">
      <c r="A2" s="2">
        <v>1</v>
      </c>
      <c r="B2" s="3" t="str">
        <f t="shared" ref="B2:B65" si="0">TEXT(C2,"yymmdd") &amp; "-" &amp; UPPER(LEFT(T2,2)) &amp; "-" &amp; UPPER(LEFT(W2,3))</f>
        <v>120904-ED-ANT</v>
      </c>
      <c r="C2" s="3">
        <v>41156</v>
      </c>
      <c r="D2" s="3">
        <f>WORKDAY(C2,10)</f>
        <v>41170</v>
      </c>
      <c r="E2" s="3">
        <f>EDATE(C2,2)</f>
        <v>41217</v>
      </c>
      <c r="F2" s="3">
        <f>EOMONTH(C2,0)</f>
        <v>41182</v>
      </c>
      <c r="G2" s="76">
        <f>YEAR(C2)</f>
        <v>2012</v>
      </c>
      <c r="H2" s="76">
        <f>MONTH(C2)</f>
        <v>9</v>
      </c>
      <c r="I2" s="76" t="str">
        <f>VLOOKUP(H2,'Lookup Values'!$C$2:$D$13,2,FALSE)</f>
        <v>SEP</v>
      </c>
      <c r="J2" s="76">
        <f>DAY(C2)</f>
        <v>4</v>
      </c>
      <c r="K2" s="76">
        <f>WEEKDAY(C2)</f>
        <v>3</v>
      </c>
      <c r="L2" s="76" t="str">
        <f>VLOOKUP(K2,'Lookup Values'!$F$2:$G$8,2,FALSE)</f>
        <v>Tuesday</v>
      </c>
      <c r="M2" s="3">
        <v>41159</v>
      </c>
      <c r="N2" s="78">
        <f t="shared" ref="N2:N65" si="1">M2-C2</f>
        <v>3</v>
      </c>
      <c r="O2" s="11">
        <v>0.92594754125034806</v>
      </c>
      <c r="P2" s="94">
        <f>HOUR(O2)</f>
        <v>22</v>
      </c>
      <c r="Q2" s="94">
        <f>MINUTE(O2)</f>
        <v>13</v>
      </c>
      <c r="R2" s="94">
        <f>SECOND(O2)</f>
        <v>22</v>
      </c>
      <c r="S2" s="94" t="str">
        <f>VLOOKUP(O2,'Lookup Values'!$I$2:$L$8,4,TRUE)</f>
        <v>Late Evening</v>
      </c>
      <c r="T2" t="s">
        <v>86</v>
      </c>
      <c r="U2" t="s">
        <v>87</v>
      </c>
      <c r="V2" t="str">
        <f>T2 &amp; ": " &amp; U2</f>
        <v>Education: Tango Lessons</v>
      </c>
      <c r="W2" t="s">
        <v>85</v>
      </c>
      <c r="X2" t="s">
        <v>88</v>
      </c>
      <c r="Y2" s="1">
        <v>158</v>
      </c>
      <c r="Z2" s="1" t="str">
        <f>T2 &amp; ": " &amp; TEXT(Y2,"$#,###.00")</f>
        <v>Education: $158.00</v>
      </c>
      <c r="AA2" s="1">
        <f>IF(Y2="","",ROUND(Y2*'Lookup Values'!$A$2,2))</f>
        <v>14.02</v>
      </c>
      <c r="AB2" s="12" t="str">
        <f>IF(T2="Income","Income","Expense")</f>
        <v>Expense</v>
      </c>
      <c r="AC2" s="2" t="s">
        <v>165</v>
      </c>
      <c r="AD2" s="3">
        <f>VALUE(SUBSTITUTE(AC2,".","/"))</f>
        <v>41156</v>
      </c>
      <c r="AE2" s="93" t="str">
        <f>IF(OR(T2="Transportation",U2="Professional Development",U2="Electronics"),"YES","NO")</f>
        <v>NO</v>
      </c>
      <c r="AF2" s="2" t="str">
        <f>IF(AND(AE2="YES",Y2&gt;=400),"YES","NO")</f>
        <v>NO</v>
      </c>
      <c r="AG2" t="str">
        <f>IF(AND(AND(G2&gt;=2007,G2&lt;=2009),OR(W2&lt;&gt;"MTA",W2&lt;&gt;"Fandango"),OR(T2="Food",T2="Shopping",T2="Entertainment")),"Awesome Transaction",IF(AND(G2&lt;=2010,U2&lt;&gt;"Alcohol"),"Late Transaction",IF(G2=2006,"Early Transaction","CRAP Transaction")))</f>
        <v>CRAP Transaction</v>
      </c>
    </row>
    <row r="3" spans="1:36" x14ac:dyDescent="0.25">
      <c r="A3" s="2">
        <v>2</v>
      </c>
      <c r="B3" s="3" t="str">
        <f t="shared" si="0"/>
        <v>120429-TR-MTA</v>
      </c>
      <c r="C3" s="3">
        <v>41028</v>
      </c>
      <c r="D3" s="3">
        <f t="shared" ref="D3:D66" si="2">WORKDAY(C3,10)</f>
        <v>41040</v>
      </c>
      <c r="E3" s="3">
        <f t="shared" ref="E3:E66" si="3">EDATE(C3,2)</f>
        <v>41089</v>
      </c>
      <c r="F3" s="3">
        <f t="shared" ref="F3:F66" si="4">EOMONTH(C3,0)</f>
        <v>41029</v>
      </c>
      <c r="G3" s="76">
        <f t="shared" ref="G3:G66" si="5">YEAR(C3)</f>
        <v>2012</v>
      </c>
      <c r="H3" s="76">
        <f t="shared" ref="H3:H66" si="6">MONTH(C3)</f>
        <v>4</v>
      </c>
      <c r="I3" s="76" t="str">
        <f>VLOOKUP(H3,'Lookup Values'!$C$2:$D$13,2,FALSE)</f>
        <v>APR</v>
      </c>
      <c r="J3" s="76">
        <f t="shared" ref="J3:J66" si="7">DAY(C3)</f>
        <v>29</v>
      </c>
      <c r="K3" s="76">
        <f t="shared" ref="K3:K66" si="8">WEEKDAY(C3)</f>
        <v>1</v>
      </c>
      <c r="L3" s="76" t="str">
        <f>VLOOKUP(K3,'Lookup Values'!$F$2:$G$8,2,FALSE)</f>
        <v>Sunday</v>
      </c>
      <c r="M3" s="3">
        <v>41038</v>
      </c>
      <c r="N3" s="78">
        <f t="shared" si="1"/>
        <v>10</v>
      </c>
      <c r="O3" s="11">
        <v>0.87908817134404404</v>
      </c>
      <c r="P3" s="94">
        <f t="shared" ref="P3:P66" si="9">HOUR(O3)</f>
        <v>21</v>
      </c>
      <c r="Q3" s="94">
        <f t="shared" ref="Q3:Q66" si="10">MINUTE(O3)</f>
        <v>5</v>
      </c>
      <c r="R3" s="94">
        <f t="shared" ref="R3:R66" si="11">SECOND(O3)</f>
        <v>53</v>
      </c>
      <c r="S3" s="94" t="str">
        <f>VLOOKUP(O3,'Lookup Values'!$I$2:$L$8,4,TRUE)</f>
        <v>Late Evening</v>
      </c>
      <c r="T3" t="s">
        <v>95</v>
      </c>
      <c r="U3" t="s">
        <v>96</v>
      </c>
      <c r="V3" t="str">
        <f t="shared" ref="V3:V66" si="12">T3 &amp; ": " &amp; U3</f>
        <v>Transportation: Subway</v>
      </c>
      <c r="W3" t="s">
        <v>94</v>
      </c>
      <c r="X3" t="s">
        <v>88</v>
      </c>
      <c r="Y3" s="1">
        <v>371</v>
      </c>
      <c r="Z3" s="1" t="str">
        <f t="shared" ref="Z3:Z66" si="13">T3 &amp; ": " &amp; TEXT(Y3,"$#,###.00")</f>
        <v>Transportation: $371.00</v>
      </c>
      <c r="AA3" s="1">
        <f>IF(Y3="","",ROUND(Y3*'Lookup Values'!$A$2,2))</f>
        <v>32.93</v>
      </c>
      <c r="AB3" s="12" t="str">
        <f t="shared" ref="AB3:AB66" si="14">IF(T3="Income","Income","Expense")</f>
        <v>Expense</v>
      </c>
      <c r="AC3" s="2" t="s">
        <v>166</v>
      </c>
      <c r="AD3" s="3">
        <f t="shared" ref="AD3:AD66" si="15">VALUE(SUBSTITUTE(AC3,".","/"))</f>
        <v>41028</v>
      </c>
      <c r="AE3" s="93" t="str">
        <f t="shared" ref="AE3:AE66" si="16">IF(OR(T3="Transportation",U3="Professional Development",U3="Electronics"),"YES","NO")</f>
        <v>YES</v>
      </c>
      <c r="AF3" s="2" t="str">
        <f t="shared" ref="AF3:AF66" si="17">IF(AND(AE3="YES",Y3&gt;=400),"YES","NO")</f>
        <v>NO</v>
      </c>
      <c r="AG3" t="str">
        <f t="shared" ref="AG3:AG66" si="18">IF(AND(AND(G3&gt;=2007,G3&lt;=2009),OR(W3&lt;&gt;"MTA",W3&lt;&gt;"Fandango"),OR(T3="Food",T3="Shopping",T3="Entertainment")),"Awesome Transaction",IF(AND(G3&lt;=2010,U3&lt;&gt;"Alcohol"),"Late Transaction",IF(G3=2006,"Early Transaction","CRAP Transaction")))</f>
        <v>CRAP Transaction</v>
      </c>
    </row>
    <row r="4" spans="1:36" x14ac:dyDescent="0.25">
      <c r="A4" s="2">
        <v>3</v>
      </c>
      <c r="B4" s="3" t="str">
        <f t="shared" si="0"/>
        <v>110719-IN-LEG</v>
      </c>
      <c r="C4" s="3">
        <v>40743</v>
      </c>
      <c r="D4" s="3">
        <f t="shared" si="2"/>
        <v>40757</v>
      </c>
      <c r="E4" s="3">
        <f t="shared" si="3"/>
        <v>40805</v>
      </c>
      <c r="F4" s="3">
        <f t="shared" si="4"/>
        <v>40755</v>
      </c>
      <c r="G4" s="76">
        <f t="shared" si="5"/>
        <v>2011</v>
      </c>
      <c r="H4" s="76">
        <f t="shared" si="6"/>
        <v>7</v>
      </c>
      <c r="I4" s="76" t="str">
        <f>VLOOKUP(H4,'Lookup Values'!$C$2:$D$13,2,FALSE)</f>
        <v>JUL</v>
      </c>
      <c r="J4" s="76">
        <f t="shared" si="7"/>
        <v>19</v>
      </c>
      <c r="K4" s="76">
        <f t="shared" si="8"/>
        <v>3</v>
      </c>
      <c r="L4" s="76" t="str">
        <f>VLOOKUP(K4,'Lookup Values'!$F$2:$G$8,2,FALSE)</f>
        <v>Tuesday</v>
      </c>
      <c r="M4" s="3">
        <v>40748</v>
      </c>
      <c r="N4" s="78">
        <f t="shared" si="1"/>
        <v>5</v>
      </c>
      <c r="O4" s="11">
        <v>0.69039091414022147</v>
      </c>
      <c r="P4" s="94">
        <f t="shared" si="9"/>
        <v>16</v>
      </c>
      <c r="Q4" s="94">
        <f t="shared" si="10"/>
        <v>34</v>
      </c>
      <c r="R4" s="94">
        <f t="shared" si="11"/>
        <v>10</v>
      </c>
      <c r="S4" s="94" t="str">
        <f>VLOOKUP(O4,'Lookup Values'!$I$2:$L$8,4,TRUE)</f>
        <v>Afternoon</v>
      </c>
      <c r="T4" t="s">
        <v>158</v>
      </c>
      <c r="U4" t="s">
        <v>160</v>
      </c>
      <c r="V4" t="str">
        <f t="shared" si="12"/>
        <v>Income: Freelance Project</v>
      </c>
      <c r="W4" t="s">
        <v>163</v>
      </c>
      <c r="X4" t="s">
        <v>91</v>
      </c>
      <c r="Y4" s="1">
        <v>29</v>
      </c>
      <c r="Z4" s="1" t="str">
        <f t="shared" si="13"/>
        <v>Income: $29.00</v>
      </c>
      <c r="AA4" s="1">
        <f>IF(Y4="","",ROUND(Y4*'Lookup Values'!$A$2,2))</f>
        <v>2.57</v>
      </c>
      <c r="AB4" s="12" t="str">
        <f t="shared" si="14"/>
        <v>Income</v>
      </c>
      <c r="AC4" s="2" t="s">
        <v>167</v>
      </c>
      <c r="AD4" s="3">
        <f t="shared" si="15"/>
        <v>40743</v>
      </c>
      <c r="AE4" s="93" t="str">
        <f t="shared" si="16"/>
        <v>NO</v>
      </c>
      <c r="AF4" s="2" t="str">
        <f t="shared" si="17"/>
        <v>NO</v>
      </c>
      <c r="AG4" t="str">
        <f t="shared" si="18"/>
        <v>CRAP Transaction</v>
      </c>
      <c r="AI4" t="s">
        <v>1076</v>
      </c>
      <c r="AJ4">
        <f>COUNTIF(K:K,4)</f>
        <v>126</v>
      </c>
    </row>
    <row r="5" spans="1:36" x14ac:dyDescent="0.25">
      <c r="A5" s="2">
        <v>4</v>
      </c>
      <c r="B5" s="3" t="str">
        <f t="shared" si="0"/>
        <v>101227-EN-FAN</v>
      </c>
      <c r="C5" s="3">
        <v>40539</v>
      </c>
      <c r="D5" s="3">
        <f t="shared" si="2"/>
        <v>40553</v>
      </c>
      <c r="E5" s="3">
        <f t="shared" si="3"/>
        <v>40601</v>
      </c>
      <c r="F5" s="3">
        <f t="shared" si="4"/>
        <v>40543</v>
      </c>
      <c r="G5" s="76">
        <f t="shared" si="5"/>
        <v>2010</v>
      </c>
      <c r="H5" s="76">
        <f t="shared" si="6"/>
        <v>12</v>
      </c>
      <c r="I5" s="76" t="str">
        <f>VLOOKUP(H5,'Lookup Values'!$C$2:$D$13,2,FALSE)</f>
        <v>DEC</v>
      </c>
      <c r="J5" s="76">
        <f t="shared" si="7"/>
        <v>27</v>
      </c>
      <c r="K5" s="76">
        <f t="shared" si="8"/>
        <v>2</v>
      </c>
      <c r="L5" s="76" t="str">
        <f>VLOOKUP(K5,'Lookup Values'!$F$2:$G$8,2,FALSE)</f>
        <v>Monday</v>
      </c>
      <c r="M5" s="3">
        <v>40545</v>
      </c>
      <c r="N5" s="78">
        <f t="shared" si="1"/>
        <v>6</v>
      </c>
      <c r="O5" s="11">
        <v>0.71664423512814357</v>
      </c>
      <c r="P5" s="94">
        <f t="shared" si="9"/>
        <v>17</v>
      </c>
      <c r="Q5" s="94">
        <f t="shared" si="10"/>
        <v>11</v>
      </c>
      <c r="R5" s="94">
        <f t="shared" si="11"/>
        <v>58</v>
      </c>
      <c r="S5" s="94" t="str">
        <f>VLOOKUP(O5,'Lookup Values'!$I$2:$L$8,4,TRUE)</f>
        <v>Evening</v>
      </c>
      <c r="T5" t="s">
        <v>76</v>
      </c>
      <c r="U5" t="s">
        <v>90</v>
      </c>
      <c r="V5" t="str">
        <f t="shared" si="12"/>
        <v>Entertainment: Movies</v>
      </c>
      <c r="W5" t="s">
        <v>89</v>
      </c>
      <c r="X5" t="s">
        <v>91</v>
      </c>
      <c r="Y5" s="1">
        <v>417</v>
      </c>
      <c r="Z5" s="1" t="str">
        <f t="shared" si="13"/>
        <v>Entertainment: $417.00</v>
      </c>
      <c r="AA5" s="1">
        <f>IF(Y5="","",ROUND(Y5*'Lookup Values'!$A$2,2))</f>
        <v>37.01</v>
      </c>
      <c r="AB5" s="12" t="str">
        <f t="shared" si="14"/>
        <v>Expense</v>
      </c>
      <c r="AC5" s="2" t="s">
        <v>168</v>
      </c>
      <c r="AD5" s="3">
        <f t="shared" si="15"/>
        <v>40539</v>
      </c>
      <c r="AE5" s="93" t="str">
        <f t="shared" si="16"/>
        <v>NO</v>
      </c>
      <c r="AF5" s="2" t="str">
        <f t="shared" si="17"/>
        <v>NO</v>
      </c>
      <c r="AG5" t="str">
        <f t="shared" si="18"/>
        <v>Late Transaction</v>
      </c>
      <c r="AI5" t="s">
        <v>1077</v>
      </c>
      <c r="AJ5">
        <f>COUNTIF(T:T,"Food")</f>
        <v>186</v>
      </c>
    </row>
    <row r="6" spans="1:36" x14ac:dyDescent="0.25">
      <c r="A6" s="2">
        <v>5</v>
      </c>
      <c r="B6" s="3" t="str">
        <f t="shared" si="0"/>
        <v>080326-FO-CIT</v>
      </c>
      <c r="C6" s="3">
        <v>39533</v>
      </c>
      <c r="D6" s="3">
        <f t="shared" si="2"/>
        <v>39547</v>
      </c>
      <c r="E6" s="3">
        <f t="shared" si="3"/>
        <v>39594</v>
      </c>
      <c r="F6" s="3">
        <f t="shared" si="4"/>
        <v>39538</v>
      </c>
      <c r="G6" s="76">
        <f t="shared" si="5"/>
        <v>2008</v>
      </c>
      <c r="H6" s="76">
        <f t="shared" si="6"/>
        <v>3</v>
      </c>
      <c r="I6" s="76" t="str">
        <f>VLOOKUP(H6,'Lookup Values'!$C$2:$D$13,2,FALSE)</f>
        <v>MAR</v>
      </c>
      <c r="J6" s="76">
        <f t="shared" si="7"/>
        <v>26</v>
      </c>
      <c r="K6" s="76">
        <f t="shared" si="8"/>
        <v>4</v>
      </c>
      <c r="L6" s="76" t="str">
        <f>VLOOKUP(K6,'Lookup Values'!$F$2:$G$8,2,FALSE)</f>
        <v>Wednesday</v>
      </c>
      <c r="M6" s="3">
        <v>39534</v>
      </c>
      <c r="N6" s="78">
        <f t="shared" si="1"/>
        <v>1</v>
      </c>
      <c r="O6" s="11">
        <v>0.60335068224675492</v>
      </c>
      <c r="P6" s="94">
        <f t="shared" si="9"/>
        <v>14</v>
      </c>
      <c r="Q6" s="94">
        <f t="shared" si="10"/>
        <v>28</v>
      </c>
      <c r="R6" s="94">
        <f t="shared" si="11"/>
        <v>49</v>
      </c>
      <c r="S6" s="94" t="str">
        <f>VLOOKUP(O6,'Lookup Values'!$I$2:$L$8,4,TRUE)</f>
        <v>Afternoon</v>
      </c>
      <c r="T6" t="s">
        <v>80</v>
      </c>
      <c r="U6" t="s">
        <v>105</v>
      </c>
      <c r="V6" t="str">
        <f t="shared" si="12"/>
        <v>Food: Coffee</v>
      </c>
      <c r="W6" t="s">
        <v>104</v>
      </c>
      <c r="X6" t="s">
        <v>91</v>
      </c>
      <c r="Y6" s="1">
        <v>311</v>
      </c>
      <c r="Z6" s="1" t="str">
        <f t="shared" si="13"/>
        <v>Food: $311.00</v>
      </c>
      <c r="AA6" s="1">
        <f>IF(Y6="","",ROUND(Y6*'Lookup Values'!$A$2,2))</f>
        <v>27.6</v>
      </c>
      <c r="AB6" s="12" t="str">
        <f t="shared" si="14"/>
        <v>Expense</v>
      </c>
      <c r="AC6" s="2" t="s">
        <v>169</v>
      </c>
      <c r="AD6" s="3">
        <f t="shared" si="15"/>
        <v>39533</v>
      </c>
      <c r="AE6" s="93" t="str">
        <f t="shared" si="16"/>
        <v>NO</v>
      </c>
      <c r="AF6" s="2" t="str">
        <f t="shared" si="17"/>
        <v>NO</v>
      </c>
      <c r="AG6" t="str">
        <f t="shared" si="18"/>
        <v>Awesome Transaction</v>
      </c>
    </row>
    <row r="7" spans="1:36" x14ac:dyDescent="0.25">
      <c r="A7" s="2">
        <v>6</v>
      </c>
      <c r="B7" s="3" t="str">
        <f t="shared" si="0"/>
        <v>110207-IN-AUN</v>
      </c>
      <c r="C7" s="3">
        <v>40581</v>
      </c>
      <c r="D7" s="3">
        <f t="shared" si="2"/>
        <v>40595</v>
      </c>
      <c r="E7" s="3">
        <f t="shared" si="3"/>
        <v>40640</v>
      </c>
      <c r="F7" s="3">
        <f t="shared" si="4"/>
        <v>40602</v>
      </c>
      <c r="G7" s="76">
        <f t="shared" si="5"/>
        <v>2011</v>
      </c>
      <c r="H7" s="76">
        <f t="shared" si="6"/>
        <v>2</v>
      </c>
      <c r="I7" s="76" t="str">
        <f>VLOOKUP(H7,'Lookup Values'!$C$2:$D$13,2,FALSE)</f>
        <v>FEB</v>
      </c>
      <c r="J7" s="76">
        <f t="shared" si="7"/>
        <v>7</v>
      </c>
      <c r="K7" s="76">
        <f t="shared" si="8"/>
        <v>2</v>
      </c>
      <c r="L7" s="76" t="str">
        <f>VLOOKUP(K7,'Lookup Values'!$F$2:$G$8,2,FALSE)</f>
        <v>Monday</v>
      </c>
      <c r="M7" s="3">
        <v>40585</v>
      </c>
      <c r="N7" s="78">
        <f t="shared" si="1"/>
        <v>4</v>
      </c>
      <c r="O7" s="11">
        <v>0.17299560406659731</v>
      </c>
      <c r="P7" s="94">
        <f t="shared" si="9"/>
        <v>4</v>
      </c>
      <c r="Q7" s="94">
        <f t="shared" si="10"/>
        <v>9</v>
      </c>
      <c r="R7" s="94">
        <f t="shared" si="11"/>
        <v>7</v>
      </c>
      <c r="S7" s="94" t="str">
        <f>VLOOKUP(O7,'Lookup Values'!$I$2:$L$8,4,TRUE)</f>
        <v>Early Morning</v>
      </c>
      <c r="T7" t="s">
        <v>158</v>
      </c>
      <c r="U7" t="s">
        <v>161</v>
      </c>
      <c r="V7" t="str">
        <f t="shared" si="12"/>
        <v>Income: Gift Received</v>
      </c>
      <c r="W7" t="s">
        <v>164</v>
      </c>
      <c r="X7" t="s">
        <v>88</v>
      </c>
      <c r="Y7" s="1">
        <v>22</v>
      </c>
      <c r="Z7" s="1" t="str">
        <f t="shared" si="13"/>
        <v>Income: $22.00</v>
      </c>
      <c r="AA7" s="1">
        <f>IF(Y7="","",ROUND(Y7*'Lookup Values'!$A$2,2))</f>
        <v>1.95</v>
      </c>
      <c r="AB7" s="12" t="str">
        <f t="shared" si="14"/>
        <v>Income</v>
      </c>
      <c r="AC7" s="2" t="s">
        <v>170</v>
      </c>
      <c r="AD7" s="3">
        <f t="shared" si="15"/>
        <v>40581</v>
      </c>
      <c r="AE7" s="93" t="str">
        <f t="shared" si="16"/>
        <v>NO</v>
      </c>
      <c r="AF7" s="2" t="str">
        <f t="shared" si="17"/>
        <v>NO</v>
      </c>
      <c r="AG7" t="str">
        <f t="shared" si="18"/>
        <v>CRAP Transaction</v>
      </c>
      <c r="AI7" t="s">
        <v>1078</v>
      </c>
      <c r="AJ7">
        <f>COUNTIF(K:K,AJ8)</f>
        <v>134</v>
      </c>
    </row>
    <row r="8" spans="1:36" x14ac:dyDescent="0.25">
      <c r="A8" s="2">
        <v>7</v>
      </c>
      <c r="B8" s="3" t="str">
        <f t="shared" si="0"/>
        <v>090315-SH-EXP</v>
      </c>
      <c r="C8" s="3">
        <v>39887</v>
      </c>
      <c r="D8" s="3">
        <f t="shared" si="2"/>
        <v>39899</v>
      </c>
      <c r="E8" s="3">
        <f t="shared" si="3"/>
        <v>39948</v>
      </c>
      <c r="F8" s="3">
        <f t="shared" si="4"/>
        <v>39903</v>
      </c>
      <c r="G8" s="76">
        <f t="shared" si="5"/>
        <v>2009</v>
      </c>
      <c r="H8" s="76">
        <f t="shared" si="6"/>
        <v>3</v>
      </c>
      <c r="I8" s="76" t="str">
        <f>VLOOKUP(H8,'Lookup Values'!$C$2:$D$13,2,FALSE)</f>
        <v>MAR</v>
      </c>
      <c r="J8" s="76">
        <f t="shared" si="7"/>
        <v>15</v>
      </c>
      <c r="K8" s="76">
        <f t="shared" si="8"/>
        <v>1</v>
      </c>
      <c r="L8" s="76" t="str">
        <f>VLOOKUP(K8,'Lookup Values'!$F$2:$G$8,2,FALSE)</f>
        <v>Sunday</v>
      </c>
      <c r="M8" s="3">
        <v>39894</v>
      </c>
      <c r="N8" s="78">
        <f t="shared" si="1"/>
        <v>7</v>
      </c>
      <c r="O8" s="11">
        <v>0.54864835900493025</v>
      </c>
      <c r="P8" s="94">
        <f t="shared" si="9"/>
        <v>13</v>
      </c>
      <c r="Q8" s="94">
        <f t="shared" si="10"/>
        <v>10</v>
      </c>
      <c r="R8" s="94">
        <f t="shared" si="11"/>
        <v>3</v>
      </c>
      <c r="S8" s="94" t="str">
        <f>VLOOKUP(O8,'Lookup Values'!$I$2:$L$8,4,TRUE)</f>
        <v>Afternoon</v>
      </c>
      <c r="T8" t="s">
        <v>83</v>
      </c>
      <c r="U8" t="s">
        <v>103</v>
      </c>
      <c r="V8" t="str">
        <f t="shared" si="12"/>
        <v>Shopping: Clothing</v>
      </c>
      <c r="W8" t="s">
        <v>102</v>
      </c>
      <c r="X8" t="s">
        <v>91</v>
      </c>
      <c r="Y8" s="1">
        <v>376</v>
      </c>
      <c r="Z8" s="1" t="str">
        <f t="shared" si="13"/>
        <v>Shopping: $376.00</v>
      </c>
      <c r="AA8" s="1">
        <f>IF(Y8="","",ROUND(Y8*'Lookup Values'!$A$2,2))</f>
        <v>33.369999999999997</v>
      </c>
      <c r="AB8" s="12" t="str">
        <f t="shared" si="14"/>
        <v>Expense</v>
      </c>
      <c r="AC8" s="2" t="s">
        <v>171</v>
      </c>
      <c r="AD8" s="3">
        <f t="shared" si="15"/>
        <v>39887</v>
      </c>
      <c r="AE8" s="93" t="str">
        <f t="shared" si="16"/>
        <v>NO</v>
      </c>
      <c r="AF8" s="2" t="str">
        <f t="shared" si="17"/>
        <v>NO</v>
      </c>
      <c r="AG8" t="str">
        <f t="shared" si="18"/>
        <v>Awesome Transaction</v>
      </c>
      <c r="AI8" t="s">
        <v>1075</v>
      </c>
      <c r="AJ8">
        <v>5</v>
      </c>
    </row>
    <row r="9" spans="1:36" x14ac:dyDescent="0.25">
      <c r="A9" s="2">
        <v>8</v>
      </c>
      <c r="B9" s="3" t="str">
        <f t="shared" si="0"/>
        <v>120323-FO-CIT</v>
      </c>
      <c r="C9" s="3">
        <v>40991</v>
      </c>
      <c r="D9" s="3">
        <f t="shared" si="2"/>
        <v>41005</v>
      </c>
      <c r="E9" s="3">
        <f t="shared" si="3"/>
        <v>41052</v>
      </c>
      <c r="F9" s="3">
        <f t="shared" si="4"/>
        <v>40999</v>
      </c>
      <c r="G9" s="76">
        <f t="shared" si="5"/>
        <v>2012</v>
      </c>
      <c r="H9" s="76">
        <f t="shared" si="6"/>
        <v>3</v>
      </c>
      <c r="I9" s="76" t="str">
        <f>VLOOKUP(H9,'Lookup Values'!$C$2:$D$13,2,FALSE)</f>
        <v>MAR</v>
      </c>
      <c r="J9" s="76">
        <f t="shared" si="7"/>
        <v>23</v>
      </c>
      <c r="K9" s="76">
        <f t="shared" si="8"/>
        <v>6</v>
      </c>
      <c r="L9" s="76" t="str">
        <f>VLOOKUP(K9,'Lookup Values'!$F$2:$G$8,2,FALSE)</f>
        <v>Friday</v>
      </c>
      <c r="M9" s="3">
        <v>41001</v>
      </c>
      <c r="N9" s="78">
        <f t="shared" si="1"/>
        <v>10</v>
      </c>
      <c r="O9" s="11">
        <v>0.8644612110285943</v>
      </c>
      <c r="P9" s="94">
        <f t="shared" si="9"/>
        <v>20</v>
      </c>
      <c r="Q9" s="94">
        <f t="shared" si="10"/>
        <v>44</v>
      </c>
      <c r="R9" s="94">
        <f t="shared" si="11"/>
        <v>49</v>
      </c>
      <c r="S9" s="94" t="str">
        <f>VLOOKUP(O9,'Lookup Values'!$I$2:$L$8,4,TRUE)</f>
        <v>Evening</v>
      </c>
      <c r="T9" t="s">
        <v>80</v>
      </c>
      <c r="U9" t="s">
        <v>105</v>
      </c>
      <c r="V9" t="str">
        <f t="shared" si="12"/>
        <v>Food: Coffee</v>
      </c>
      <c r="W9" t="s">
        <v>104</v>
      </c>
      <c r="X9" t="s">
        <v>88</v>
      </c>
      <c r="Y9" s="1">
        <v>80</v>
      </c>
      <c r="Z9" s="1" t="str">
        <f t="shared" si="13"/>
        <v>Food: $80.00</v>
      </c>
      <c r="AA9" s="1">
        <f>IF(Y9="","",ROUND(Y9*'Lookup Values'!$A$2,2))</f>
        <v>7.1</v>
      </c>
      <c r="AB9" s="12" t="str">
        <f t="shared" si="14"/>
        <v>Expense</v>
      </c>
      <c r="AC9" s="2" t="s">
        <v>172</v>
      </c>
      <c r="AD9" s="3">
        <f t="shared" si="15"/>
        <v>40991</v>
      </c>
      <c r="AE9" s="93" t="str">
        <f t="shared" si="16"/>
        <v>NO</v>
      </c>
      <c r="AF9" s="2" t="str">
        <f t="shared" si="17"/>
        <v>NO</v>
      </c>
      <c r="AG9" t="str">
        <f t="shared" si="18"/>
        <v>CRAP Transaction</v>
      </c>
    </row>
    <row r="10" spans="1:36" x14ac:dyDescent="0.25">
      <c r="A10" s="2">
        <v>9</v>
      </c>
      <c r="B10" s="3" t="str">
        <f t="shared" si="0"/>
        <v>080627-IN-EZE</v>
      </c>
      <c r="C10" s="3">
        <v>39626</v>
      </c>
      <c r="D10" s="3">
        <f t="shared" si="2"/>
        <v>39640</v>
      </c>
      <c r="E10" s="3">
        <f t="shared" si="3"/>
        <v>39687</v>
      </c>
      <c r="F10" s="3">
        <f t="shared" si="4"/>
        <v>39629</v>
      </c>
      <c r="G10" s="76">
        <f t="shared" si="5"/>
        <v>2008</v>
      </c>
      <c r="H10" s="76">
        <f t="shared" si="6"/>
        <v>6</v>
      </c>
      <c r="I10" s="76" t="str">
        <f>VLOOKUP(H10,'Lookup Values'!$C$2:$D$13,2,FALSE)</f>
        <v>JUN</v>
      </c>
      <c r="J10" s="76">
        <f t="shared" si="7"/>
        <v>27</v>
      </c>
      <c r="K10" s="76">
        <f t="shared" si="8"/>
        <v>6</v>
      </c>
      <c r="L10" s="76" t="str">
        <f>VLOOKUP(K10,'Lookup Values'!$F$2:$G$8,2,FALSE)</f>
        <v>Friday</v>
      </c>
      <c r="M10" s="3">
        <v>39636</v>
      </c>
      <c r="N10" s="78">
        <f t="shared" si="1"/>
        <v>10</v>
      </c>
      <c r="O10" s="11">
        <v>0.81846859161089036</v>
      </c>
      <c r="P10" s="94">
        <f t="shared" si="9"/>
        <v>19</v>
      </c>
      <c r="Q10" s="94">
        <f t="shared" si="10"/>
        <v>38</v>
      </c>
      <c r="R10" s="94">
        <f t="shared" si="11"/>
        <v>36</v>
      </c>
      <c r="S10" s="94" t="str">
        <f>VLOOKUP(O10,'Lookup Values'!$I$2:$L$8,4,TRUE)</f>
        <v>Evening</v>
      </c>
      <c r="T10" t="s">
        <v>158</v>
      </c>
      <c r="U10" t="s">
        <v>159</v>
      </c>
      <c r="V10" t="str">
        <f t="shared" si="12"/>
        <v>Income: Salary</v>
      </c>
      <c r="W10" t="s">
        <v>162</v>
      </c>
      <c r="X10" t="s">
        <v>91</v>
      </c>
      <c r="Y10" s="1">
        <v>32</v>
      </c>
      <c r="Z10" s="1" t="str">
        <f t="shared" si="13"/>
        <v>Income: $32.00</v>
      </c>
      <c r="AA10" s="1">
        <f>IF(Y10="","",ROUND(Y10*'Lookup Values'!$A$2,2))</f>
        <v>2.84</v>
      </c>
      <c r="AB10" s="12" t="str">
        <f t="shared" si="14"/>
        <v>Income</v>
      </c>
      <c r="AC10" s="2" t="s">
        <v>173</v>
      </c>
      <c r="AD10" s="3">
        <f t="shared" si="15"/>
        <v>39626</v>
      </c>
      <c r="AE10" s="93" t="str">
        <f t="shared" si="16"/>
        <v>NO</v>
      </c>
      <c r="AF10" s="2" t="str">
        <f t="shared" si="17"/>
        <v>NO</v>
      </c>
      <c r="AG10" t="str">
        <f t="shared" si="18"/>
        <v>Late Transaction</v>
      </c>
      <c r="AI10" t="s">
        <v>1078</v>
      </c>
      <c r="AJ10">
        <f>COUNTIF(T:T,AI11)</f>
        <v>121</v>
      </c>
    </row>
    <row r="11" spans="1:36" x14ac:dyDescent="0.25">
      <c r="A11" s="2">
        <v>10</v>
      </c>
      <c r="B11" s="3" t="str">
        <f t="shared" si="0"/>
        <v>080625-SH-AMA</v>
      </c>
      <c r="C11" s="3">
        <v>39624</v>
      </c>
      <c r="D11" s="3">
        <f t="shared" si="2"/>
        <v>39638</v>
      </c>
      <c r="E11" s="3">
        <f t="shared" si="3"/>
        <v>39685</v>
      </c>
      <c r="F11" s="3">
        <f t="shared" si="4"/>
        <v>39629</v>
      </c>
      <c r="G11" s="76">
        <f t="shared" si="5"/>
        <v>2008</v>
      </c>
      <c r="H11" s="76">
        <f t="shared" si="6"/>
        <v>6</v>
      </c>
      <c r="I11" s="76" t="str">
        <f>VLOOKUP(H11,'Lookup Values'!$C$2:$D$13,2,FALSE)</f>
        <v>JUN</v>
      </c>
      <c r="J11" s="76">
        <f t="shared" si="7"/>
        <v>25</v>
      </c>
      <c r="K11" s="76">
        <f t="shared" si="8"/>
        <v>4</v>
      </c>
      <c r="L11" s="76" t="str">
        <f>VLOOKUP(K11,'Lookup Values'!$F$2:$G$8,2,FALSE)</f>
        <v>Wednesday</v>
      </c>
      <c r="M11" s="3">
        <v>39626</v>
      </c>
      <c r="N11" s="78">
        <f t="shared" si="1"/>
        <v>2</v>
      </c>
      <c r="O11" s="11">
        <v>0.21585443765141643</v>
      </c>
      <c r="P11" s="94">
        <f t="shared" si="9"/>
        <v>5</v>
      </c>
      <c r="Q11" s="94">
        <f t="shared" si="10"/>
        <v>10</v>
      </c>
      <c r="R11" s="94">
        <f t="shared" si="11"/>
        <v>50</v>
      </c>
      <c r="S11" s="94" t="str">
        <f>VLOOKUP(O11,'Lookup Values'!$I$2:$L$8,4,TRUE)</f>
        <v>Early Morning</v>
      </c>
      <c r="T11" t="s">
        <v>83</v>
      </c>
      <c r="U11" t="s">
        <v>84</v>
      </c>
      <c r="V11" t="str">
        <f t="shared" si="12"/>
        <v>Shopping: Electronics</v>
      </c>
      <c r="W11" t="s">
        <v>82</v>
      </c>
      <c r="X11" t="s">
        <v>91</v>
      </c>
      <c r="Y11" s="1">
        <v>344</v>
      </c>
      <c r="Z11" s="1" t="str">
        <f t="shared" si="13"/>
        <v>Shopping: $344.00</v>
      </c>
      <c r="AA11" s="1">
        <f>IF(Y11="","",ROUND(Y11*'Lookup Values'!$A$2,2))</f>
        <v>30.53</v>
      </c>
      <c r="AB11" s="12" t="str">
        <f t="shared" si="14"/>
        <v>Expense</v>
      </c>
      <c r="AC11" s="2" t="s">
        <v>174</v>
      </c>
      <c r="AD11" s="3">
        <f t="shared" si="15"/>
        <v>39624</v>
      </c>
      <c r="AE11" s="93" t="str">
        <f t="shared" si="16"/>
        <v>YES</v>
      </c>
      <c r="AF11" s="2" t="str">
        <f t="shared" si="17"/>
        <v>NO</v>
      </c>
      <c r="AG11" t="str">
        <f t="shared" si="18"/>
        <v>Awesome Transaction</v>
      </c>
      <c r="AI11" t="s">
        <v>83</v>
      </c>
    </row>
    <row r="12" spans="1:36" x14ac:dyDescent="0.25">
      <c r="A12" s="2">
        <v>11</v>
      </c>
      <c r="B12" s="3" t="str">
        <f t="shared" si="0"/>
        <v>070130-BI-CON</v>
      </c>
      <c r="C12" s="3">
        <v>39112</v>
      </c>
      <c r="D12" s="3">
        <f t="shared" si="2"/>
        <v>39126</v>
      </c>
      <c r="E12" s="3">
        <f t="shared" si="3"/>
        <v>39171</v>
      </c>
      <c r="F12" s="3">
        <f t="shared" si="4"/>
        <v>39113</v>
      </c>
      <c r="G12" s="76">
        <f t="shared" si="5"/>
        <v>2007</v>
      </c>
      <c r="H12" s="76">
        <f t="shared" si="6"/>
        <v>1</v>
      </c>
      <c r="I12" s="76" t="str">
        <f>VLOOKUP(H12,'Lookup Values'!$C$2:$D$13,2,FALSE)</f>
        <v>JAN</v>
      </c>
      <c r="J12" s="76">
        <f t="shared" si="7"/>
        <v>30</v>
      </c>
      <c r="K12" s="76">
        <f t="shared" si="8"/>
        <v>3</v>
      </c>
      <c r="L12" s="76" t="str">
        <f>VLOOKUP(K12,'Lookup Values'!$F$2:$G$8,2,FALSE)</f>
        <v>Tuesday</v>
      </c>
      <c r="M12" s="3">
        <v>39116</v>
      </c>
      <c r="N12" s="78">
        <f t="shared" si="1"/>
        <v>4</v>
      </c>
      <c r="O12" s="11">
        <v>0.18646857591094712</v>
      </c>
      <c r="P12" s="94">
        <f t="shared" si="9"/>
        <v>4</v>
      </c>
      <c r="Q12" s="94">
        <f t="shared" si="10"/>
        <v>28</v>
      </c>
      <c r="R12" s="94">
        <f t="shared" si="11"/>
        <v>31</v>
      </c>
      <c r="S12" s="94" t="str">
        <f>VLOOKUP(O12,'Lookup Values'!$I$2:$L$8,4,TRUE)</f>
        <v>Early Morning</v>
      </c>
      <c r="T12" t="s">
        <v>110</v>
      </c>
      <c r="U12" t="s">
        <v>111</v>
      </c>
      <c r="V12" t="str">
        <f t="shared" si="12"/>
        <v>Bills: Utilities</v>
      </c>
      <c r="W12" t="s">
        <v>109</v>
      </c>
      <c r="X12" t="s">
        <v>88</v>
      </c>
      <c r="Y12" s="1">
        <v>222</v>
      </c>
      <c r="Z12" s="1" t="str">
        <f t="shared" si="13"/>
        <v>Bills: $222.00</v>
      </c>
      <c r="AA12" s="1">
        <f>IF(Y12="","",ROUND(Y12*'Lookup Values'!$A$2,2))</f>
        <v>19.7</v>
      </c>
      <c r="AB12" s="12" t="str">
        <f t="shared" si="14"/>
        <v>Expense</v>
      </c>
      <c r="AC12" s="2" t="s">
        <v>175</v>
      </c>
      <c r="AD12" s="3">
        <f t="shared" si="15"/>
        <v>39112</v>
      </c>
      <c r="AE12" s="93" t="str">
        <f t="shared" si="16"/>
        <v>NO</v>
      </c>
      <c r="AF12" s="2" t="str">
        <f t="shared" si="17"/>
        <v>NO</v>
      </c>
      <c r="AG12" t="str">
        <f t="shared" si="18"/>
        <v>Late Transaction</v>
      </c>
    </row>
    <row r="13" spans="1:36" x14ac:dyDescent="0.25">
      <c r="A13" s="2">
        <v>12</v>
      </c>
      <c r="B13" s="3" t="str">
        <f t="shared" si="0"/>
        <v>111021-FO-BAN</v>
      </c>
      <c r="C13" s="3">
        <v>40837</v>
      </c>
      <c r="D13" s="3">
        <f t="shared" si="2"/>
        <v>40851</v>
      </c>
      <c r="E13" s="3">
        <f t="shared" si="3"/>
        <v>40898</v>
      </c>
      <c r="F13" s="3">
        <f t="shared" si="4"/>
        <v>40847</v>
      </c>
      <c r="G13" s="76">
        <f t="shared" si="5"/>
        <v>2011</v>
      </c>
      <c r="H13" s="76">
        <f t="shared" si="6"/>
        <v>10</v>
      </c>
      <c r="I13" s="76" t="str">
        <f>VLOOKUP(H13,'Lookup Values'!$C$2:$D$13,2,FALSE)</f>
        <v>OCT</v>
      </c>
      <c r="J13" s="76">
        <f t="shared" si="7"/>
        <v>21</v>
      </c>
      <c r="K13" s="76">
        <f t="shared" si="8"/>
        <v>6</v>
      </c>
      <c r="L13" s="76" t="str">
        <f>VLOOKUP(K13,'Lookup Values'!$F$2:$G$8,2,FALSE)</f>
        <v>Friday</v>
      </c>
      <c r="M13" s="3">
        <v>40844</v>
      </c>
      <c r="N13" s="78">
        <f t="shared" si="1"/>
        <v>7</v>
      </c>
      <c r="O13" s="11">
        <v>0.84589776823845442</v>
      </c>
      <c r="P13" s="94">
        <f t="shared" si="9"/>
        <v>20</v>
      </c>
      <c r="Q13" s="94">
        <f t="shared" si="10"/>
        <v>18</v>
      </c>
      <c r="R13" s="94">
        <f t="shared" si="11"/>
        <v>6</v>
      </c>
      <c r="S13" s="94" t="str">
        <f>VLOOKUP(O13,'Lookup Values'!$I$2:$L$8,4,TRUE)</f>
        <v>Evening</v>
      </c>
      <c r="T13" t="s">
        <v>80</v>
      </c>
      <c r="U13" t="s">
        <v>81</v>
      </c>
      <c r="V13" t="str">
        <f t="shared" si="12"/>
        <v>Food: Restaurants</v>
      </c>
      <c r="W13" t="s">
        <v>79</v>
      </c>
      <c r="X13" t="s">
        <v>88</v>
      </c>
      <c r="Y13" s="1">
        <v>294</v>
      </c>
      <c r="Z13" s="1" t="str">
        <f t="shared" si="13"/>
        <v>Food: $294.00</v>
      </c>
      <c r="AA13" s="1">
        <f>IF(Y13="","",ROUND(Y13*'Lookup Values'!$A$2,2))</f>
        <v>26.09</v>
      </c>
      <c r="AB13" s="12" t="str">
        <f t="shared" si="14"/>
        <v>Expense</v>
      </c>
      <c r="AC13" s="2" t="s">
        <v>176</v>
      </c>
      <c r="AD13" s="3">
        <f t="shared" si="15"/>
        <v>40837</v>
      </c>
      <c r="AE13" s="93" t="str">
        <f t="shared" si="16"/>
        <v>NO</v>
      </c>
      <c r="AF13" s="2" t="str">
        <f t="shared" si="17"/>
        <v>NO</v>
      </c>
      <c r="AG13" t="str">
        <f t="shared" si="18"/>
        <v>CRAP Transaction</v>
      </c>
    </row>
    <row r="14" spans="1:36" x14ac:dyDescent="0.25">
      <c r="A14" s="2">
        <v>13</v>
      </c>
      <c r="B14" s="3" t="str">
        <f t="shared" si="0"/>
        <v>111006-IN-LEG</v>
      </c>
      <c r="C14" s="3">
        <v>40822</v>
      </c>
      <c r="D14" s="3">
        <f t="shared" si="2"/>
        <v>40836</v>
      </c>
      <c r="E14" s="3">
        <f t="shared" si="3"/>
        <v>40883</v>
      </c>
      <c r="F14" s="3">
        <f t="shared" si="4"/>
        <v>40847</v>
      </c>
      <c r="G14" s="76">
        <f t="shared" si="5"/>
        <v>2011</v>
      </c>
      <c r="H14" s="76">
        <f t="shared" si="6"/>
        <v>10</v>
      </c>
      <c r="I14" s="76" t="str">
        <f>VLOOKUP(H14,'Lookup Values'!$C$2:$D$13,2,FALSE)</f>
        <v>OCT</v>
      </c>
      <c r="J14" s="76">
        <f t="shared" si="7"/>
        <v>6</v>
      </c>
      <c r="K14" s="76">
        <f t="shared" si="8"/>
        <v>5</v>
      </c>
      <c r="L14" s="76" t="str">
        <f>VLOOKUP(K14,'Lookup Values'!$F$2:$G$8,2,FALSE)</f>
        <v>Thursday</v>
      </c>
      <c r="M14" s="3">
        <v>40828</v>
      </c>
      <c r="N14" s="78">
        <f t="shared" si="1"/>
        <v>6</v>
      </c>
      <c r="O14" s="11">
        <v>0.7898951625710825</v>
      </c>
      <c r="P14" s="94">
        <f t="shared" si="9"/>
        <v>18</v>
      </c>
      <c r="Q14" s="94">
        <f t="shared" si="10"/>
        <v>57</v>
      </c>
      <c r="R14" s="94">
        <f t="shared" si="11"/>
        <v>27</v>
      </c>
      <c r="S14" s="94" t="str">
        <f>VLOOKUP(O14,'Lookup Values'!$I$2:$L$8,4,TRUE)</f>
        <v>Evening</v>
      </c>
      <c r="T14" t="s">
        <v>158</v>
      </c>
      <c r="U14" t="s">
        <v>160</v>
      </c>
      <c r="V14" t="str">
        <f t="shared" si="12"/>
        <v>Income: Freelance Project</v>
      </c>
      <c r="W14" t="s">
        <v>163</v>
      </c>
      <c r="X14" t="s">
        <v>78</v>
      </c>
      <c r="Y14" s="1">
        <v>378</v>
      </c>
      <c r="Z14" s="1" t="str">
        <f t="shared" si="13"/>
        <v>Income: $378.00</v>
      </c>
      <c r="AA14" s="1">
        <f>IF(Y14="","",ROUND(Y14*'Lookup Values'!$A$2,2))</f>
        <v>33.549999999999997</v>
      </c>
      <c r="AB14" s="12" t="str">
        <f t="shared" si="14"/>
        <v>Income</v>
      </c>
      <c r="AC14" s="2" t="s">
        <v>177</v>
      </c>
      <c r="AD14" s="3">
        <f t="shared" si="15"/>
        <v>40822</v>
      </c>
      <c r="AE14" s="93" t="str">
        <f t="shared" si="16"/>
        <v>NO</v>
      </c>
      <c r="AF14" s="2" t="str">
        <f t="shared" si="17"/>
        <v>NO</v>
      </c>
      <c r="AG14" t="str">
        <f t="shared" si="18"/>
        <v>CRAP Transaction</v>
      </c>
      <c r="AI14" t="s">
        <v>1168</v>
      </c>
      <c r="AJ14" s="6">
        <v>31525</v>
      </c>
    </row>
    <row r="15" spans="1:36" x14ac:dyDescent="0.25">
      <c r="A15" s="2">
        <v>14</v>
      </c>
      <c r="B15" s="3" t="str">
        <f t="shared" si="0"/>
        <v>080902-FO-TRA</v>
      </c>
      <c r="C15" s="3">
        <v>39693</v>
      </c>
      <c r="D15" s="3">
        <f t="shared" si="2"/>
        <v>39707</v>
      </c>
      <c r="E15" s="3">
        <f t="shared" si="3"/>
        <v>39754</v>
      </c>
      <c r="F15" s="3">
        <f t="shared" si="4"/>
        <v>39721</v>
      </c>
      <c r="G15" s="76">
        <f t="shared" si="5"/>
        <v>2008</v>
      </c>
      <c r="H15" s="76">
        <f t="shared" si="6"/>
        <v>9</v>
      </c>
      <c r="I15" s="76" t="str">
        <f>VLOOKUP(H15,'Lookup Values'!$C$2:$D$13,2,FALSE)</f>
        <v>SEP</v>
      </c>
      <c r="J15" s="76">
        <f t="shared" si="7"/>
        <v>2</v>
      </c>
      <c r="K15" s="76">
        <f t="shared" si="8"/>
        <v>3</v>
      </c>
      <c r="L15" s="76" t="str">
        <f>VLOOKUP(K15,'Lookup Values'!$F$2:$G$8,2,FALSE)</f>
        <v>Tuesday</v>
      </c>
      <c r="M15" s="3">
        <v>39702</v>
      </c>
      <c r="N15" s="78">
        <f t="shared" si="1"/>
        <v>9</v>
      </c>
      <c r="O15" s="11">
        <v>0.71068416021410907</v>
      </c>
      <c r="P15" s="94">
        <f t="shared" si="9"/>
        <v>17</v>
      </c>
      <c r="Q15" s="94">
        <f t="shared" si="10"/>
        <v>3</v>
      </c>
      <c r="R15" s="94">
        <f t="shared" si="11"/>
        <v>23</v>
      </c>
      <c r="S15" s="94" t="str">
        <f>VLOOKUP(O15,'Lookup Values'!$I$2:$L$8,4,TRUE)</f>
        <v>Evening</v>
      </c>
      <c r="T15" t="s">
        <v>80</v>
      </c>
      <c r="U15" t="s">
        <v>93</v>
      </c>
      <c r="V15" t="str">
        <f t="shared" si="12"/>
        <v>Food: Groceries</v>
      </c>
      <c r="W15" t="s">
        <v>92</v>
      </c>
      <c r="X15" t="s">
        <v>88</v>
      </c>
      <c r="Y15" s="1">
        <v>304</v>
      </c>
      <c r="Z15" s="1" t="str">
        <f t="shared" si="13"/>
        <v>Food: $304.00</v>
      </c>
      <c r="AA15" s="1">
        <f>IF(Y15="","",ROUND(Y15*'Lookup Values'!$A$2,2))</f>
        <v>26.98</v>
      </c>
      <c r="AB15" s="12" t="str">
        <f t="shared" si="14"/>
        <v>Expense</v>
      </c>
      <c r="AC15" s="2" t="s">
        <v>178</v>
      </c>
      <c r="AD15" s="3">
        <f t="shared" si="15"/>
        <v>39693</v>
      </c>
      <c r="AE15" s="93" t="str">
        <f t="shared" si="16"/>
        <v>NO</v>
      </c>
      <c r="AF15" s="2" t="str">
        <f t="shared" si="17"/>
        <v>NO</v>
      </c>
      <c r="AG15" t="str">
        <f t="shared" si="18"/>
        <v>Awesome Transaction</v>
      </c>
      <c r="AI15" t="s">
        <v>1169</v>
      </c>
      <c r="AJ15" s="94">
        <f ca="1">ROUNDDOWN((TODAY()-AJ14)/365,0)</f>
        <v>27</v>
      </c>
    </row>
    <row r="16" spans="1:36" x14ac:dyDescent="0.25">
      <c r="A16" s="2">
        <v>15</v>
      </c>
      <c r="B16" s="3" t="str">
        <f t="shared" si="0"/>
        <v>120903-SH-EXP</v>
      </c>
      <c r="C16" s="3">
        <v>41155</v>
      </c>
      <c r="D16" s="3">
        <f t="shared" si="2"/>
        <v>41169</v>
      </c>
      <c r="E16" s="3">
        <f t="shared" si="3"/>
        <v>41216</v>
      </c>
      <c r="F16" s="3">
        <f t="shared" si="4"/>
        <v>41182</v>
      </c>
      <c r="G16" s="76">
        <f t="shared" si="5"/>
        <v>2012</v>
      </c>
      <c r="H16" s="76">
        <f t="shared" si="6"/>
        <v>9</v>
      </c>
      <c r="I16" s="76" t="str">
        <f>VLOOKUP(H16,'Lookup Values'!$C$2:$D$13,2,FALSE)</f>
        <v>SEP</v>
      </c>
      <c r="J16" s="76">
        <f t="shared" si="7"/>
        <v>3</v>
      </c>
      <c r="K16" s="76">
        <f t="shared" si="8"/>
        <v>2</v>
      </c>
      <c r="L16" s="76" t="str">
        <f>VLOOKUP(K16,'Lookup Values'!$F$2:$G$8,2,FALSE)</f>
        <v>Monday</v>
      </c>
      <c r="M16" s="3">
        <v>41161</v>
      </c>
      <c r="N16" s="78">
        <f t="shared" si="1"/>
        <v>6</v>
      </c>
      <c r="O16" s="11">
        <v>0.14182307990767118</v>
      </c>
      <c r="P16" s="94">
        <f t="shared" si="9"/>
        <v>3</v>
      </c>
      <c r="Q16" s="94">
        <f t="shared" si="10"/>
        <v>24</v>
      </c>
      <c r="R16" s="94">
        <f t="shared" si="11"/>
        <v>14</v>
      </c>
      <c r="S16" s="94" t="str">
        <f>VLOOKUP(O16,'Lookup Values'!$I$2:$L$8,4,TRUE)</f>
        <v>Dead of Night</v>
      </c>
      <c r="T16" t="s">
        <v>83</v>
      </c>
      <c r="U16" t="s">
        <v>103</v>
      </c>
      <c r="V16" t="str">
        <f t="shared" si="12"/>
        <v>Shopping: Clothing</v>
      </c>
      <c r="W16" t="s">
        <v>102</v>
      </c>
      <c r="X16" t="s">
        <v>78</v>
      </c>
      <c r="Y16" s="1">
        <v>451</v>
      </c>
      <c r="Z16" s="1" t="str">
        <f t="shared" si="13"/>
        <v>Shopping: $451.00</v>
      </c>
      <c r="AA16" s="1">
        <f>IF(Y16="","",ROUND(Y16*'Lookup Values'!$A$2,2))</f>
        <v>40.03</v>
      </c>
      <c r="AB16" s="12" t="str">
        <f t="shared" si="14"/>
        <v>Expense</v>
      </c>
      <c r="AC16" s="2" t="s">
        <v>179</v>
      </c>
      <c r="AD16" s="3">
        <f t="shared" si="15"/>
        <v>41155</v>
      </c>
      <c r="AE16" s="93" t="str">
        <f t="shared" si="16"/>
        <v>NO</v>
      </c>
      <c r="AF16" s="2" t="str">
        <f t="shared" si="17"/>
        <v>NO</v>
      </c>
      <c r="AG16" t="str">
        <f t="shared" si="18"/>
        <v>CRAP Transaction</v>
      </c>
    </row>
    <row r="17" spans="1:36" x14ac:dyDescent="0.25">
      <c r="A17" s="2">
        <v>16</v>
      </c>
      <c r="B17" s="3" t="str">
        <f t="shared" si="0"/>
        <v>080810-EN-FAN</v>
      </c>
      <c r="C17" s="3">
        <v>39670</v>
      </c>
      <c r="D17" s="3">
        <f t="shared" si="2"/>
        <v>39682</v>
      </c>
      <c r="E17" s="3">
        <f t="shared" si="3"/>
        <v>39731</v>
      </c>
      <c r="F17" s="3">
        <f t="shared" si="4"/>
        <v>39691</v>
      </c>
      <c r="G17" s="76">
        <f t="shared" si="5"/>
        <v>2008</v>
      </c>
      <c r="H17" s="76">
        <f t="shared" si="6"/>
        <v>8</v>
      </c>
      <c r="I17" s="76" t="str">
        <f>VLOOKUP(H17,'Lookup Values'!$C$2:$D$13,2,FALSE)</f>
        <v>AUG</v>
      </c>
      <c r="J17" s="76">
        <f t="shared" si="7"/>
        <v>10</v>
      </c>
      <c r="K17" s="76">
        <f t="shared" si="8"/>
        <v>1</v>
      </c>
      <c r="L17" s="76" t="str">
        <f>VLOOKUP(K17,'Lookup Values'!$F$2:$G$8,2,FALSE)</f>
        <v>Sunday</v>
      </c>
      <c r="M17" s="3">
        <v>39674</v>
      </c>
      <c r="N17" s="78">
        <f t="shared" si="1"/>
        <v>4</v>
      </c>
      <c r="O17" s="11">
        <v>0.87492403764016757</v>
      </c>
      <c r="P17" s="94">
        <f t="shared" si="9"/>
        <v>20</v>
      </c>
      <c r="Q17" s="94">
        <f t="shared" si="10"/>
        <v>59</v>
      </c>
      <c r="R17" s="94">
        <f t="shared" si="11"/>
        <v>53</v>
      </c>
      <c r="S17" s="94" t="str">
        <f>VLOOKUP(O17,'Lookup Values'!$I$2:$L$8,4,TRUE)</f>
        <v>Evening</v>
      </c>
      <c r="T17" t="s">
        <v>76</v>
      </c>
      <c r="U17" t="s">
        <v>90</v>
      </c>
      <c r="V17" t="str">
        <f t="shared" si="12"/>
        <v>Entertainment: Movies</v>
      </c>
      <c r="W17" t="s">
        <v>89</v>
      </c>
      <c r="X17" t="s">
        <v>78</v>
      </c>
      <c r="Y17" s="1">
        <v>451</v>
      </c>
      <c r="Z17" s="1" t="str">
        <f t="shared" si="13"/>
        <v>Entertainment: $451.00</v>
      </c>
      <c r="AA17" s="1">
        <f>IF(Y17="","",ROUND(Y17*'Lookup Values'!$A$2,2))</f>
        <v>40.03</v>
      </c>
      <c r="AB17" s="12" t="str">
        <f t="shared" si="14"/>
        <v>Expense</v>
      </c>
      <c r="AC17" s="2" t="s">
        <v>180</v>
      </c>
      <c r="AD17" s="3">
        <f t="shared" si="15"/>
        <v>39670</v>
      </c>
      <c r="AE17" s="93" t="str">
        <f t="shared" si="16"/>
        <v>NO</v>
      </c>
      <c r="AF17" s="2" t="str">
        <f t="shared" si="17"/>
        <v>NO</v>
      </c>
      <c r="AG17" t="str">
        <f t="shared" si="18"/>
        <v>Awesome Transaction</v>
      </c>
      <c r="AJ17">
        <v>26.945205479452056</v>
      </c>
    </row>
    <row r="18" spans="1:36" x14ac:dyDescent="0.25">
      <c r="A18" s="2">
        <v>17</v>
      </c>
      <c r="B18" s="3" t="str">
        <f t="shared" si="0"/>
        <v>070215-IN-AUN</v>
      </c>
      <c r="C18" s="3">
        <v>39128</v>
      </c>
      <c r="D18" s="3">
        <f t="shared" si="2"/>
        <v>39142</v>
      </c>
      <c r="E18" s="3">
        <f t="shared" si="3"/>
        <v>39187</v>
      </c>
      <c r="F18" s="3">
        <f t="shared" si="4"/>
        <v>39141</v>
      </c>
      <c r="G18" s="76">
        <f t="shared" si="5"/>
        <v>2007</v>
      </c>
      <c r="H18" s="76">
        <f t="shared" si="6"/>
        <v>2</v>
      </c>
      <c r="I18" s="76" t="str">
        <f>VLOOKUP(H18,'Lookup Values'!$C$2:$D$13,2,FALSE)</f>
        <v>FEB</v>
      </c>
      <c r="J18" s="76">
        <f t="shared" si="7"/>
        <v>15</v>
      </c>
      <c r="K18" s="76">
        <f t="shared" si="8"/>
        <v>5</v>
      </c>
      <c r="L18" s="76" t="str">
        <f>VLOOKUP(K18,'Lookup Values'!$F$2:$G$8,2,FALSE)</f>
        <v>Thursday</v>
      </c>
      <c r="M18" s="3">
        <v>39130</v>
      </c>
      <c r="N18" s="78">
        <f t="shared" si="1"/>
        <v>2</v>
      </c>
      <c r="O18" s="11">
        <v>0.52858010854727489</v>
      </c>
      <c r="P18" s="94">
        <f t="shared" si="9"/>
        <v>12</v>
      </c>
      <c r="Q18" s="94">
        <f t="shared" si="10"/>
        <v>41</v>
      </c>
      <c r="R18" s="94">
        <f t="shared" si="11"/>
        <v>9</v>
      </c>
      <c r="S18" s="94" t="str">
        <f>VLOOKUP(O18,'Lookup Values'!$I$2:$L$8,4,TRUE)</f>
        <v>Afternoon</v>
      </c>
      <c r="T18" t="s">
        <v>158</v>
      </c>
      <c r="U18" t="s">
        <v>161</v>
      </c>
      <c r="V18" t="str">
        <f t="shared" si="12"/>
        <v>Income: Gift Received</v>
      </c>
      <c r="W18" t="s">
        <v>164</v>
      </c>
      <c r="X18" t="s">
        <v>91</v>
      </c>
      <c r="Y18" s="1">
        <v>170</v>
      </c>
      <c r="Z18" s="1" t="str">
        <f t="shared" si="13"/>
        <v>Income: $170.00</v>
      </c>
      <c r="AA18" s="1">
        <f>IF(Y18="","",ROUND(Y18*'Lookup Values'!$A$2,2))</f>
        <v>15.09</v>
      </c>
      <c r="AB18" s="12" t="str">
        <f t="shared" si="14"/>
        <v>Income</v>
      </c>
      <c r="AC18" s="2" t="s">
        <v>181</v>
      </c>
      <c r="AD18" s="3">
        <f t="shared" si="15"/>
        <v>39128</v>
      </c>
      <c r="AE18" s="93" t="str">
        <f t="shared" si="16"/>
        <v>NO</v>
      </c>
      <c r="AF18" s="2" t="str">
        <f t="shared" si="17"/>
        <v>NO</v>
      </c>
      <c r="AG18" t="str">
        <f t="shared" si="18"/>
        <v>Late Transaction</v>
      </c>
      <c r="AJ18">
        <v>26</v>
      </c>
    </row>
    <row r="19" spans="1:36" x14ac:dyDescent="0.25">
      <c r="A19" s="2">
        <v>18</v>
      </c>
      <c r="B19" s="3" t="str">
        <f t="shared" si="0"/>
        <v>080125-FO-BAN</v>
      </c>
      <c r="C19" s="3">
        <v>39472</v>
      </c>
      <c r="D19" s="3">
        <f t="shared" si="2"/>
        <v>39486</v>
      </c>
      <c r="E19" s="3">
        <f t="shared" si="3"/>
        <v>39532</v>
      </c>
      <c r="F19" s="3">
        <f t="shared" si="4"/>
        <v>39478</v>
      </c>
      <c r="G19" s="76">
        <f t="shared" si="5"/>
        <v>2008</v>
      </c>
      <c r="H19" s="76">
        <f t="shared" si="6"/>
        <v>1</v>
      </c>
      <c r="I19" s="76" t="str">
        <f>VLOOKUP(H19,'Lookup Values'!$C$2:$D$13,2,FALSE)</f>
        <v>JAN</v>
      </c>
      <c r="J19" s="76">
        <f t="shared" si="7"/>
        <v>25</v>
      </c>
      <c r="K19" s="76">
        <f t="shared" si="8"/>
        <v>6</v>
      </c>
      <c r="L19" s="76" t="str">
        <f>VLOOKUP(K19,'Lookup Values'!$F$2:$G$8,2,FALSE)</f>
        <v>Friday</v>
      </c>
      <c r="M19" s="3">
        <v>39475</v>
      </c>
      <c r="N19" s="78">
        <f t="shared" si="1"/>
        <v>3</v>
      </c>
      <c r="O19" s="11">
        <v>0.24450898965005086</v>
      </c>
      <c r="P19" s="94">
        <f t="shared" si="9"/>
        <v>5</v>
      </c>
      <c r="Q19" s="94">
        <f t="shared" si="10"/>
        <v>52</v>
      </c>
      <c r="R19" s="94">
        <f t="shared" si="11"/>
        <v>6</v>
      </c>
      <c r="S19" s="94" t="str">
        <f>VLOOKUP(O19,'Lookup Values'!$I$2:$L$8,4,TRUE)</f>
        <v>Early Morning</v>
      </c>
      <c r="T19" t="s">
        <v>80</v>
      </c>
      <c r="U19" t="s">
        <v>81</v>
      </c>
      <c r="V19" t="str">
        <f t="shared" si="12"/>
        <v>Food: Restaurants</v>
      </c>
      <c r="W19" t="s">
        <v>79</v>
      </c>
      <c r="X19" t="s">
        <v>88</v>
      </c>
      <c r="Y19" s="1">
        <v>105</v>
      </c>
      <c r="Z19" s="1" t="str">
        <f t="shared" si="13"/>
        <v>Food: $105.00</v>
      </c>
      <c r="AA19" s="1">
        <f>IF(Y19="","",ROUND(Y19*'Lookup Values'!$A$2,2))</f>
        <v>9.32</v>
      </c>
      <c r="AB19" s="12" t="str">
        <f t="shared" si="14"/>
        <v>Expense</v>
      </c>
      <c r="AC19" s="2" t="s">
        <v>182</v>
      </c>
      <c r="AD19" s="3">
        <f t="shared" si="15"/>
        <v>39472</v>
      </c>
      <c r="AE19" s="93" t="str">
        <f t="shared" si="16"/>
        <v>NO</v>
      </c>
      <c r="AF19" s="2" t="str">
        <f t="shared" si="17"/>
        <v>NO</v>
      </c>
      <c r="AG19" t="str">
        <f t="shared" si="18"/>
        <v>Awesome Transaction</v>
      </c>
    </row>
    <row r="20" spans="1:36" x14ac:dyDescent="0.25">
      <c r="A20" s="2">
        <v>19</v>
      </c>
      <c r="B20" s="3" t="str">
        <f t="shared" si="0"/>
        <v>080811-IN-EZE</v>
      </c>
      <c r="C20" s="3">
        <v>39671</v>
      </c>
      <c r="D20" s="3">
        <f t="shared" si="2"/>
        <v>39685</v>
      </c>
      <c r="E20" s="3">
        <f t="shared" si="3"/>
        <v>39732</v>
      </c>
      <c r="F20" s="3">
        <f t="shared" si="4"/>
        <v>39691</v>
      </c>
      <c r="G20" s="76">
        <f t="shared" si="5"/>
        <v>2008</v>
      </c>
      <c r="H20" s="76">
        <f t="shared" si="6"/>
        <v>8</v>
      </c>
      <c r="I20" s="76" t="str">
        <f>VLOOKUP(H20,'Lookup Values'!$C$2:$D$13,2,FALSE)</f>
        <v>AUG</v>
      </c>
      <c r="J20" s="76">
        <f t="shared" si="7"/>
        <v>11</v>
      </c>
      <c r="K20" s="76">
        <f t="shared" si="8"/>
        <v>2</v>
      </c>
      <c r="L20" s="76" t="str">
        <f>VLOOKUP(K20,'Lookup Values'!$F$2:$G$8,2,FALSE)</f>
        <v>Monday</v>
      </c>
      <c r="M20" s="3">
        <v>39677</v>
      </c>
      <c r="N20" s="78">
        <f t="shared" si="1"/>
        <v>6</v>
      </c>
      <c r="O20" s="11">
        <v>0.7121370784293567</v>
      </c>
      <c r="P20" s="94">
        <f t="shared" si="9"/>
        <v>17</v>
      </c>
      <c r="Q20" s="94">
        <f t="shared" si="10"/>
        <v>5</v>
      </c>
      <c r="R20" s="94">
        <f t="shared" si="11"/>
        <v>29</v>
      </c>
      <c r="S20" s="94" t="str">
        <f>VLOOKUP(O20,'Lookup Values'!$I$2:$L$8,4,TRUE)</f>
        <v>Evening</v>
      </c>
      <c r="T20" t="s">
        <v>158</v>
      </c>
      <c r="U20" t="s">
        <v>159</v>
      </c>
      <c r="V20" t="str">
        <f t="shared" si="12"/>
        <v>Income: Salary</v>
      </c>
      <c r="W20" t="s">
        <v>162</v>
      </c>
      <c r="X20" t="s">
        <v>78</v>
      </c>
      <c r="Y20" s="1">
        <v>152</v>
      </c>
      <c r="Z20" s="1" t="str">
        <f t="shared" si="13"/>
        <v>Income: $152.00</v>
      </c>
      <c r="AA20" s="1">
        <f>IF(Y20="","",ROUND(Y20*'Lookup Values'!$A$2,2))</f>
        <v>13.49</v>
      </c>
      <c r="AB20" s="12" t="str">
        <f t="shared" si="14"/>
        <v>Income</v>
      </c>
      <c r="AC20" s="2" t="s">
        <v>183</v>
      </c>
      <c r="AD20" s="3">
        <f t="shared" si="15"/>
        <v>39671</v>
      </c>
      <c r="AE20" s="93" t="str">
        <f t="shared" si="16"/>
        <v>NO</v>
      </c>
      <c r="AF20" s="2" t="str">
        <f t="shared" si="17"/>
        <v>NO</v>
      </c>
      <c r="AG20" t="str">
        <f t="shared" si="18"/>
        <v>Late Transaction</v>
      </c>
    </row>
    <row r="21" spans="1:36" x14ac:dyDescent="0.25">
      <c r="A21" s="2">
        <v>20</v>
      </c>
      <c r="B21" s="3" t="str">
        <f t="shared" si="0"/>
        <v>081217-FO-CIT</v>
      </c>
      <c r="C21" s="3">
        <v>39799</v>
      </c>
      <c r="D21" s="3">
        <f t="shared" si="2"/>
        <v>39813</v>
      </c>
      <c r="E21" s="3">
        <f t="shared" si="3"/>
        <v>39861</v>
      </c>
      <c r="F21" s="3">
        <f t="shared" si="4"/>
        <v>39813</v>
      </c>
      <c r="G21" s="76">
        <f t="shared" si="5"/>
        <v>2008</v>
      </c>
      <c r="H21" s="76">
        <f t="shared" si="6"/>
        <v>12</v>
      </c>
      <c r="I21" s="76" t="str">
        <f>VLOOKUP(H21,'Lookup Values'!$C$2:$D$13,2,FALSE)</f>
        <v>DEC</v>
      </c>
      <c r="J21" s="76">
        <f t="shared" si="7"/>
        <v>17</v>
      </c>
      <c r="K21" s="76">
        <f t="shared" si="8"/>
        <v>4</v>
      </c>
      <c r="L21" s="76" t="str">
        <f>VLOOKUP(K21,'Lookup Values'!$F$2:$G$8,2,FALSE)</f>
        <v>Wednesday</v>
      </c>
      <c r="M21" s="3">
        <v>39805</v>
      </c>
      <c r="N21" s="78">
        <f t="shared" si="1"/>
        <v>6</v>
      </c>
      <c r="O21" s="11">
        <v>0.38359379746202549</v>
      </c>
      <c r="P21" s="94">
        <f t="shared" si="9"/>
        <v>9</v>
      </c>
      <c r="Q21" s="94">
        <f t="shared" si="10"/>
        <v>12</v>
      </c>
      <c r="R21" s="94">
        <f t="shared" si="11"/>
        <v>23</v>
      </c>
      <c r="S21" s="94" t="str">
        <f>VLOOKUP(O21,'Lookup Values'!$I$2:$L$8,4,TRUE)</f>
        <v>Morning</v>
      </c>
      <c r="T21" t="s">
        <v>80</v>
      </c>
      <c r="U21" t="s">
        <v>105</v>
      </c>
      <c r="V21" t="str">
        <f t="shared" si="12"/>
        <v>Food: Coffee</v>
      </c>
      <c r="W21" t="s">
        <v>104</v>
      </c>
      <c r="X21" t="s">
        <v>91</v>
      </c>
      <c r="Y21" s="1">
        <v>403</v>
      </c>
      <c r="Z21" s="1" t="str">
        <f t="shared" si="13"/>
        <v>Food: $403.00</v>
      </c>
      <c r="AA21" s="1">
        <f>IF(Y21="","",ROUND(Y21*'Lookup Values'!$A$2,2))</f>
        <v>35.770000000000003</v>
      </c>
      <c r="AB21" s="12" t="str">
        <f t="shared" si="14"/>
        <v>Expense</v>
      </c>
      <c r="AC21" s="2" t="s">
        <v>184</v>
      </c>
      <c r="AD21" s="3">
        <f t="shared" si="15"/>
        <v>39799</v>
      </c>
      <c r="AE21" s="93" t="str">
        <f t="shared" si="16"/>
        <v>NO</v>
      </c>
      <c r="AF21" s="2" t="str">
        <f t="shared" si="17"/>
        <v>NO</v>
      </c>
      <c r="AG21" t="str">
        <f t="shared" si="18"/>
        <v>Awesome Transaction</v>
      </c>
    </row>
    <row r="22" spans="1:36" x14ac:dyDescent="0.25">
      <c r="A22" s="2">
        <v>21</v>
      </c>
      <c r="B22" s="3" t="str">
        <f t="shared" si="0"/>
        <v>080528-IN-LEG</v>
      </c>
      <c r="C22" s="3">
        <v>39596</v>
      </c>
      <c r="D22" s="3">
        <f t="shared" si="2"/>
        <v>39610</v>
      </c>
      <c r="E22" s="3">
        <f t="shared" si="3"/>
        <v>39657</v>
      </c>
      <c r="F22" s="3">
        <f t="shared" si="4"/>
        <v>39599</v>
      </c>
      <c r="G22" s="76">
        <f t="shared" si="5"/>
        <v>2008</v>
      </c>
      <c r="H22" s="76">
        <f t="shared" si="6"/>
        <v>5</v>
      </c>
      <c r="I22" s="76" t="str">
        <f>VLOOKUP(H22,'Lookup Values'!$C$2:$D$13,2,FALSE)</f>
        <v>MAY</v>
      </c>
      <c r="J22" s="76">
        <f t="shared" si="7"/>
        <v>28</v>
      </c>
      <c r="K22" s="76">
        <f t="shared" si="8"/>
        <v>4</v>
      </c>
      <c r="L22" s="76" t="str">
        <f>VLOOKUP(K22,'Lookup Values'!$F$2:$G$8,2,FALSE)</f>
        <v>Wednesday</v>
      </c>
      <c r="M22" s="3">
        <v>39599</v>
      </c>
      <c r="N22" s="78">
        <f t="shared" si="1"/>
        <v>3</v>
      </c>
      <c r="O22" s="11">
        <v>0.480203017044044</v>
      </c>
      <c r="P22" s="94">
        <f t="shared" si="9"/>
        <v>11</v>
      </c>
      <c r="Q22" s="94">
        <f t="shared" si="10"/>
        <v>31</v>
      </c>
      <c r="R22" s="94">
        <f t="shared" si="11"/>
        <v>30</v>
      </c>
      <c r="S22" s="94" t="str">
        <f>VLOOKUP(O22,'Lookup Values'!$I$2:$L$8,4,TRUE)</f>
        <v>Late Morning</v>
      </c>
      <c r="T22" t="s">
        <v>158</v>
      </c>
      <c r="U22" t="s">
        <v>160</v>
      </c>
      <c r="V22" t="str">
        <f t="shared" si="12"/>
        <v>Income: Freelance Project</v>
      </c>
      <c r="W22" t="s">
        <v>163</v>
      </c>
      <c r="X22" t="s">
        <v>88</v>
      </c>
      <c r="Y22" s="1">
        <v>127</v>
      </c>
      <c r="Z22" s="1" t="str">
        <f t="shared" si="13"/>
        <v>Income: $127.00</v>
      </c>
      <c r="AA22" s="1">
        <f>IF(Y22="","",ROUND(Y22*'Lookup Values'!$A$2,2))</f>
        <v>11.27</v>
      </c>
      <c r="AB22" s="12" t="str">
        <f t="shared" si="14"/>
        <v>Income</v>
      </c>
      <c r="AC22" s="2" t="s">
        <v>185</v>
      </c>
      <c r="AD22" s="3">
        <f t="shared" si="15"/>
        <v>39596</v>
      </c>
      <c r="AE22" s="93" t="str">
        <f t="shared" si="16"/>
        <v>NO</v>
      </c>
      <c r="AF22" s="2" t="str">
        <f t="shared" si="17"/>
        <v>NO</v>
      </c>
      <c r="AG22" t="str">
        <f t="shared" si="18"/>
        <v>Late Transaction</v>
      </c>
    </row>
    <row r="23" spans="1:36" x14ac:dyDescent="0.25">
      <c r="A23" s="2">
        <v>22</v>
      </c>
      <c r="B23" s="3" t="str">
        <f t="shared" si="0"/>
        <v>080706-HO-BED</v>
      </c>
      <c r="C23" s="3">
        <v>39635</v>
      </c>
      <c r="D23" s="3">
        <f t="shared" si="2"/>
        <v>39647</v>
      </c>
      <c r="E23" s="3">
        <f t="shared" si="3"/>
        <v>39697</v>
      </c>
      <c r="F23" s="3">
        <f t="shared" si="4"/>
        <v>39660</v>
      </c>
      <c r="G23" s="76">
        <f t="shared" si="5"/>
        <v>2008</v>
      </c>
      <c r="H23" s="76">
        <f t="shared" si="6"/>
        <v>7</v>
      </c>
      <c r="I23" s="76" t="str">
        <f>VLOOKUP(H23,'Lookup Values'!$C$2:$D$13,2,FALSE)</f>
        <v>JUL</v>
      </c>
      <c r="J23" s="76">
        <f t="shared" si="7"/>
        <v>6</v>
      </c>
      <c r="K23" s="76">
        <f t="shared" si="8"/>
        <v>1</v>
      </c>
      <c r="L23" s="76" t="str">
        <f>VLOOKUP(K23,'Lookup Values'!$F$2:$G$8,2,FALSE)</f>
        <v>Sunday</v>
      </c>
      <c r="M23" s="3">
        <v>39636</v>
      </c>
      <c r="N23" s="78">
        <f t="shared" si="1"/>
        <v>1</v>
      </c>
      <c r="O23" s="11">
        <v>0.61521915432819385</v>
      </c>
      <c r="P23" s="94">
        <f t="shared" si="9"/>
        <v>14</v>
      </c>
      <c r="Q23" s="94">
        <f t="shared" si="10"/>
        <v>45</v>
      </c>
      <c r="R23" s="94">
        <f t="shared" si="11"/>
        <v>55</v>
      </c>
      <c r="S23" s="94" t="str">
        <f>VLOOKUP(O23,'Lookup Values'!$I$2:$L$8,4,TRUE)</f>
        <v>Afternoon</v>
      </c>
      <c r="T23" t="s">
        <v>100</v>
      </c>
      <c r="U23" t="s">
        <v>101</v>
      </c>
      <c r="V23" t="str">
        <f t="shared" si="12"/>
        <v>Home: Cleaning Supplies</v>
      </c>
      <c r="W23" t="s">
        <v>99</v>
      </c>
      <c r="X23" t="s">
        <v>88</v>
      </c>
      <c r="Y23" s="1">
        <v>111</v>
      </c>
      <c r="Z23" s="1" t="str">
        <f t="shared" si="13"/>
        <v>Home: $111.00</v>
      </c>
      <c r="AA23" s="1">
        <f>IF(Y23="","",ROUND(Y23*'Lookup Values'!$A$2,2))</f>
        <v>9.85</v>
      </c>
      <c r="AB23" s="12" t="str">
        <f t="shared" si="14"/>
        <v>Expense</v>
      </c>
      <c r="AC23" s="2" t="s">
        <v>186</v>
      </c>
      <c r="AD23" s="3">
        <f t="shared" si="15"/>
        <v>39635</v>
      </c>
      <c r="AE23" s="93" t="str">
        <f t="shared" si="16"/>
        <v>NO</v>
      </c>
      <c r="AF23" s="2" t="str">
        <f t="shared" si="17"/>
        <v>NO</v>
      </c>
      <c r="AG23" t="str">
        <f t="shared" si="18"/>
        <v>Late Transaction</v>
      </c>
    </row>
    <row r="24" spans="1:36" x14ac:dyDescent="0.25">
      <c r="A24" s="2">
        <v>23</v>
      </c>
      <c r="B24" s="3" t="str">
        <f t="shared" si="0"/>
        <v>111108-SH-EXP</v>
      </c>
      <c r="C24" s="3">
        <v>40855</v>
      </c>
      <c r="D24" s="3">
        <f t="shared" si="2"/>
        <v>40869</v>
      </c>
      <c r="E24" s="3">
        <f t="shared" si="3"/>
        <v>40916</v>
      </c>
      <c r="F24" s="3">
        <f t="shared" si="4"/>
        <v>40877</v>
      </c>
      <c r="G24" s="76">
        <f t="shared" si="5"/>
        <v>2011</v>
      </c>
      <c r="H24" s="76">
        <f t="shared" si="6"/>
        <v>11</v>
      </c>
      <c r="I24" s="76" t="str">
        <f>VLOOKUP(H24,'Lookup Values'!$C$2:$D$13,2,FALSE)</f>
        <v>NOV</v>
      </c>
      <c r="J24" s="76">
        <f t="shared" si="7"/>
        <v>8</v>
      </c>
      <c r="K24" s="76">
        <f t="shared" si="8"/>
        <v>3</v>
      </c>
      <c r="L24" s="76" t="str">
        <f>VLOOKUP(K24,'Lookup Values'!$F$2:$G$8,2,FALSE)</f>
        <v>Tuesday</v>
      </c>
      <c r="M24" s="3">
        <v>40865</v>
      </c>
      <c r="N24" s="78">
        <f t="shared" si="1"/>
        <v>10</v>
      </c>
      <c r="O24" s="11">
        <v>0.15567530793339002</v>
      </c>
      <c r="P24" s="94">
        <f t="shared" si="9"/>
        <v>3</v>
      </c>
      <c r="Q24" s="94">
        <f t="shared" si="10"/>
        <v>44</v>
      </c>
      <c r="R24" s="94">
        <f t="shared" si="11"/>
        <v>10</v>
      </c>
      <c r="S24" s="94" t="str">
        <f>VLOOKUP(O24,'Lookup Values'!$I$2:$L$8,4,TRUE)</f>
        <v>Dead of Night</v>
      </c>
      <c r="T24" t="s">
        <v>83</v>
      </c>
      <c r="U24" t="s">
        <v>103</v>
      </c>
      <c r="V24" t="str">
        <f t="shared" si="12"/>
        <v>Shopping: Clothing</v>
      </c>
      <c r="W24" t="s">
        <v>102</v>
      </c>
      <c r="X24" t="s">
        <v>91</v>
      </c>
      <c r="Y24" s="1">
        <v>90</v>
      </c>
      <c r="Z24" s="1" t="str">
        <f t="shared" si="13"/>
        <v>Shopping: $90.00</v>
      </c>
      <c r="AA24" s="1">
        <f>IF(Y24="","",ROUND(Y24*'Lookup Values'!$A$2,2))</f>
        <v>7.99</v>
      </c>
      <c r="AB24" s="12" t="str">
        <f t="shared" si="14"/>
        <v>Expense</v>
      </c>
      <c r="AC24" s="2" t="s">
        <v>187</v>
      </c>
      <c r="AD24" s="3">
        <f t="shared" si="15"/>
        <v>40855</v>
      </c>
      <c r="AE24" s="93" t="str">
        <f t="shared" si="16"/>
        <v>NO</v>
      </c>
      <c r="AF24" s="2" t="str">
        <f t="shared" si="17"/>
        <v>NO</v>
      </c>
      <c r="AG24" t="str">
        <f t="shared" si="18"/>
        <v>CRAP Transaction</v>
      </c>
    </row>
    <row r="25" spans="1:36" x14ac:dyDescent="0.25">
      <c r="A25" s="2">
        <v>24</v>
      </c>
      <c r="B25" s="3" t="str">
        <f t="shared" si="0"/>
        <v>080504-ED-SKI</v>
      </c>
      <c r="C25" s="3">
        <v>39572</v>
      </c>
      <c r="D25" s="3">
        <f t="shared" si="2"/>
        <v>39584</v>
      </c>
      <c r="E25" s="3">
        <f t="shared" si="3"/>
        <v>39633</v>
      </c>
      <c r="F25" s="3">
        <f t="shared" si="4"/>
        <v>39599</v>
      </c>
      <c r="G25" s="76">
        <f t="shared" si="5"/>
        <v>2008</v>
      </c>
      <c r="H25" s="76">
        <f t="shared" si="6"/>
        <v>5</v>
      </c>
      <c r="I25" s="76" t="str">
        <f>VLOOKUP(H25,'Lookup Values'!$C$2:$D$13,2,FALSE)</f>
        <v>MAY</v>
      </c>
      <c r="J25" s="76">
        <f t="shared" si="7"/>
        <v>4</v>
      </c>
      <c r="K25" s="76">
        <f t="shared" si="8"/>
        <v>1</v>
      </c>
      <c r="L25" s="76" t="str">
        <f>VLOOKUP(K25,'Lookup Values'!$F$2:$G$8,2,FALSE)</f>
        <v>Sunday</v>
      </c>
      <c r="M25" s="3">
        <v>39582</v>
      </c>
      <c r="N25" s="78">
        <f t="shared" si="1"/>
        <v>10</v>
      </c>
      <c r="O25" s="11">
        <v>0.10443762962124314</v>
      </c>
      <c r="P25" s="94">
        <f t="shared" si="9"/>
        <v>2</v>
      </c>
      <c r="Q25" s="94">
        <f t="shared" si="10"/>
        <v>30</v>
      </c>
      <c r="R25" s="94">
        <f t="shared" si="11"/>
        <v>23</v>
      </c>
      <c r="S25" s="94" t="str">
        <f>VLOOKUP(O25,'Lookup Values'!$I$2:$L$8,4,TRUE)</f>
        <v>Dead of Night</v>
      </c>
      <c r="T25" t="s">
        <v>86</v>
      </c>
      <c r="U25" t="s">
        <v>98</v>
      </c>
      <c r="V25" t="str">
        <f t="shared" si="12"/>
        <v>Education: Professional Development</v>
      </c>
      <c r="W25" t="s">
        <v>97</v>
      </c>
      <c r="X25" t="s">
        <v>91</v>
      </c>
      <c r="Y25" s="1">
        <v>360</v>
      </c>
      <c r="Z25" s="1" t="str">
        <f t="shared" si="13"/>
        <v>Education: $360.00</v>
      </c>
      <c r="AA25" s="1">
        <f>IF(Y25="","",ROUND(Y25*'Lookup Values'!$A$2,2))</f>
        <v>31.95</v>
      </c>
      <c r="AB25" s="12" t="str">
        <f t="shared" si="14"/>
        <v>Expense</v>
      </c>
      <c r="AC25" s="2" t="s">
        <v>188</v>
      </c>
      <c r="AD25" s="3">
        <f t="shared" si="15"/>
        <v>39572</v>
      </c>
      <c r="AE25" s="93" t="str">
        <f t="shared" si="16"/>
        <v>YES</v>
      </c>
      <c r="AF25" s="2" t="str">
        <f t="shared" si="17"/>
        <v>NO</v>
      </c>
      <c r="AG25" t="str">
        <f t="shared" si="18"/>
        <v>Late Transaction</v>
      </c>
    </row>
    <row r="26" spans="1:36" x14ac:dyDescent="0.25">
      <c r="A26" s="2">
        <v>25</v>
      </c>
      <c r="B26" s="3" t="str">
        <f t="shared" si="0"/>
        <v>080617-HO-BED</v>
      </c>
      <c r="C26" s="3">
        <v>39616</v>
      </c>
      <c r="D26" s="3">
        <f t="shared" si="2"/>
        <v>39630</v>
      </c>
      <c r="E26" s="3">
        <f t="shared" si="3"/>
        <v>39677</v>
      </c>
      <c r="F26" s="3">
        <f t="shared" si="4"/>
        <v>39629</v>
      </c>
      <c r="G26" s="76">
        <f t="shared" si="5"/>
        <v>2008</v>
      </c>
      <c r="H26" s="76">
        <f t="shared" si="6"/>
        <v>6</v>
      </c>
      <c r="I26" s="76" t="str">
        <f>VLOOKUP(H26,'Lookup Values'!$C$2:$D$13,2,FALSE)</f>
        <v>JUN</v>
      </c>
      <c r="J26" s="76">
        <f t="shared" si="7"/>
        <v>17</v>
      </c>
      <c r="K26" s="76">
        <f t="shared" si="8"/>
        <v>3</v>
      </c>
      <c r="L26" s="76" t="str">
        <f>VLOOKUP(K26,'Lookup Values'!$F$2:$G$8,2,FALSE)</f>
        <v>Tuesday</v>
      </c>
      <c r="M26" s="3">
        <v>39622</v>
      </c>
      <c r="N26" s="78">
        <f t="shared" si="1"/>
        <v>6</v>
      </c>
      <c r="O26" s="11">
        <v>0.63351024514370069</v>
      </c>
      <c r="P26" s="94">
        <f t="shared" si="9"/>
        <v>15</v>
      </c>
      <c r="Q26" s="94">
        <f t="shared" si="10"/>
        <v>12</v>
      </c>
      <c r="R26" s="94">
        <f t="shared" si="11"/>
        <v>15</v>
      </c>
      <c r="S26" s="94" t="str">
        <f>VLOOKUP(O26,'Lookup Values'!$I$2:$L$8,4,TRUE)</f>
        <v>Afternoon</v>
      </c>
      <c r="T26" t="s">
        <v>100</v>
      </c>
      <c r="U26" t="s">
        <v>101</v>
      </c>
      <c r="V26" t="str">
        <f t="shared" si="12"/>
        <v>Home: Cleaning Supplies</v>
      </c>
      <c r="W26" t="s">
        <v>99</v>
      </c>
      <c r="X26" t="s">
        <v>91</v>
      </c>
      <c r="Y26" s="1">
        <v>385</v>
      </c>
      <c r="Z26" s="1" t="str">
        <f t="shared" si="13"/>
        <v>Home: $385.00</v>
      </c>
      <c r="AA26" s="1">
        <f>IF(Y26="","",ROUND(Y26*'Lookup Values'!$A$2,2))</f>
        <v>34.17</v>
      </c>
      <c r="AB26" s="12" t="str">
        <f t="shared" si="14"/>
        <v>Expense</v>
      </c>
      <c r="AC26" s="2" t="s">
        <v>189</v>
      </c>
      <c r="AD26" s="3">
        <f t="shared" si="15"/>
        <v>39616</v>
      </c>
      <c r="AE26" s="93" t="str">
        <f t="shared" si="16"/>
        <v>NO</v>
      </c>
      <c r="AF26" s="2" t="str">
        <f t="shared" si="17"/>
        <v>NO</v>
      </c>
      <c r="AG26" t="str">
        <f t="shared" si="18"/>
        <v>Late Transaction</v>
      </c>
    </row>
    <row r="27" spans="1:36" x14ac:dyDescent="0.25">
      <c r="A27" s="2">
        <v>26</v>
      </c>
      <c r="B27" s="3" t="str">
        <f t="shared" si="0"/>
        <v>100306-ED-ANT</v>
      </c>
      <c r="C27" s="3">
        <v>40243</v>
      </c>
      <c r="D27" s="3">
        <f t="shared" si="2"/>
        <v>40256</v>
      </c>
      <c r="E27" s="3">
        <f t="shared" si="3"/>
        <v>40304</v>
      </c>
      <c r="F27" s="3">
        <f t="shared" si="4"/>
        <v>40268</v>
      </c>
      <c r="G27" s="76">
        <f t="shared" si="5"/>
        <v>2010</v>
      </c>
      <c r="H27" s="76">
        <f t="shared" si="6"/>
        <v>3</v>
      </c>
      <c r="I27" s="76" t="str">
        <f>VLOOKUP(H27,'Lookup Values'!$C$2:$D$13,2,FALSE)</f>
        <v>MAR</v>
      </c>
      <c r="J27" s="76">
        <f t="shared" si="7"/>
        <v>6</v>
      </c>
      <c r="K27" s="76">
        <f t="shared" si="8"/>
        <v>7</v>
      </c>
      <c r="L27" s="76" t="str">
        <f>VLOOKUP(K27,'Lookup Values'!$F$2:$G$8,2,FALSE)</f>
        <v>Saturday</v>
      </c>
      <c r="M27" s="3">
        <v>40252</v>
      </c>
      <c r="N27" s="78">
        <f t="shared" si="1"/>
        <v>9</v>
      </c>
      <c r="O27" s="11">
        <v>0.12055286451061575</v>
      </c>
      <c r="P27" s="94">
        <f t="shared" si="9"/>
        <v>2</v>
      </c>
      <c r="Q27" s="94">
        <f t="shared" si="10"/>
        <v>53</v>
      </c>
      <c r="R27" s="94">
        <f t="shared" si="11"/>
        <v>36</v>
      </c>
      <c r="S27" s="94" t="str">
        <f>VLOOKUP(O27,'Lookup Values'!$I$2:$L$8,4,TRUE)</f>
        <v>Dead of Night</v>
      </c>
      <c r="T27" t="s">
        <v>86</v>
      </c>
      <c r="U27" t="s">
        <v>87</v>
      </c>
      <c r="V27" t="str">
        <f t="shared" si="12"/>
        <v>Education: Tango Lessons</v>
      </c>
      <c r="W27" t="s">
        <v>85</v>
      </c>
      <c r="X27" t="s">
        <v>91</v>
      </c>
      <c r="Y27" s="1">
        <v>31</v>
      </c>
      <c r="Z27" s="1" t="str">
        <f t="shared" si="13"/>
        <v>Education: $31.00</v>
      </c>
      <c r="AA27" s="1">
        <f>IF(Y27="","",ROUND(Y27*'Lookup Values'!$A$2,2))</f>
        <v>2.75</v>
      </c>
      <c r="AB27" s="12" t="str">
        <f t="shared" si="14"/>
        <v>Expense</v>
      </c>
      <c r="AC27" s="2" t="s">
        <v>190</v>
      </c>
      <c r="AD27" s="3">
        <f t="shared" si="15"/>
        <v>40243</v>
      </c>
      <c r="AE27" s="93" t="str">
        <f t="shared" si="16"/>
        <v>NO</v>
      </c>
      <c r="AF27" s="2" t="str">
        <f t="shared" si="17"/>
        <v>NO</v>
      </c>
      <c r="AG27" t="str">
        <f t="shared" si="18"/>
        <v>Late Transaction</v>
      </c>
    </row>
    <row r="28" spans="1:36" x14ac:dyDescent="0.25">
      <c r="A28" s="2">
        <v>27</v>
      </c>
      <c r="B28" s="3" t="str">
        <f t="shared" si="0"/>
        <v>090420-FO-TRA</v>
      </c>
      <c r="C28" s="3">
        <v>39923</v>
      </c>
      <c r="D28" s="3">
        <f t="shared" si="2"/>
        <v>39937</v>
      </c>
      <c r="E28" s="3">
        <f t="shared" si="3"/>
        <v>39984</v>
      </c>
      <c r="F28" s="3">
        <f t="shared" si="4"/>
        <v>39933</v>
      </c>
      <c r="G28" s="76">
        <f t="shared" si="5"/>
        <v>2009</v>
      </c>
      <c r="H28" s="76">
        <f t="shared" si="6"/>
        <v>4</v>
      </c>
      <c r="I28" s="76" t="str">
        <f>VLOOKUP(H28,'Lookup Values'!$C$2:$D$13,2,FALSE)</f>
        <v>APR</v>
      </c>
      <c r="J28" s="76">
        <f t="shared" si="7"/>
        <v>20</v>
      </c>
      <c r="K28" s="76">
        <f t="shared" si="8"/>
        <v>2</v>
      </c>
      <c r="L28" s="76" t="str">
        <f>VLOOKUP(K28,'Lookup Values'!$F$2:$G$8,2,FALSE)</f>
        <v>Monday</v>
      </c>
      <c r="M28" s="3">
        <v>39925</v>
      </c>
      <c r="N28" s="78">
        <f t="shared" si="1"/>
        <v>2</v>
      </c>
      <c r="O28" s="11">
        <v>0.21919619998665507</v>
      </c>
      <c r="P28" s="94">
        <f t="shared" si="9"/>
        <v>5</v>
      </c>
      <c r="Q28" s="94">
        <f t="shared" si="10"/>
        <v>15</v>
      </c>
      <c r="R28" s="94">
        <f t="shared" si="11"/>
        <v>39</v>
      </c>
      <c r="S28" s="94" t="str">
        <f>VLOOKUP(O28,'Lookup Values'!$I$2:$L$8,4,TRUE)</f>
        <v>Early Morning</v>
      </c>
      <c r="T28" t="s">
        <v>80</v>
      </c>
      <c r="U28" t="s">
        <v>93</v>
      </c>
      <c r="V28" t="str">
        <f t="shared" si="12"/>
        <v>Food: Groceries</v>
      </c>
      <c r="W28" t="s">
        <v>92</v>
      </c>
      <c r="X28" t="s">
        <v>88</v>
      </c>
      <c r="Y28" s="1">
        <v>225</v>
      </c>
      <c r="Z28" s="1" t="str">
        <f t="shared" si="13"/>
        <v>Food: $225.00</v>
      </c>
      <c r="AA28" s="1">
        <f>IF(Y28="","",ROUND(Y28*'Lookup Values'!$A$2,2))</f>
        <v>19.97</v>
      </c>
      <c r="AB28" s="12" t="str">
        <f t="shared" si="14"/>
        <v>Expense</v>
      </c>
      <c r="AC28" s="2" t="s">
        <v>191</v>
      </c>
      <c r="AD28" s="3">
        <f t="shared" si="15"/>
        <v>39923</v>
      </c>
      <c r="AE28" s="93" t="str">
        <f t="shared" si="16"/>
        <v>NO</v>
      </c>
      <c r="AF28" s="2" t="str">
        <f t="shared" si="17"/>
        <v>NO</v>
      </c>
      <c r="AG28" t="str">
        <f t="shared" si="18"/>
        <v>Awesome Transaction</v>
      </c>
    </row>
    <row r="29" spans="1:36" x14ac:dyDescent="0.25">
      <c r="A29" s="2">
        <v>28</v>
      </c>
      <c r="B29" s="3" t="str">
        <f t="shared" si="0"/>
        <v>101120-IN-EZE</v>
      </c>
      <c r="C29" s="3">
        <v>40502</v>
      </c>
      <c r="D29" s="3">
        <f t="shared" si="2"/>
        <v>40515</v>
      </c>
      <c r="E29" s="3">
        <f t="shared" si="3"/>
        <v>40563</v>
      </c>
      <c r="F29" s="3">
        <f t="shared" si="4"/>
        <v>40512</v>
      </c>
      <c r="G29" s="76">
        <f t="shared" si="5"/>
        <v>2010</v>
      </c>
      <c r="H29" s="76">
        <f t="shared" si="6"/>
        <v>11</v>
      </c>
      <c r="I29" s="76" t="str">
        <f>VLOOKUP(H29,'Lookup Values'!$C$2:$D$13,2,FALSE)</f>
        <v>NOV</v>
      </c>
      <c r="J29" s="76">
        <f t="shared" si="7"/>
        <v>20</v>
      </c>
      <c r="K29" s="76">
        <f t="shared" si="8"/>
        <v>7</v>
      </c>
      <c r="L29" s="76" t="str">
        <f>VLOOKUP(K29,'Lookup Values'!$F$2:$G$8,2,FALSE)</f>
        <v>Saturday</v>
      </c>
      <c r="M29" s="3">
        <v>40511</v>
      </c>
      <c r="N29" s="78">
        <f t="shared" si="1"/>
        <v>9</v>
      </c>
      <c r="O29" s="11">
        <v>0.68637984120678597</v>
      </c>
      <c r="P29" s="94">
        <f t="shared" si="9"/>
        <v>16</v>
      </c>
      <c r="Q29" s="94">
        <f t="shared" si="10"/>
        <v>28</v>
      </c>
      <c r="R29" s="94">
        <f t="shared" si="11"/>
        <v>23</v>
      </c>
      <c r="S29" s="94" t="str">
        <f>VLOOKUP(O29,'Lookup Values'!$I$2:$L$8,4,TRUE)</f>
        <v>Afternoon</v>
      </c>
      <c r="T29" t="s">
        <v>158</v>
      </c>
      <c r="U29" t="s">
        <v>159</v>
      </c>
      <c r="V29" t="str">
        <f t="shared" si="12"/>
        <v>Income: Salary</v>
      </c>
      <c r="W29" t="s">
        <v>162</v>
      </c>
      <c r="X29" t="s">
        <v>78</v>
      </c>
      <c r="Y29" s="1">
        <v>64</v>
      </c>
      <c r="Z29" s="1" t="str">
        <f t="shared" si="13"/>
        <v>Income: $64.00</v>
      </c>
      <c r="AA29" s="1">
        <f>IF(Y29="","",ROUND(Y29*'Lookup Values'!$A$2,2))</f>
        <v>5.68</v>
      </c>
      <c r="AB29" s="12" t="str">
        <f t="shared" si="14"/>
        <v>Income</v>
      </c>
      <c r="AC29" s="2" t="s">
        <v>192</v>
      </c>
      <c r="AD29" s="3">
        <f t="shared" si="15"/>
        <v>40502</v>
      </c>
      <c r="AE29" s="93" t="str">
        <f t="shared" si="16"/>
        <v>NO</v>
      </c>
      <c r="AF29" s="2" t="str">
        <f t="shared" si="17"/>
        <v>NO</v>
      </c>
      <c r="AG29" t="str">
        <f t="shared" si="18"/>
        <v>Late Transaction</v>
      </c>
    </row>
    <row r="30" spans="1:36" x14ac:dyDescent="0.25">
      <c r="A30" s="2">
        <v>29</v>
      </c>
      <c r="B30" s="3" t="str">
        <f t="shared" si="0"/>
        <v>100413-EN-MOE</v>
      </c>
      <c r="C30" s="3">
        <v>40281</v>
      </c>
      <c r="D30" s="3">
        <f t="shared" si="2"/>
        <v>40295</v>
      </c>
      <c r="E30" s="3">
        <f t="shared" si="3"/>
        <v>40342</v>
      </c>
      <c r="F30" s="3">
        <f t="shared" si="4"/>
        <v>40298</v>
      </c>
      <c r="G30" s="76">
        <f t="shared" si="5"/>
        <v>2010</v>
      </c>
      <c r="H30" s="76">
        <f t="shared" si="6"/>
        <v>4</v>
      </c>
      <c r="I30" s="76" t="str">
        <f>VLOOKUP(H30,'Lookup Values'!$C$2:$D$13,2,FALSE)</f>
        <v>APR</v>
      </c>
      <c r="J30" s="76">
        <f t="shared" si="7"/>
        <v>13</v>
      </c>
      <c r="K30" s="76">
        <f t="shared" si="8"/>
        <v>3</v>
      </c>
      <c r="L30" s="76" t="str">
        <f>VLOOKUP(K30,'Lookup Values'!$F$2:$G$8,2,FALSE)</f>
        <v>Tuesday</v>
      </c>
      <c r="M30" s="3">
        <v>40287</v>
      </c>
      <c r="N30" s="78">
        <f t="shared" si="1"/>
        <v>6</v>
      </c>
      <c r="O30" s="11">
        <v>0.2105260649396814</v>
      </c>
      <c r="P30" s="94">
        <f t="shared" si="9"/>
        <v>5</v>
      </c>
      <c r="Q30" s="94">
        <f t="shared" si="10"/>
        <v>3</v>
      </c>
      <c r="R30" s="94">
        <f t="shared" si="11"/>
        <v>9</v>
      </c>
      <c r="S30" s="94" t="str">
        <f>VLOOKUP(O30,'Lookup Values'!$I$2:$L$8,4,TRUE)</f>
        <v>Early Morning</v>
      </c>
      <c r="T30" t="s">
        <v>76</v>
      </c>
      <c r="U30" t="s">
        <v>77</v>
      </c>
      <c r="V30" t="str">
        <f t="shared" si="12"/>
        <v>Entertainment: Alcohol</v>
      </c>
      <c r="W30" t="s">
        <v>75</v>
      </c>
      <c r="X30" t="s">
        <v>91</v>
      </c>
      <c r="Y30" s="1">
        <v>174</v>
      </c>
      <c r="Z30" s="1" t="str">
        <f t="shared" si="13"/>
        <v>Entertainment: $174.00</v>
      </c>
      <c r="AA30" s="1">
        <f>IF(Y30="","",ROUND(Y30*'Lookup Values'!$A$2,2))</f>
        <v>15.44</v>
      </c>
      <c r="AB30" s="12" t="str">
        <f t="shared" si="14"/>
        <v>Expense</v>
      </c>
      <c r="AC30" s="2" t="s">
        <v>193</v>
      </c>
      <c r="AD30" s="3">
        <f t="shared" si="15"/>
        <v>40281</v>
      </c>
      <c r="AE30" s="93" t="str">
        <f t="shared" si="16"/>
        <v>NO</v>
      </c>
      <c r="AF30" s="2" t="str">
        <f t="shared" si="17"/>
        <v>NO</v>
      </c>
      <c r="AG30" t="str">
        <f t="shared" si="18"/>
        <v>CRAP Transaction</v>
      </c>
    </row>
    <row r="31" spans="1:36" x14ac:dyDescent="0.25">
      <c r="A31" s="2">
        <v>30</v>
      </c>
      <c r="B31" s="3" t="str">
        <f t="shared" si="0"/>
        <v>080516-EN-MOE</v>
      </c>
      <c r="C31" s="3">
        <v>39584</v>
      </c>
      <c r="D31" s="3">
        <f t="shared" si="2"/>
        <v>39598</v>
      </c>
      <c r="E31" s="3">
        <f t="shared" si="3"/>
        <v>39645</v>
      </c>
      <c r="F31" s="3">
        <f t="shared" si="4"/>
        <v>39599</v>
      </c>
      <c r="G31" s="76">
        <f t="shared" si="5"/>
        <v>2008</v>
      </c>
      <c r="H31" s="76">
        <f t="shared" si="6"/>
        <v>5</v>
      </c>
      <c r="I31" s="76" t="str">
        <f>VLOOKUP(H31,'Lookup Values'!$C$2:$D$13,2,FALSE)</f>
        <v>MAY</v>
      </c>
      <c r="J31" s="76">
        <f t="shared" si="7"/>
        <v>16</v>
      </c>
      <c r="K31" s="76">
        <f t="shared" si="8"/>
        <v>6</v>
      </c>
      <c r="L31" s="76" t="str">
        <f>VLOOKUP(K31,'Lookup Values'!$F$2:$G$8,2,FALSE)</f>
        <v>Friday</v>
      </c>
      <c r="M31" s="3">
        <v>39588</v>
      </c>
      <c r="N31" s="78">
        <f t="shared" si="1"/>
        <v>4</v>
      </c>
      <c r="O31" s="11">
        <v>0.64549871419971327</v>
      </c>
      <c r="P31" s="94">
        <f t="shared" si="9"/>
        <v>15</v>
      </c>
      <c r="Q31" s="94">
        <f t="shared" si="10"/>
        <v>29</v>
      </c>
      <c r="R31" s="94">
        <f t="shared" si="11"/>
        <v>31</v>
      </c>
      <c r="S31" s="94" t="str">
        <f>VLOOKUP(O31,'Lookup Values'!$I$2:$L$8,4,TRUE)</f>
        <v>Afternoon</v>
      </c>
      <c r="T31" t="s">
        <v>76</v>
      </c>
      <c r="U31" t="s">
        <v>77</v>
      </c>
      <c r="V31" t="str">
        <f t="shared" si="12"/>
        <v>Entertainment: Alcohol</v>
      </c>
      <c r="W31" t="s">
        <v>75</v>
      </c>
      <c r="X31" t="s">
        <v>91</v>
      </c>
      <c r="Y31" s="1">
        <v>368</v>
      </c>
      <c r="Z31" s="1" t="str">
        <f t="shared" si="13"/>
        <v>Entertainment: $368.00</v>
      </c>
      <c r="AA31" s="1">
        <f>IF(Y31="","",ROUND(Y31*'Lookup Values'!$A$2,2))</f>
        <v>32.659999999999997</v>
      </c>
      <c r="AB31" s="12" t="str">
        <f t="shared" si="14"/>
        <v>Expense</v>
      </c>
      <c r="AC31" s="2" t="s">
        <v>194</v>
      </c>
      <c r="AD31" s="3">
        <f t="shared" si="15"/>
        <v>39584</v>
      </c>
      <c r="AE31" s="93" t="str">
        <f t="shared" si="16"/>
        <v>NO</v>
      </c>
      <c r="AF31" s="2" t="str">
        <f t="shared" si="17"/>
        <v>NO</v>
      </c>
      <c r="AG31" t="str">
        <f t="shared" si="18"/>
        <v>Awesome Transaction</v>
      </c>
    </row>
    <row r="32" spans="1:36" x14ac:dyDescent="0.25">
      <c r="A32" s="2">
        <v>31</v>
      </c>
      <c r="B32" s="3" t="str">
        <f t="shared" si="0"/>
        <v>070207-FO-CIT</v>
      </c>
      <c r="C32" s="3">
        <v>39120</v>
      </c>
      <c r="D32" s="3">
        <f t="shared" si="2"/>
        <v>39134</v>
      </c>
      <c r="E32" s="3">
        <f t="shared" si="3"/>
        <v>39179</v>
      </c>
      <c r="F32" s="3">
        <f t="shared" si="4"/>
        <v>39141</v>
      </c>
      <c r="G32" s="76">
        <f t="shared" si="5"/>
        <v>2007</v>
      </c>
      <c r="H32" s="76">
        <f t="shared" si="6"/>
        <v>2</v>
      </c>
      <c r="I32" s="76" t="str">
        <f>VLOOKUP(H32,'Lookup Values'!$C$2:$D$13,2,FALSE)</f>
        <v>FEB</v>
      </c>
      <c r="J32" s="76">
        <f t="shared" si="7"/>
        <v>7</v>
      </c>
      <c r="K32" s="76">
        <f t="shared" si="8"/>
        <v>4</v>
      </c>
      <c r="L32" s="76" t="str">
        <f>VLOOKUP(K32,'Lookup Values'!$F$2:$G$8,2,FALSE)</f>
        <v>Wednesday</v>
      </c>
      <c r="M32" s="3">
        <v>39129</v>
      </c>
      <c r="N32" s="78">
        <f t="shared" si="1"/>
        <v>9</v>
      </c>
      <c r="O32" s="11">
        <v>0.2791769665968139</v>
      </c>
      <c r="P32" s="94">
        <f t="shared" si="9"/>
        <v>6</v>
      </c>
      <c r="Q32" s="94">
        <f t="shared" si="10"/>
        <v>42</v>
      </c>
      <c r="R32" s="94">
        <f t="shared" si="11"/>
        <v>1</v>
      </c>
      <c r="S32" s="94" t="str">
        <f>VLOOKUP(O32,'Lookup Values'!$I$2:$L$8,4,TRUE)</f>
        <v>Early Morning</v>
      </c>
      <c r="T32" t="s">
        <v>80</v>
      </c>
      <c r="U32" t="s">
        <v>105</v>
      </c>
      <c r="V32" t="str">
        <f t="shared" si="12"/>
        <v>Food: Coffee</v>
      </c>
      <c r="W32" t="s">
        <v>104</v>
      </c>
      <c r="X32" t="s">
        <v>91</v>
      </c>
      <c r="Y32" s="1">
        <v>427</v>
      </c>
      <c r="Z32" s="1" t="str">
        <f t="shared" si="13"/>
        <v>Food: $427.00</v>
      </c>
      <c r="AA32" s="1">
        <f>IF(Y32="","",ROUND(Y32*'Lookup Values'!$A$2,2))</f>
        <v>37.9</v>
      </c>
      <c r="AB32" s="12" t="str">
        <f t="shared" si="14"/>
        <v>Expense</v>
      </c>
      <c r="AC32" s="2" t="s">
        <v>195</v>
      </c>
      <c r="AD32" s="3">
        <f t="shared" si="15"/>
        <v>39120</v>
      </c>
      <c r="AE32" s="93" t="str">
        <f t="shared" si="16"/>
        <v>NO</v>
      </c>
      <c r="AF32" s="2" t="str">
        <f t="shared" si="17"/>
        <v>NO</v>
      </c>
      <c r="AG32" t="str">
        <f t="shared" si="18"/>
        <v>Awesome Transaction</v>
      </c>
    </row>
    <row r="33" spans="1:33" x14ac:dyDescent="0.25">
      <c r="A33" s="2">
        <v>32</v>
      </c>
      <c r="B33" s="3" t="str">
        <f t="shared" si="0"/>
        <v>111130-FO-TRA</v>
      </c>
      <c r="C33" s="3">
        <v>40877</v>
      </c>
      <c r="D33" s="3">
        <f t="shared" si="2"/>
        <v>40891</v>
      </c>
      <c r="E33" s="3">
        <f t="shared" si="3"/>
        <v>40938</v>
      </c>
      <c r="F33" s="3">
        <f t="shared" si="4"/>
        <v>40877</v>
      </c>
      <c r="G33" s="76">
        <f t="shared" si="5"/>
        <v>2011</v>
      </c>
      <c r="H33" s="76">
        <f t="shared" si="6"/>
        <v>11</v>
      </c>
      <c r="I33" s="76" t="str">
        <f>VLOOKUP(H33,'Lookup Values'!$C$2:$D$13,2,FALSE)</f>
        <v>NOV</v>
      </c>
      <c r="J33" s="76">
        <f t="shared" si="7"/>
        <v>30</v>
      </c>
      <c r="K33" s="76">
        <f t="shared" si="8"/>
        <v>4</v>
      </c>
      <c r="L33" s="76" t="str">
        <f>VLOOKUP(K33,'Lookup Values'!$F$2:$G$8,2,FALSE)</f>
        <v>Wednesday</v>
      </c>
      <c r="M33" s="3">
        <v>40884</v>
      </c>
      <c r="N33" s="78">
        <f t="shared" si="1"/>
        <v>7</v>
      </c>
      <c r="O33" s="11">
        <v>0.70393383715453128</v>
      </c>
      <c r="P33" s="94">
        <f t="shared" si="9"/>
        <v>16</v>
      </c>
      <c r="Q33" s="94">
        <f t="shared" si="10"/>
        <v>53</v>
      </c>
      <c r="R33" s="94">
        <f t="shared" si="11"/>
        <v>40</v>
      </c>
      <c r="S33" s="94" t="str">
        <f>VLOOKUP(O33,'Lookup Values'!$I$2:$L$8,4,TRUE)</f>
        <v>Afternoon</v>
      </c>
      <c r="T33" t="s">
        <v>80</v>
      </c>
      <c r="U33" t="s">
        <v>93</v>
      </c>
      <c r="V33" t="str">
        <f t="shared" si="12"/>
        <v>Food: Groceries</v>
      </c>
      <c r="W33" t="s">
        <v>92</v>
      </c>
      <c r="X33" t="s">
        <v>78</v>
      </c>
      <c r="Y33" s="1">
        <v>248</v>
      </c>
      <c r="Z33" s="1" t="str">
        <f t="shared" si="13"/>
        <v>Food: $248.00</v>
      </c>
      <c r="AA33" s="1">
        <f>IF(Y33="","",ROUND(Y33*'Lookup Values'!$A$2,2))</f>
        <v>22.01</v>
      </c>
      <c r="AB33" s="12" t="str">
        <f t="shared" si="14"/>
        <v>Expense</v>
      </c>
      <c r="AC33" s="2" t="s">
        <v>196</v>
      </c>
      <c r="AD33" s="3">
        <f t="shared" si="15"/>
        <v>40877</v>
      </c>
      <c r="AE33" s="93" t="str">
        <f t="shared" si="16"/>
        <v>NO</v>
      </c>
      <c r="AF33" s="2" t="str">
        <f t="shared" si="17"/>
        <v>NO</v>
      </c>
      <c r="AG33" t="str">
        <f t="shared" si="18"/>
        <v>CRAP Transaction</v>
      </c>
    </row>
    <row r="34" spans="1:33" x14ac:dyDescent="0.25">
      <c r="A34" s="2">
        <v>33</v>
      </c>
      <c r="B34" s="3" t="str">
        <f t="shared" si="0"/>
        <v>090404-ED-ANT</v>
      </c>
      <c r="C34" s="3">
        <v>39907</v>
      </c>
      <c r="D34" s="3">
        <f t="shared" si="2"/>
        <v>39920</v>
      </c>
      <c r="E34" s="3">
        <f t="shared" si="3"/>
        <v>39968</v>
      </c>
      <c r="F34" s="3">
        <f t="shared" si="4"/>
        <v>39933</v>
      </c>
      <c r="G34" s="76">
        <f t="shared" si="5"/>
        <v>2009</v>
      </c>
      <c r="H34" s="76">
        <f t="shared" si="6"/>
        <v>4</v>
      </c>
      <c r="I34" s="76" t="str">
        <f>VLOOKUP(H34,'Lookup Values'!$C$2:$D$13,2,FALSE)</f>
        <v>APR</v>
      </c>
      <c r="J34" s="76">
        <f t="shared" si="7"/>
        <v>4</v>
      </c>
      <c r="K34" s="76">
        <f t="shared" si="8"/>
        <v>7</v>
      </c>
      <c r="L34" s="76" t="str">
        <f>VLOOKUP(K34,'Lookup Values'!$F$2:$G$8,2,FALSE)</f>
        <v>Saturday</v>
      </c>
      <c r="M34" s="3">
        <v>39915</v>
      </c>
      <c r="N34" s="78">
        <f t="shared" si="1"/>
        <v>8</v>
      </c>
      <c r="O34" s="11">
        <v>0.92336589790628931</v>
      </c>
      <c r="P34" s="94">
        <f t="shared" si="9"/>
        <v>22</v>
      </c>
      <c r="Q34" s="94">
        <f t="shared" si="10"/>
        <v>9</v>
      </c>
      <c r="R34" s="94">
        <f t="shared" si="11"/>
        <v>39</v>
      </c>
      <c r="S34" s="94" t="str">
        <f>VLOOKUP(O34,'Lookup Values'!$I$2:$L$8,4,TRUE)</f>
        <v>Late Evening</v>
      </c>
      <c r="T34" t="s">
        <v>86</v>
      </c>
      <c r="U34" t="s">
        <v>87</v>
      </c>
      <c r="V34" t="str">
        <f t="shared" si="12"/>
        <v>Education: Tango Lessons</v>
      </c>
      <c r="W34" t="s">
        <v>85</v>
      </c>
      <c r="X34" t="s">
        <v>91</v>
      </c>
      <c r="Y34" s="1">
        <v>249</v>
      </c>
      <c r="Z34" s="1" t="str">
        <f t="shared" si="13"/>
        <v>Education: $249.00</v>
      </c>
      <c r="AA34" s="1">
        <f>IF(Y34="","",ROUND(Y34*'Lookup Values'!$A$2,2))</f>
        <v>22.1</v>
      </c>
      <c r="AB34" s="12" t="str">
        <f t="shared" si="14"/>
        <v>Expense</v>
      </c>
      <c r="AC34" s="2" t="s">
        <v>197</v>
      </c>
      <c r="AD34" s="3">
        <f t="shared" si="15"/>
        <v>39907</v>
      </c>
      <c r="AE34" s="93" t="str">
        <f t="shared" si="16"/>
        <v>NO</v>
      </c>
      <c r="AF34" s="2" t="str">
        <f t="shared" si="17"/>
        <v>NO</v>
      </c>
      <c r="AG34" t="str">
        <f t="shared" si="18"/>
        <v>Late Transaction</v>
      </c>
    </row>
    <row r="35" spans="1:33" x14ac:dyDescent="0.25">
      <c r="A35" s="2">
        <v>34</v>
      </c>
      <c r="B35" s="3" t="str">
        <f t="shared" si="0"/>
        <v>090108-HE-FRE</v>
      </c>
      <c r="C35" s="3">
        <v>39821</v>
      </c>
      <c r="D35" s="3">
        <f t="shared" si="2"/>
        <v>39835</v>
      </c>
      <c r="E35" s="3">
        <f t="shared" si="3"/>
        <v>39880</v>
      </c>
      <c r="F35" s="3">
        <f t="shared" si="4"/>
        <v>39844</v>
      </c>
      <c r="G35" s="76">
        <f t="shared" si="5"/>
        <v>2009</v>
      </c>
      <c r="H35" s="76">
        <f t="shared" si="6"/>
        <v>1</v>
      </c>
      <c r="I35" s="76" t="str">
        <f>VLOOKUP(H35,'Lookup Values'!$C$2:$D$13,2,FALSE)</f>
        <v>JAN</v>
      </c>
      <c r="J35" s="76">
        <f t="shared" si="7"/>
        <v>8</v>
      </c>
      <c r="K35" s="76">
        <f t="shared" si="8"/>
        <v>5</v>
      </c>
      <c r="L35" s="76" t="str">
        <f>VLOOKUP(K35,'Lookup Values'!$F$2:$G$8,2,FALSE)</f>
        <v>Thursday</v>
      </c>
      <c r="M35" s="3">
        <v>39822</v>
      </c>
      <c r="N35" s="78">
        <f t="shared" si="1"/>
        <v>1</v>
      </c>
      <c r="O35" s="11">
        <v>0.78795948885251188</v>
      </c>
      <c r="P35" s="94">
        <f t="shared" si="9"/>
        <v>18</v>
      </c>
      <c r="Q35" s="94">
        <f t="shared" si="10"/>
        <v>54</v>
      </c>
      <c r="R35" s="94">
        <f t="shared" si="11"/>
        <v>40</v>
      </c>
      <c r="S35" s="94" t="str">
        <f>VLOOKUP(O35,'Lookup Values'!$I$2:$L$8,4,TRUE)</f>
        <v>Evening</v>
      </c>
      <c r="T35" t="s">
        <v>107</v>
      </c>
      <c r="U35" t="s">
        <v>108</v>
      </c>
      <c r="V35" t="str">
        <f t="shared" si="12"/>
        <v>Health: Insurance Premium</v>
      </c>
      <c r="W35" t="s">
        <v>106</v>
      </c>
      <c r="X35" t="s">
        <v>88</v>
      </c>
      <c r="Y35" s="1">
        <v>444</v>
      </c>
      <c r="Z35" s="1" t="str">
        <f t="shared" si="13"/>
        <v>Health: $444.00</v>
      </c>
      <c r="AA35" s="1">
        <f>IF(Y35="","",ROUND(Y35*'Lookup Values'!$A$2,2))</f>
        <v>39.409999999999997</v>
      </c>
      <c r="AB35" s="12" t="str">
        <f t="shared" si="14"/>
        <v>Expense</v>
      </c>
      <c r="AC35" s="2" t="s">
        <v>198</v>
      </c>
      <c r="AD35" s="3">
        <f t="shared" si="15"/>
        <v>39821</v>
      </c>
      <c r="AE35" s="93" t="str">
        <f t="shared" si="16"/>
        <v>NO</v>
      </c>
      <c r="AF35" s="2" t="str">
        <f t="shared" si="17"/>
        <v>NO</v>
      </c>
      <c r="AG35" t="str">
        <f t="shared" si="18"/>
        <v>Late Transaction</v>
      </c>
    </row>
    <row r="36" spans="1:33" x14ac:dyDescent="0.25">
      <c r="A36" s="2">
        <v>35</v>
      </c>
      <c r="B36" s="3" t="str">
        <f t="shared" si="0"/>
        <v>091208-HE-FRE</v>
      </c>
      <c r="C36" s="3">
        <v>40155</v>
      </c>
      <c r="D36" s="3">
        <f t="shared" si="2"/>
        <v>40169</v>
      </c>
      <c r="E36" s="3">
        <f t="shared" si="3"/>
        <v>40217</v>
      </c>
      <c r="F36" s="3">
        <f t="shared" si="4"/>
        <v>40178</v>
      </c>
      <c r="G36" s="76">
        <f t="shared" si="5"/>
        <v>2009</v>
      </c>
      <c r="H36" s="76">
        <f t="shared" si="6"/>
        <v>12</v>
      </c>
      <c r="I36" s="76" t="str">
        <f>VLOOKUP(H36,'Lookup Values'!$C$2:$D$13,2,FALSE)</f>
        <v>DEC</v>
      </c>
      <c r="J36" s="76">
        <f t="shared" si="7"/>
        <v>8</v>
      </c>
      <c r="K36" s="76">
        <f t="shared" si="8"/>
        <v>3</v>
      </c>
      <c r="L36" s="76" t="str">
        <f>VLOOKUP(K36,'Lookup Values'!$F$2:$G$8,2,FALSE)</f>
        <v>Tuesday</v>
      </c>
      <c r="M36" s="3">
        <v>40157</v>
      </c>
      <c r="N36" s="78">
        <f t="shared" si="1"/>
        <v>2</v>
      </c>
      <c r="O36" s="11">
        <v>0.36493936485911582</v>
      </c>
      <c r="P36" s="94">
        <f t="shared" si="9"/>
        <v>8</v>
      </c>
      <c r="Q36" s="94">
        <f t="shared" si="10"/>
        <v>45</v>
      </c>
      <c r="R36" s="94">
        <f t="shared" si="11"/>
        <v>31</v>
      </c>
      <c r="S36" s="94" t="str">
        <f>VLOOKUP(O36,'Lookup Values'!$I$2:$L$8,4,TRUE)</f>
        <v>Morning</v>
      </c>
      <c r="T36" t="s">
        <v>107</v>
      </c>
      <c r="U36" t="s">
        <v>108</v>
      </c>
      <c r="V36" t="str">
        <f t="shared" si="12"/>
        <v>Health: Insurance Premium</v>
      </c>
      <c r="W36" t="s">
        <v>106</v>
      </c>
      <c r="X36" t="s">
        <v>91</v>
      </c>
      <c r="Y36" s="1">
        <v>14</v>
      </c>
      <c r="Z36" s="1" t="str">
        <f t="shared" si="13"/>
        <v>Health: $14.00</v>
      </c>
      <c r="AA36" s="1">
        <f>IF(Y36="","",ROUND(Y36*'Lookup Values'!$A$2,2))</f>
        <v>1.24</v>
      </c>
      <c r="AB36" s="12" t="str">
        <f t="shared" si="14"/>
        <v>Expense</v>
      </c>
      <c r="AC36" s="2" t="s">
        <v>199</v>
      </c>
      <c r="AD36" s="3">
        <f t="shared" si="15"/>
        <v>40155</v>
      </c>
      <c r="AE36" s="93" t="str">
        <f t="shared" si="16"/>
        <v>NO</v>
      </c>
      <c r="AF36" s="2" t="str">
        <f t="shared" si="17"/>
        <v>NO</v>
      </c>
      <c r="AG36" t="str">
        <f t="shared" si="18"/>
        <v>Late Transaction</v>
      </c>
    </row>
    <row r="37" spans="1:33" x14ac:dyDescent="0.25">
      <c r="A37" s="2">
        <v>36</v>
      </c>
      <c r="B37" s="3" t="str">
        <f t="shared" si="0"/>
        <v>090819-EN-MOE</v>
      </c>
      <c r="C37" s="3">
        <v>40044</v>
      </c>
      <c r="D37" s="3">
        <f t="shared" si="2"/>
        <v>40058</v>
      </c>
      <c r="E37" s="3">
        <f t="shared" si="3"/>
        <v>40105</v>
      </c>
      <c r="F37" s="3">
        <f t="shared" si="4"/>
        <v>40056</v>
      </c>
      <c r="G37" s="76">
        <f t="shared" si="5"/>
        <v>2009</v>
      </c>
      <c r="H37" s="76">
        <f t="shared" si="6"/>
        <v>8</v>
      </c>
      <c r="I37" s="76" t="str">
        <f>VLOOKUP(H37,'Lookup Values'!$C$2:$D$13,2,FALSE)</f>
        <v>AUG</v>
      </c>
      <c r="J37" s="76">
        <f t="shared" si="7"/>
        <v>19</v>
      </c>
      <c r="K37" s="76">
        <f t="shared" si="8"/>
        <v>4</v>
      </c>
      <c r="L37" s="76" t="str">
        <f>VLOOKUP(K37,'Lookup Values'!$F$2:$G$8,2,FALSE)</f>
        <v>Wednesday</v>
      </c>
      <c r="M37" s="3">
        <v>40046</v>
      </c>
      <c r="N37" s="78">
        <f t="shared" si="1"/>
        <v>2</v>
      </c>
      <c r="O37" s="11">
        <v>7.3808122267489784E-2</v>
      </c>
      <c r="P37" s="94">
        <f t="shared" si="9"/>
        <v>1</v>
      </c>
      <c r="Q37" s="94">
        <f t="shared" si="10"/>
        <v>46</v>
      </c>
      <c r="R37" s="94">
        <f t="shared" si="11"/>
        <v>17</v>
      </c>
      <c r="S37" s="94" t="str">
        <f>VLOOKUP(O37,'Lookup Values'!$I$2:$L$8,4,TRUE)</f>
        <v>Dead of Night</v>
      </c>
      <c r="T37" t="s">
        <v>76</v>
      </c>
      <c r="U37" t="s">
        <v>77</v>
      </c>
      <c r="V37" t="str">
        <f t="shared" si="12"/>
        <v>Entertainment: Alcohol</v>
      </c>
      <c r="W37" t="s">
        <v>75</v>
      </c>
      <c r="X37" t="s">
        <v>78</v>
      </c>
      <c r="Y37" s="1">
        <v>17</v>
      </c>
      <c r="Z37" s="1" t="str">
        <f t="shared" si="13"/>
        <v>Entertainment: $17.00</v>
      </c>
      <c r="AA37" s="1">
        <f>IF(Y37="","",ROUND(Y37*'Lookup Values'!$A$2,2))</f>
        <v>1.51</v>
      </c>
      <c r="AB37" s="12" t="str">
        <f t="shared" si="14"/>
        <v>Expense</v>
      </c>
      <c r="AC37" s="2" t="s">
        <v>200</v>
      </c>
      <c r="AD37" s="3">
        <f t="shared" si="15"/>
        <v>40044</v>
      </c>
      <c r="AE37" s="93" t="str">
        <f t="shared" si="16"/>
        <v>NO</v>
      </c>
      <c r="AF37" s="2" t="str">
        <f t="shared" si="17"/>
        <v>NO</v>
      </c>
      <c r="AG37" t="str">
        <f t="shared" si="18"/>
        <v>Awesome Transaction</v>
      </c>
    </row>
    <row r="38" spans="1:33" x14ac:dyDescent="0.25">
      <c r="A38" s="2">
        <v>37</v>
      </c>
      <c r="B38" s="3" t="str">
        <f t="shared" si="0"/>
        <v>110202-IN-AUN</v>
      </c>
      <c r="C38" s="3">
        <v>40576</v>
      </c>
      <c r="D38" s="3">
        <f t="shared" si="2"/>
        <v>40590</v>
      </c>
      <c r="E38" s="3">
        <f t="shared" si="3"/>
        <v>40635</v>
      </c>
      <c r="F38" s="3">
        <f t="shared" si="4"/>
        <v>40602</v>
      </c>
      <c r="G38" s="76">
        <f t="shared" si="5"/>
        <v>2011</v>
      </c>
      <c r="H38" s="76">
        <f t="shared" si="6"/>
        <v>2</v>
      </c>
      <c r="I38" s="76" t="str">
        <f>VLOOKUP(H38,'Lookup Values'!$C$2:$D$13,2,FALSE)</f>
        <v>FEB</v>
      </c>
      <c r="J38" s="76">
        <f t="shared" si="7"/>
        <v>2</v>
      </c>
      <c r="K38" s="76">
        <f t="shared" si="8"/>
        <v>4</v>
      </c>
      <c r="L38" s="76" t="str">
        <f>VLOOKUP(K38,'Lookup Values'!$F$2:$G$8,2,FALSE)</f>
        <v>Wednesday</v>
      </c>
      <c r="M38" s="3">
        <v>40583</v>
      </c>
      <c r="N38" s="78">
        <f t="shared" si="1"/>
        <v>7</v>
      </c>
      <c r="O38" s="11">
        <v>0.407725995984907</v>
      </c>
      <c r="P38" s="94">
        <f t="shared" si="9"/>
        <v>9</v>
      </c>
      <c r="Q38" s="94">
        <f t="shared" si="10"/>
        <v>47</v>
      </c>
      <c r="R38" s="94">
        <f t="shared" si="11"/>
        <v>8</v>
      </c>
      <c r="S38" s="94" t="str">
        <f>VLOOKUP(O38,'Lookup Values'!$I$2:$L$8,4,TRUE)</f>
        <v>Morning</v>
      </c>
      <c r="T38" t="s">
        <v>158</v>
      </c>
      <c r="U38" t="s">
        <v>161</v>
      </c>
      <c r="V38" t="str">
        <f t="shared" si="12"/>
        <v>Income: Gift Received</v>
      </c>
      <c r="W38" t="s">
        <v>164</v>
      </c>
      <c r="X38" t="s">
        <v>88</v>
      </c>
      <c r="Y38" s="1">
        <v>167</v>
      </c>
      <c r="Z38" s="1" t="str">
        <f t="shared" si="13"/>
        <v>Income: $167.00</v>
      </c>
      <c r="AA38" s="1">
        <f>IF(Y38="","",ROUND(Y38*'Lookup Values'!$A$2,2))</f>
        <v>14.82</v>
      </c>
      <c r="AB38" s="12" t="str">
        <f t="shared" si="14"/>
        <v>Income</v>
      </c>
      <c r="AC38" s="2" t="s">
        <v>201</v>
      </c>
      <c r="AD38" s="3">
        <f t="shared" si="15"/>
        <v>40576</v>
      </c>
      <c r="AE38" s="93" t="str">
        <f t="shared" si="16"/>
        <v>NO</v>
      </c>
      <c r="AF38" s="2" t="str">
        <f t="shared" si="17"/>
        <v>NO</v>
      </c>
      <c r="AG38" t="str">
        <f t="shared" si="18"/>
        <v>CRAP Transaction</v>
      </c>
    </row>
    <row r="39" spans="1:33" x14ac:dyDescent="0.25">
      <c r="A39" s="2">
        <v>38</v>
      </c>
      <c r="B39" s="3" t="str">
        <f t="shared" si="0"/>
        <v>100630-SH-EXP</v>
      </c>
      <c r="C39" s="3">
        <v>40359</v>
      </c>
      <c r="D39" s="3">
        <f t="shared" si="2"/>
        <v>40373</v>
      </c>
      <c r="E39" s="3">
        <f t="shared" si="3"/>
        <v>40420</v>
      </c>
      <c r="F39" s="3">
        <f t="shared" si="4"/>
        <v>40359</v>
      </c>
      <c r="G39" s="76">
        <f t="shared" si="5"/>
        <v>2010</v>
      </c>
      <c r="H39" s="76">
        <f t="shared" si="6"/>
        <v>6</v>
      </c>
      <c r="I39" s="76" t="str">
        <f>VLOOKUP(H39,'Lookup Values'!$C$2:$D$13,2,FALSE)</f>
        <v>JUN</v>
      </c>
      <c r="J39" s="76">
        <f t="shared" si="7"/>
        <v>30</v>
      </c>
      <c r="K39" s="76">
        <f t="shared" si="8"/>
        <v>4</v>
      </c>
      <c r="L39" s="76" t="str">
        <f>VLOOKUP(K39,'Lookup Values'!$F$2:$G$8,2,FALSE)</f>
        <v>Wednesday</v>
      </c>
      <c r="M39" s="3">
        <v>40360</v>
      </c>
      <c r="N39" s="78">
        <f t="shared" si="1"/>
        <v>1</v>
      </c>
      <c r="O39" s="11">
        <v>0.41112171363321615</v>
      </c>
      <c r="P39" s="94">
        <f t="shared" si="9"/>
        <v>9</v>
      </c>
      <c r="Q39" s="94">
        <f t="shared" si="10"/>
        <v>52</v>
      </c>
      <c r="R39" s="94">
        <f t="shared" si="11"/>
        <v>1</v>
      </c>
      <c r="S39" s="94" t="str">
        <f>VLOOKUP(O39,'Lookup Values'!$I$2:$L$8,4,TRUE)</f>
        <v>Morning</v>
      </c>
      <c r="T39" t="s">
        <v>83</v>
      </c>
      <c r="U39" t="s">
        <v>103</v>
      </c>
      <c r="V39" t="str">
        <f t="shared" si="12"/>
        <v>Shopping: Clothing</v>
      </c>
      <c r="W39" t="s">
        <v>102</v>
      </c>
      <c r="X39" t="s">
        <v>78</v>
      </c>
      <c r="Y39" s="1">
        <v>74</v>
      </c>
      <c r="Z39" s="1" t="str">
        <f t="shared" si="13"/>
        <v>Shopping: $74.00</v>
      </c>
      <c r="AA39" s="1">
        <f>IF(Y39="","",ROUND(Y39*'Lookup Values'!$A$2,2))</f>
        <v>6.57</v>
      </c>
      <c r="AB39" s="12" t="str">
        <f t="shared" si="14"/>
        <v>Expense</v>
      </c>
      <c r="AC39" s="2" t="s">
        <v>202</v>
      </c>
      <c r="AD39" s="3">
        <f t="shared" si="15"/>
        <v>40359</v>
      </c>
      <c r="AE39" s="93" t="str">
        <f t="shared" si="16"/>
        <v>NO</v>
      </c>
      <c r="AF39" s="2" t="str">
        <f t="shared" si="17"/>
        <v>NO</v>
      </c>
      <c r="AG39" t="str">
        <f t="shared" si="18"/>
        <v>Late Transaction</v>
      </c>
    </row>
    <row r="40" spans="1:33" x14ac:dyDescent="0.25">
      <c r="A40" s="2">
        <v>39</v>
      </c>
      <c r="B40" s="3" t="str">
        <f t="shared" si="0"/>
        <v>120725-IN-EZE</v>
      </c>
      <c r="C40" s="3">
        <v>41115</v>
      </c>
      <c r="D40" s="3">
        <f t="shared" si="2"/>
        <v>41129</v>
      </c>
      <c r="E40" s="3">
        <f t="shared" si="3"/>
        <v>41177</v>
      </c>
      <c r="F40" s="3">
        <f t="shared" si="4"/>
        <v>41121</v>
      </c>
      <c r="G40" s="76">
        <f t="shared" si="5"/>
        <v>2012</v>
      </c>
      <c r="H40" s="76">
        <f t="shared" si="6"/>
        <v>7</v>
      </c>
      <c r="I40" s="76" t="str">
        <f>VLOOKUP(H40,'Lookup Values'!$C$2:$D$13,2,FALSE)</f>
        <v>JUL</v>
      </c>
      <c r="J40" s="76">
        <f t="shared" si="7"/>
        <v>25</v>
      </c>
      <c r="K40" s="76">
        <f t="shared" si="8"/>
        <v>4</v>
      </c>
      <c r="L40" s="76" t="str">
        <f>VLOOKUP(K40,'Lookup Values'!$F$2:$G$8,2,FALSE)</f>
        <v>Wednesday</v>
      </c>
      <c r="M40" s="3">
        <v>41116</v>
      </c>
      <c r="N40" s="78">
        <f t="shared" si="1"/>
        <v>1</v>
      </c>
      <c r="O40" s="11">
        <v>0.79216856672168179</v>
      </c>
      <c r="P40" s="94">
        <f t="shared" si="9"/>
        <v>19</v>
      </c>
      <c r="Q40" s="94">
        <f t="shared" si="10"/>
        <v>0</v>
      </c>
      <c r="R40" s="94">
        <f t="shared" si="11"/>
        <v>43</v>
      </c>
      <c r="S40" s="94" t="str">
        <f>VLOOKUP(O40,'Lookup Values'!$I$2:$L$8,4,TRUE)</f>
        <v>Evening</v>
      </c>
      <c r="T40" t="s">
        <v>158</v>
      </c>
      <c r="U40" t="s">
        <v>159</v>
      </c>
      <c r="V40" t="str">
        <f t="shared" si="12"/>
        <v>Income: Salary</v>
      </c>
      <c r="W40" t="s">
        <v>162</v>
      </c>
      <c r="X40" t="s">
        <v>91</v>
      </c>
      <c r="Y40" s="1">
        <v>50</v>
      </c>
      <c r="Z40" s="1" t="str">
        <f t="shared" si="13"/>
        <v>Income: $50.00</v>
      </c>
      <c r="AA40" s="1">
        <f>IF(Y40="","",ROUND(Y40*'Lookup Values'!$A$2,2))</f>
        <v>4.4400000000000004</v>
      </c>
      <c r="AB40" s="12" t="str">
        <f t="shared" si="14"/>
        <v>Income</v>
      </c>
      <c r="AC40" s="2" t="s">
        <v>203</v>
      </c>
      <c r="AD40" s="3">
        <f t="shared" si="15"/>
        <v>41115</v>
      </c>
      <c r="AE40" s="93" t="str">
        <f t="shared" si="16"/>
        <v>NO</v>
      </c>
      <c r="AF40" s="2" t="str">
        <f t="shared" si="17"/>
        <v>NO</v>
      </c>
      <c r="AG40" t="str">
        <f t="shared" si="18"/>
        <v>CRAP Transaction</v>
      </c>
    </row>
    <row r="41" spans="1:33" x14ac:dyDescent="0.25">
      <c r="A41" s="2">
        <v>40</v>
      </c>
      <c r="B41" s="3" t="str">
        <f t="shared" si="0"/>
        <v>070223-ED-SKI</v>
      </c>
      <c r="C41" s="3">
        <v>39136</v>
      </c>
      <c r="D41" s="3">
        <f t="shared" si="2"/>
        <v>39150</v>
      </c>
      <c r="E41" s="3">
        <f t="shared" si="3"/>
        <v>39195</v>
      </c>
      <c r="F41" s="3">
        <f t="shared" si="4"/>
        <v>39141</v>
      </c>
      <c r="G41" s="76">
        <f t="shared" si="5"/>
        <v>2007</v>
      </c>
      <c r="H41" s="76">
        <f t="shared" si="6"/>
        <v>2</v>
      </c>
      <c r="I41" s="76" t="str">
        <f>VLOOKUP(H41,'Lookup Values'!$C$2:$D$13,2,FALSE)</f>
        <v>FEB</v>
      </c>
      <c r="J41" s="76">
        <f t="shared" si="7"/>
        <v>23</v>
      </c>
      <c r="K41" s="76">
        <f t="shared" si="8"/>
        <v>6</v>
      </c>
      <c r="L41" s="76" t="str">
        <f>VLOOKUP(K41,'Lookup Values'!$F$2:$G$8,2,FALSE)</f>
        <v>Friday</v>
      </c>
      <c r="M41" s="3">
        <v>39143</v>
      </c>
      <c r="N41" s="78">
        <f t="shared" si="1"/>
        <v>7</v>
      </c>
      <c r="O41" s="11">
        <v>0.44909879719805168</v>
      </c>
      <c r="P41" s="94">
        <f t="shared" si="9"/>
        <v>10</v>
      </c>
      <c r="Q41" s="94">
        <f t="shared" si="10"/>
        <v>46</v>
      </c>
      <c r="R41" s="94">
        <f t="shared" si="11"/>
        <v>42</v>
      </c>
      <c r="S41" s="94" t="str">
        <f>VLOOKUP(O41,'Lookup Values'!$I$2:$L$8,4,TRUE)</f>
        <v>Late Morning</v>
      </c>
      <c r="T41" t="s">
        <v>86</v>
      </c>
      <c r="U41" t="s">
        <v>98</v>
      </c>
      <c r="V41" t="str">
        <f t="shared" si="12"/>
        <v>Education: Professional Development</v>
      </c>
      <c r="W41" t="s">
        <v>97</v>
      </c>
      <c r="X41" t="s">
        <v>91</v>
      </c>
      <c r="Y41" s="1">
        <v>491</v>
      </c>
      <c r="Z41" s="1" t="str">
        <f t="shared" si="13"/>
        <v>Education: $491.00</v>
      </c>
      <c r="AA41" s="1">
        <f>IF(Y41="","",ROUND(Y41*'Lookup Values'!$A$2,2))</f>
        <v>43.58</v>
      </c>
      <c r="AB41" s="12" t="str">
        <f t="shared" si="14"/>
        <v>Expense</v>
      </c>
      <c r="AC41" s="2" t="s">
        <v>204</v>
      </c>
      <c r="AD41" s="3">
        <f t="shared" si="15"/>
        <v>39136</v>
      </c>
      <c r="AE41" s="93" t="str">
        <f t="shared" si="16"/>
        <v>YES</v>
      </c>
      <c r="AF41" s="2" t="str">
        <f t="shared" si="17"/>
        <v>YES</v>
      </c>
      <c r="AG41" t="str">
        <f t="shared" si="18"/>
        <v>Late Transaction</v>
      </c>
    </row>
    <row r="42" spans="1:33" x14ac:dyDescent="0.25">
      <c r="A42" s="2">
        <v>41</v>
      </c>
      <c r="B42" s="3" t="str">
        <f t="shared" si="0"/>
        <v>100306-FO-BAN</v>
      </c>
      <c r="C42" s="3">
        <v>40243</v>
      </c>
      <c r="D42" s="3">
        <f t="shared" si="2"/>
        <v>40256</v>
      </c>
      <c r="E42" s="3">
        <f t="shared" si="3"/>
        <v>40304</v>
      </c>
      <c r="F42" s="3">
        <f t="shared" si="4"/>
        <v>40268</v>
      </c>
      <c r="G42" s="76">
        <f t="shared" si="5"/>
        <v>2010</v>
      </c>
      <c r="H42" s="76">
        <f t="shared" si="6"/>
        <v>3</v>
      </c>
      <c r="I42" s="76" t="str">
        <f>VLOOKUP(H42,'Lookup Values'!$C$2:$D$13,2,FALSE)</f>
        <v>MAR</v>
      </c>
      <c r="J42" s="76">
        <f t="shared" si="7"/>
        <v>6</v>
      </c>
      <c r="K42" s="76">
        <f t="shared" si="8"/>
        <v>7</v>
      </c>
      <c r="L42" s="76" t="str">
        <f>VLOOKUP(K42,'Lookup Values'!$F$2:$G$8,2,FALSE)</f>
        <v>Saturday</v>
      </c>
      <c r="M42" s="3">
        <v>40247</v>
      </c>
      <c r="N42" s="78">
        <f t="shared" si="1"/>
        <v>4</v>
      </c>
      <c r="O42" s="11">
        <v>0.14077069638148099</v>
      </c>
      <c r="P42" s="94">
        <f t="shared" si="9"/>
        <v>3</v>
      </c>
      <c r="Q42" s="94">
        <f t="shared" si="10"/>
        <v>22</v>
      </c>
      <c r="R42" s="94">
        <f t="shared" si="11"/>
        <v>43</v>
      </c>
      <c r="S42" s="94" t="str">
        <f>VLOOKUP(O42,'Lookup Values'!$I$2:$L$8,4,TRUE)</f>
        <v>Dead of Night</v>
      </c>
      <c r="T42" t="s">
        <v>80</v>
      </c>
      <c r="U42" t="s">
        <v>81</v>
      </c>
      <c r="V42" t="str">
        <f t="shared" si="12"/>
        <v>Food: Restaurants</v>
      </c>
      <c r="W42" t="s">
        <v>79</v>
      </c>
      <c r="X42" t="s">
        <v>91</v>
      </c>
      <c r="Y42" s="1">
        <v>268</v>
      </c>
      <c r="Z42" s="1" t="str">
        <f t="shared" si="13"/>
        <v>Food: $268.00</v>
      </c>
      <c r="AA42" s="1">
        <f>IF(Y42="","",ROUND(Y42*'Lookup Values'!$A$2,2))</f>
        <v>23.79</v>
      </c>
      <c r="AB42" s="12" t="str">
        <f t="shared" si="14"/>
        <v>Expense</v>
      </c>
      <c r="AC42" s="2" t="s">
        <v>190</v>
      </c>
      <c r="AD42" s="3">
        <f t="shared" si="15"/>
        <v>40243</v>
      </c>
      <c r="AE42" s="93" t="str">
        <f t="shared" si="16"/>
        <v>NO</v>
      </c>
      <c r="AF42" s="2" t="str">
        <f t="shared" si="17"/>
        <v>NO</v>
      </c>
      <c r="AG42" t="str">
        <f t="shared" si="18"/>
        <v>Late Transaction</v>
      </c>
    </row>
    <row r="43" spans="1:33" x14ac:dyDescent="0.25">
      <c r="A43" s="2">
        <v>42</v>
      </c>
      <c r="B43" s="3" t="str">
        <f t="shared" si="0"/>
        <v>070505-HE-FRE</v>
      </c>
      <c r="C43" s="3">
        <v>39207</v>
      </c>
      <c r="D43" s="3">
        <f t="shared" si="2"/>
        <v>39220</v>
      </c>
      <c r="E43" s="3">
        <f t="shared" si="3"/>
        <v>39268</v>
      </c>
      <c r="F43" s="3">
        <f t="shared" si="4"/>
        <v>39233</v>
      </c>
      <c r="G43" s="76">
        <f t="shared" si="5"/>
        <v>2007</v>
      </c>
      <c r="H43" s="76">
        <f t="shared" si="6"/>
        <v>5</v>
      </c>
      <c r="I43" s="76" t="str">
        <f>VLOOKUP(H43,'Lookup Values'!$C$2:$D$13,2,FALSE)</f>
        <v>MAY</v>
      </c>
      <c r="J43" s="76">
        <f t="shared" si="7"/>
        <v>5</v>
      </c>
      <c r="K43" s="76">
        <f t="shared" si="8"/>
        <v>7</v>
      </c>
      <c r="L43" s="76" t="str">
        <f>VLOOKUP(K43,'Lookup Values'!$F$2:$G$8,2,FALSE)</f>
        <v>Saturday</v>
      </c>
      <c r="M43" s="3">
        <v>39210</v>
      </c>
      <c r="N43" s="78">
        <f t="shared" si="1"/>
        <v>3</v>
      </c>
      <c r="O43" s="11">
        <v>0.53085339012401311</v>
      </c>
      <c r="P43" s="94">
        <f t="shared" si="9"/>
        <v>12</v>
      </c>
      <c r="Q43" s="94">
        <f t="shared" si="10"/>
        <v>44</v>
      </c>
      <c r="R43" s="94">
        <f t="shared" si="11"/>
        <v>26</v>
      </c>
      <c r="S43" s="94" t="str">
        <f>VLOOKUP(O43,'Lookup Values'!$I$2:$L$8,4,TRUE)</f>
        <v>Afternoon</v>
      </c>
      <c r="T43" t="s">
        <v>107</v>
      </c>
      <c r="U43" t="s">
        <v>108</v>
      </c>
      <c r="V43" t="str">
        <f t="shared" si="12"/>
        <v>Health: Insurance Premium</v>
      </c>
      <c r="W43" t="s">
        <v>106</v>
      </c>
      <c r="X43" t="s">
        <v>78</v>
      </c>
      <c r="Y43" s="1">
        <v>244</v>
      </c>
      <c r="Z43" s="1" t="str">
        <f t="shared" si="13"/>
        <v>Health: $244.00</v>
      </c>
      <c r="AA43" s="1">
        <f>IF(Y43="","",ROUND(Y43*'Lookup Values'!$A$2,2))</f>
        <v>21.66</v>
      </c>
      <c r="AB43" s="12" t="str">
        <f t="shared" si="14"/>
        <v>Expense</v>
      </c>
      <c r="AC43" s="2" t="s">
        <v>205</v>
      </c>
      <c r="AD43" s="3">
        <f t="shared" si="15"/>
        <v>39207</v>
      </c>
      <c r="AE43" s="93" t="str">
        <f t="shared" si="16"/>
        <v>NO</v>
      </c>
      <c r="AF43" s="2" t="str">
        <f t="shared" si="17"/>
        <v>NO</v>
      </c>
      <c r="AG43" t="str">
        <f t="shared" si="18"/>
        <v>Late Transaction</v>
      </c>
    </row>
    <row r="44" spans="1:33" x14ac:dyDescent="0.25">
      <c r="A44" s="2">
        <v>43</v>
      </c>
      <c r="B44" s="3" t="str">
        <f t="shared" si="0"/>
        <v>120726-IN-AUN</v>
      </c>
      <c r="C44" s="3">
        <v>41116</v>
      </c>
      <c r="D44" s="3">
        <f t="shared" si="2"/>
        <v>41130</v>
      </c>
      <c r="E44" s="3">
        <f t="shared" si="3"/>
        <v>41178</v>
      </c>
      <c r="F44" s="3">
        <f t="shared" si="4"/>
        <v>41121</v>
      </c>
      <c r="G44" s="76">
        <f t="shared" si="5"/>
        <v>2012</v>
      </c>
      <c r="H44" s="76">
        <f t="shared" si="6"/>
        <v>7</v>
      </c>
      <c r="I44" s="76" t="str">
        <f>VLOOKUP(H44,'Lookup Values'!$C$2:$D$13,2,FALSE)</f>
        <v>JUL</v>
      </c>
      <c r="J44" s="76">
        <f t="shared" si="7"/>
        <v>26</v>
      </c>
      <c r="K44" s="76">
        <f t="shared" si="8"/>
        <v>5</v>
      </c>
      <c r="L44" s="76" t="str">
        <f>VLOOKUP(K44,'Lookup Values'!$F$2:$G$8,2,FALSE)</f>
        <v>Thursday</v>
      </c>
      <c r="M44" s="3">
        <v>41124</v>
      </c>
      <c r="N44" s="78">
        <f t="shared" si="1"/>
        <v>8</v>
      </c>
      <c r="O44" s="11">
        <v>0.20933324714037771</v>
      </c>
      <c r="P44" s="94">
        <f t="shared" si="9"/>
        <v>5</v>
      </c>
      <c r="Q44" s="94">
        <f t="shared" si="10"/>
        <v>1</v>
      </c>
      <c r="R44" s="94">
        <f t="shared" si="11"/>
        <v>26</v>
      </c>
      <c r="S44" s="94" t="str">
        <f>VLOOKUP(O44,'Lookup Values'!$I$2:$L$8,4,TRUE)</f>
        <v>Early Morning</v>
      </c>
      <c r="T44" t="s">
        <v>158</v>
      </c>
      <c r="U44" t="s">
        <v>161</v>
      </c>
      <c r="V44" t="str">
        <f t="shared" si="12"/>
        <v>Income: Gift Received</v>
      </c>
      <c r="W44" t="s">
        <v>164</v>
      </c>
      <c r="X44" t="s">
        <v>78</v>
      </c>
      <c r="Y44" s="1">
        <v>424</v>
      </c>
      <c r="Z44" s="1" t="str">
        <f t="shared" si="13"/>
        <v>Income: $424.00</v>
      </c>
      <c r="AA44" s="1">
        <f>IF(Y44="","",ROUND(Y44*'Lookup Values'!$A$2,2))</f>
        <v>37.630000000000003</v>
      </c>
      <c r="AB44" s="12" t="str">
        <f t="shared" si="14"/>
        <v>Income</v>
      </c>
      <c r="AC44" s="2" t="s">
        <v>206</v>
      </c>
      <c r="AD44" s="3">
        <f t="shared" si="15"/>
        <v>41116</v>
      </c>
      <c r="AE44" s="93" t="str">
        <f t="shared" si="16"/>
        <v>NO</v>
      </c>
      <c r="AF44" s="2" t="str">
        <f t="shared" si="17"/>
        <v>NO</v>
      </c>
      <c r="AG44" t="str">
        <f t="shared" si="18"/>
        <v>CRAP Transaction</v>
      </c>
    </row>
    <row r="45" spans="1:33" x14ac:dyDescent="0.25">
      <c r="A45" s="2">
        <v>44</v>
      </c>
      <c r="B45" s="3" t="str">
        <f t="shared" si="0"/>
        <v>121006-ED-SKI</v>
      </c>
      <c r="C45" s="3">
        <v>41188</v>
      </c>
      <c r="D45" s="3">
        <f t="shared" si="2"/>
        <v>41201</v>
      </c>
      <c r="E45" s="3">
        <f t="shared" si="3"/>
        <v>41249</v>
      </c>
      <c r="F45" s="3">
        <f t="shared" si="4"/>
        <v>41213</v>
      </c>
      <c r="G45" s="76">
        <f t="shared" si="5"/>
        <v>2012</v>
      </c>
      <c r="H45" s="76">
        <f t="shared" si="6"/>
        <v>10</v>
      </c>
      <c r="I45" s="76" t="str">
        <f>VLOOKUP(H45,'Lookup Values'!$C$2:$D$13,2,FALSE)</f>
        <v>OCT</v>
      </c>
      <c r="J45" s="76">
        <f t="shared" si="7"/>
        <v>6</v>
      </c>
      <c r="K45" s="76">
        <f t="shared" si="8"/>
        <v>7</v>
      </c>
      <c r="L45" s="76" t="str">
        <f>VLOOKUP(K45,'Lookup Values'!$F$2:$G$8,2,FALSE)</f>
        <v>Saturday</v>
      </c>
      <c r="M45" s="3">
        <v>41189</v>
      </c>
      <c r="N45" s="78">
        <f t="shared" si="1"/>
        <v>1</v>
      </c>
      <c r="O45" s="11">
        <v>0.62089947173911575</v>
      </c>
      <c r="P45" s="94">
        <f t="shared" si="9"/>
        <v>14</v>
      </c>
      <c r="Q45" s="94">
        <f t="shared" si="10"/>
        <v>54</v>
      </c>
      <c r="R45" s="94">
        <f t="shared" si="11"/>
        <v>6</v>
      </c>
      <c r="S45" s="94" t="str">
        <f>VLOOKUP(O45,'Lookup Values'!$I$2:$L$8,4,TRUE)</f>
        <v>Afternoon</v>
      </c>
      <c r="T45" t="s">
        <v>86</v>
      </c>
      <c r="U45" t="s">
        <v>98</v>
      </c>
      <c r="V45" t="str">
        <f t="shared" si="12"/>
        <v>Education: Professional Development</v>
      </c>
      <c r="W45" t="s">
        <v>97</v>
      </c>
      <c r="X45" t="s">
        <v>88</v>
      </c>
      <c r="Y45" s="1">
        <v>168</v>
      </c>
      <c r="Z45" s="1" t="str">
        <f t="shared" si="13"/>
        <v>Education: $168.00</v>
      </c>
      <c r="AA45" s="1">
        <f>IF(Y45="","",ROUND(Y45*'Lookup Values'!$A$2,2))</f>
        <v>14.91</v>
      </c>
      <c r="AB45" s="12" t="str">
        <f t="shared" si="14"/>
        <v>Expense</v>
      </c>
      <c r="AC45" s="2" t="s">
        <v>207</v>
      </c>
      <c r="AD45" s="3">
        <f t="shared" si="15"/>
        <v>41188</v>
      </c>
      <c r="AE45" s="93" t="str">
        <f t="shared" si="16"/>
        <v>YES</v>
      </c>
      <c r="AF45" s="2" t="str">
        <f t="shared" si="17"/>
        <v>NO</v>
      </c>
      <c r="AG45" t="str">
        <f t="shared" si="18"/>
        <v>CRAP Transaction</v>
      </c>
    </row>
    <row r="46" spans="1:33" x14ac:dyDescent="0.25">
      <c r="A46" s="2">
        <v>45</v>
      </c>
      <c r="B46" s="3" t="str">
        <f t="shared" si="0"/>
        <v>120102-EN-MOE</v>
      </c>
      <c r="C46" s="3">
        <v>40910</v>
      </c>
      <c r="D46" s="3">
        <f t="shared" si="2"/>
        <v>40924</v>
      </c>
      <c r="E46" s="3">
        <f t="shared" si="3"/>
        <v>40970</v>
      </c>
      <c r="F46" s="3">
        <f t="shared" si="4"/>
        <v>40939</v>
      </c>
      <c r="G46" s="76">
        <f t="shared" si="5"/>
        <v>2012</v>
      </c>
      <c r="H46" s="76">
        <f t="shared" si="6"/>
        <v>1</v>
      </c>
      <c r="I46" s="76" t="str">
        <f>VLOOKUP(H46,'Lookup Values'!$C$2:$D$13,2,FALSE)</f>
        <v>JAN</v>
      </c>
      <c r="J46" s="76">
        <f t="shared" si="7"/>
        <v>2</v>
      </c>
      <c r="K46" s="76">
        <f t="shared" si="8"/>
        <v>2</v>
      </c>
      <c r="L46" s="76" t="str">
        <f>VLOOKUP(K46,'Lookup Values'!$F$2:$G$8,2,FALSE)</f>
        <v>Monday</v>
      </c>
      <c r="M46" s="3">
        <v>40915</v>
      </c>
      <c r="N46" s="78">
        <f t="shared" si="1"/>
        <v>5</v>
      </c>
      <c r="O46" s="11">
        <v>0.51736898189361191</v>
      </c>
      <c r="P46" s="94">
        <f t="shared" si="9"/>
        <v>12</v>
      </c>
      <c r="Q46" s="94">
        <f t="shared" si="10"/>
        <v>25</v>
      </c>
      <c r="R46" s="94">
        <f t="shared" si="11"/>
        <v>1</v>
      </c>
      <c r="S46" s="94" t="str">
        <f>VLOOKUP(O46,'Lookup Values'!$I$2:$L$8,4,TRUE)</f>
        <v>Afternoon</v>
      </c>
      <c r="T46" t="s">
        <v>76</v>
      </c>
      <c r="U46" t="s">
        <v>77</v>
      </c>
      <c r="V46" t="str">
        <f t="shared" si="12"/>
        <v>Entertainment: Alcohol</v>
      </c>
      <c r="W46" t="s">
        <v>75</v>
      </c>
      <c r="X46" t="s">
        <v>78</v>
      </c>
      <c r="Y46" s="1">
        <v>430</v>
      </c>
      <c r="Z46" s="1" t="str">
        <f t="shared" si="13"/>
        <v>Entertainment: $430.00</v>
      </c>
      <c r="AA46" s="1">
        <f>IF(Y46="","",ROUND(Y46*'Lookup Values'!$A$2,2))</f>
        <v>38.159999999999997</v>
      </c>
      <c r="AB46" s="12" t="str">
        <f t="shared" si="14"/>
        <v>Expense</v>
      </c>
      <c r="AC46" s="2" t="s">
        <v>208</v>
      </c>
      <c r="AD46" s="3">
        <f t="shared" si="15"/>
        <v>40910</v>
      </c>
      <c r="AE46" s="93" t="str">
        <f t="shared" si="16"/>
        <v>NO</v>
      </c>
      <c r="AF46" s="2" t="str">
        <f t="shared" si="17"/>
        <v>NO</v>
      </c>
      <c r="AG46" t="str">
        <f t="shared" si="18"/>
        <v>CRAP Transaction</v>
      </c>
    </row>
    <row r="47" spans="1:33" x14ac:dyDescent="0.25">
      <c r="A47" s="2">
        <v>46</v>
      </c>
      <c r="B47" s="3" t="str">
        <f t="shared" si="0"/>
        <v>090414-FO-BAN</v>
      </c>
      <c r="C47" s="3">
        <v>39917</v>
      </c>
      <c r="D47" s="3">
        <f t="shared" si="2"/>
        <v>39931</v>
      </c>
      <c r="E47" s="3">
        <f t="shared" si="3"/>
        <v>39978</v>
      </c>
      <c r="F47" s="3">
        <f t="shared" si="4"/>
        <v>39933</v>
      </c>
      <c r="G47" s="76">
        <f t="shared" si="5"/>
        <v>2009</v>
      </c>
      <c r="H47" s="76">
        <f t="shared" si="6"/>
        <v>4</v>
      </c>
      <c r="I47" s="76" t="str">
        <f>VLOOKUP(H47,'Lookup Values'!$C$2:$D$13,2,FALSE)</f>
        <v>APR</v>
      </c>
      <c r="J47" s="76">
        <f t="shared" si="7"/>
        <v>14</v>
      </c>
      <c r="K47" s="76">
        <f t="shared" si="8"/>
        <v>3</v>
      </c>
      <c r="L47" s="76" t="str">
        <f>VLOOKUP(K47,'Lookup Values'!$F$2:$G$8,2,FALSE)</f>
        <v>Tuesday</v>
      </c>
      <c r="M47" s="3">
        <v>39925</v>
      </c>
      <c r="N47" s="78">
        <f t="shared" si="1"/>
        <v>8</v>
      </c>
      <c r="O47" s="11">
        <v>0.58971165474354603</v>
      </c>
      <c r="P47" s="94">
        <f t="shared" si="9"/>
        <v>14</v>
      </c>
      <c r="Q47" s="94">
        <f t="shared" si="10"/>
        <v>9</v>
      </c>
      <c r="R47" s="94">
        <f t="shared" si="11"/>
        <v>11</v>
      </c>
      <c r="S47" s="94" t="str">
        <f>VLOOKUP(O47,'Lookup Values'!$I$2:$L$8,4,TRUE)</f>
        <v>Afternoon</v>
      </c>
      <c r="T47" t="s">
        <v>80</v>
      </c>
      <c r="U47" t="s">
        <v>81</v>
      </c>
      <c r="V47" t="str">
        <f t="shared" si="12"/>
        <v>Food: Restaurants</v>
      </c>
      <c r="W47" t="s">
        <v>79</v>
      </c>
      <c r="X47" t="s">
        <v>91</v>
      </c>
      <c r="Y47" s="1">
        <v>365</v>
      </c>
      <c r="Z47" s="1" t="str">
        <f t="shared" si="13"/>
        <v>Food: $365.00</v>
      </c>
      <c r="AA47" s="1">
        <f>IF(Y47="","",ROUND(Y47*'Lookup Values'!$A$2,2))</f>
        <v>32.39</v>
      </c>
      <c r="AB47" s="12" t="str">
        <f t="shared" si="14"/>
        <v>Expense</v>
      </c>
      <c r="AC47" s="2" t="s">
        <v>209</v>
      </c>
      <c r="AD47" s="3">
        <f t="shared" si="15"/>
        <v>39917</v>
      </c>
      <c r="AE47" s="93" t="str">
        <f t="shared" si="16"/>
        <v>NO</v>
      </c>
      <c r="AF47" s="2" t="str">
        <f t="shared" si="17"/>
        <v>NO</v>
      </c>
      <c r="AG47" t="str">
        <f>IF(AND(AND(G47&gt;=2007,G47&lt;=2009),OR(W47&lt;&gt;"MTA",W47&lt;&gt;"Fandango"),OR(T47="Food",T47="Shopping",T47="Entertainment")),"Awesome Transaction",IF(AND(G47&lt;=2010,U47&lt;&gt;"Alcohol"),"Late Transaction",IF(G47=2006,"Early Transaction","CRAP Transaction")))</f>
        <v>Awesome Transaction</v>
      </c>
    </row>
    <row r="48" spans="1:33" x14ac:dyDescent="0.25">
      <c r="A48" s="2">
        <v>47</v>
      </c>
      <c r="B48" s="3" t="str">
        <f t="shared" si="0"/>
        <v>100128-EN-FAN</v>
      </c>
      <c r="C48" s="3">
        <v>40206</v>
      </c>
      <c r="D48" s="3">
        <f t="shared" si="2"/>
        <v>40220</v>
      </c>
      <c r="E48" s="3">
        <f t="shared" si="3"/>
        <v>40265</v>
      </c>
      <c r="F48" s="3">
        <f t="shared" si="4"/>
        <v>40209</v>
      </c>
      <c r="G48" s="76">
        <f t="shared" si="5"/>
        <v>2010</v>
      </c>
      <c r="H48" s="76">
        <f t="shared" si="6"/>
        <v>1</v>
      </c>
      <c r="I48" s="76" t="str">
        <f>VLOOKUP(H48,'Lookup Values'!$C$2:$D$13,2,FALSE)</f>
        <v>JAN</v>
      </c>
      <c r="J48" s="76">
        <f t="shared" si="7"/>
        <v>28</v>
      </c>
      <c r="K48" s="76">
        <f t="shared" si="8"/>
        <v>5</v>
      </c>
      <c r="L48" s="76" t="str">
        <f>VLOOKUP(K48,'Lookup Values'!$F$2:$G$8,2,FALSE)</f>
        <v>Thursday</v>
      </c>
      <c r="M48" s="3">
        <v>40215</v>
      </c>
      <c r="N48" s="78">
        <f t="shared" si="1"/>
        <v>9</v>
      </c>
      <c r="O48" s="11">
        <v>9.9052341064493454E-2</v>
      </c>
      <c r="P48" s="94">
        <f t="shared" si="9"/>
        <v>2</v>
      </c>
      <c r="Q48" s="94">
        <f t="shared" si="10"/>
        <v>22</v>
      </c>
      <c r="R48" s="94">
        <f t="shared" si="11"/>
        <v>38</v>
      </c>
      <c r="S48" s="94" t="str">
        <f>VLOOKUP(O48,'Lookup Values'!$I$2:$L$8,4,TRUE)</f>
        <v>Dead of Night</v>
      </c>
      <c r="T48" t="s">
        <v>76</v>
      </c>
      <c r="U48" t="s">
        <v>90</v>
      </c>
      <c r="V48" t="str">
        <f t="shared" si="12"/>
        <v>Entertainment: Movies</v>
      </c>
      <c r="W48" t="s">
        <v>89</v>
      </c>
      <c r="X48" t="s">
        <v>91</v>
      </c>
      <c r="Y48" s="1">
        <v>341</v>
      </c>
      <c r="Z48" s="1" t="str">
        <f t="shared" si="13"/>
        <v>Entertainment: $341.00</v>
      </c>
      <c r="AA48" s="1">
        <f>IF(Y48="","",ROUND(Y48*'Lookup Values'!$A$2,2))</f>
        <v>30.26</v>
      </c>
      <c r="AB48" s="12" t="str">
        <f t="shared" si="14"/>
        <v>Expense</v>
      </c>
      <c r="AC48" s="2" t="s">
        <v>210</v>
      </c>
      <c r="AD48" s="3">
        <f t="shared" si="15"/>
        <v>40206</v>
      </c>
      <c r="AE48" s="93" t="str">
        <f t="shared" si="16"/>
        <v>NO</v>
      </c>
      <c r="AF48" s="2" t="str">
        <f t="shared" si="17"/>
        <v>NO</v>
      </c>
      <c r="AG48" t="str">
        <f t="shared" si="18"/>
        <v>Late Transaction</v>
      </c>
    </row>
    <row r="49" spans="1:33" x14ac:dyDescent="0.25">
      <c r="A49" s="2">
        <v>48</v>
      </c>
      <c r="B49" s="3" t="str">
        <f t="shared" si="0"/>
        <v>081227-FO-BAN</v>
      </c>
      <c r="C49" s="3">
        <v>39809</v>
      </c>
      <c r="D49" s="3">
        <f t="shared" si="2"/>
        <v>39822</v>
      </c>
      <c r="E49" s="3">
        <f t="shared" si="3"/>
        <v>39871</v>
      </c>
      <c r="F49" s="3">
        <f t="shared" si="4"/>
        <v>39813</v>
      </c>
      <c r="G49" s="76">
        <f t="shared" si="5"/>
        <v>2008</v>
      </c>
      <c r="H49" s="76">
        <f t="shared" si="6"/>
        <v>12</v>
      </c>
      <c r="I49" s="76" t="str">
        <f>VLOOKUP(H49,'Lookup Values'!$C$2:$D$13,2,FALSE)</f>
        <v>DEC</v>
      </c>
      <c r="J49" s="76">
        <f t="shared" si="7"/>
        <v>27</v>
      </c>
      <c r="K49" s="76">
        <f t="shared" si="8"/>
        <v>7</v>
      </c>
      <c r="L49" s="76" t="str">
        <f>VLOOKUP(K49,'Lookup Values'!$F$2:$G$8,2,FALSE)</f>
        <v>Saturday</v>
      </c>
      <c r="M49" s="3">
        <v>39813</v>
      </c>
      <c r="N49" s="78">
        <f t="shared" si="1"/>
        <v>4</v>
      </c>
      <c r="O49" s="11">
        <v>0.40913472512964155</v>
      </c>
      <c r="P49" s="94">
        <f t="shared" si="9"/>
        <v>9</v>
      </c>
      <c r="Q49" s="94">
        <f t="shared" si="10"/>
        <v>49</v>
      </c>
      <c r="R49" s="94">
        <f t="shared" si="11"/>
        <v>9</v>
      </c>
      <c r="S49" s="94" t="str">
        <f>VLOOKUP(O49,'Lookup Values'!$I$2:$L$8,4,TRUE)</f>
        <v>Morning</v>
      </c>
      <c r="T49" t="s">
        <v>80</v>
      </c>
      <c r="U49" t="s">
        <v>81</v>
      </c>
      <c r="V49" t="str">
        <f t="shared" si="12"/>
        <v>Food: Restaurants</v>
      </c>
      <c r="W49" t="s">
        <v>79</v>
      </c>
      <c r="X49" t="s">
        <v>91</v>
      </c>
      <c r="Y49" s="1">
        <v>340</v>
      </c>
      <c r="Z49" s="1" t="str">
        <f t="shared" si="13"/>
        <v>Food: $340.00</v>
      </c>
      <c r="AA49" s="1">
        <f>IF(Y49="","",ROUND(Y49*'Lookup Values'!$A$2,2))</f>
        <v>30.18</v>
      </c>
      <c r="AB49" s="12" t="str">
        <f t="shared" si="14"/>
        <v>Expense</v>
      </c>
      <c r="AC49" s="2" t="s">
        <v>211</v>
      </c>
      <c r="AD49" s="3">
        <f t="shared" si="15"/>
        <v>39809</v>
      </c>
      <c r="AE49" s="93" t="str">
        <f t="shared" si="16"/>
        <v>NO</v>
      </c>
      <c r="AF49" s="2" t="str">
        <f t="shared" si="17"/>
        <v>NO</v>
      </c>
      <c r="AG49" t="str">
        <f t="shared" si="18"/>
        <v>Awesome Transaction</v>
      </c>
    </row>
    <row r="50" spans="1:33" x14ac:dyDescent="0.25">
      <c r="A50" s="2">
        <v>49</v>
      </c>
      <c r="B50" s="3" t="str">
        <f t="shared" si="0"/>
        <v>111225-EN-MOE</v>
      </c>
      <c r="C50" s="3">
        <v>40902</v>
      </c>
      <c r="D50" s="3">
        <f t="shared" si="2"/>
        <v>40914</v>
      </c>
      <c r="E50" s="3">
        <f t="shared" si="3"/>
        <v>40964</v>
      </c>
      <c r="F50" s="3">
        <f t="shared" si="4"/>
        <v>40908</v>
      </c>
      <c r="G50" s="76">
        <f t="shared" si="5"/>
        <v>2011</v>
      </c>
      <c r="H50" s="76">
        <f t="shared" si="6"/>
        <v>12</v>
      </c>
      <c r="I50" s="76" t="str">
        <f>VLOOKUP(H50,'Lookup Values'!$C$2:$D$13,2,FALSE)</f>
        <v>DEC</v>
      </c>
      <c r="J50" s="76">
        <f t="shared" si="7"/>
        <v>25</v>
      </c>
      <c r="K50" s="76">
        <f t="shared" si="8"/>
        <v>1</v>
      </c>
      <c r="L50" s="76" t="str">
        <f>VLOOKUP(K50,'Lookup Values'!$F$2:$G$8,2,FALSE)</f>
        <v>Sunday</v>
      </c>
      <c r="M50" s="3">
        <v>40904</v>
      </c>
      <c r="N50" s="78">
        <f t="shared" si="1"/>
        <v>2</v>
      </c>
      <c r="O50" s="11">
        <v>0.71040322689673785</v>
      </c>
      <c r="P50" s="94">
        <f t="shared" si="9"/>
        <v>17</v>
      </c>
      <c r="Q50" s="94">
        <f t="shared" si="10"/>
        <v>2</v>
      </c>
      <c r="R50" s="94">
        <f t="shared" si="11"/>
        <v>59</v>
      </c>
      <c r="S50" s="94" t="str">
        <f>VLOOKUP(O50,'Lookup Values'!$I$2:$L$8,4,TRUE)</f>
        <v>Evening</v>
      </c>
      <c r="T50" t="s">
        <v>76</v>
      </c>
      <c r="U50" t="s">
        <v>77</v>
      </c>
      <c r="V50" t="str">
        <f t="shared" si="12"/>
        <v>Entertainment: Alcohol</v>
      </c>
      <c r="W50" t="s">
        <v>75</v>
      </c>
      <c r="X50" t="s">
        <v>78</v>
      </c>
      <c r="Y50" s="1">
        <v>58</v>
      </c>
      <c r="Z50" s="1" t="str">
        <f t="shared" si="13"/>
        <v>Entertainment: $58.00</v>
      </c>
      <c r="AA50" s="1">
        <f>IF(Y50="","",ROUND(Y50*'Lookup Values'!$A$2,2))</f>
        <v>5.15</v>
      </c>
      <c r="AB50" s="12" t="str">
        <f t="shared" si="14"/>
        <v>Expense</v>
      </c>
      <c r="AC50" s="2" t="s">
        <v>212</v>
      </c>
      <c r="AD50" s="3">
        <f t="shared" si="15"/>
        <v>40902</v>
      </c>
      <c r="AE50" s="93" t="str">
        <f t="shared" si="16"/>
        <v>NO</v>
      </c>
      <c r="AF50" s="2" t="str">
        <f t="shared" si="17"/>
        <v>NO</v>
      </c>
      <c r="AG50" t="str">
        <f t="shared" si="18"/>
        <v>CRAP Transaction</v>
      </c>
    </row>
    <row r="51" spans="1:33" x14ac:dyDescent="0.25">
      <c r="A51" s="2">
        <v>50</v>
      </c>
      <c r="B51" s="3" t="str">
        <f t="shared" si="0"/>
        <v>080512-HE-FRE</v>
      </c>
      <c r="C51" s="3">
        <v>39580</v>
      </c>
      <c r="D51" s="3">
        <f t="shared" si="2"/>
        <v>39594</v>
      </c>
      <c r="E51" s="3">
        <f t="shared" si="3"/>
        <v>39641</v>
      </c>
      <c r="F51" s="3">
        <f t="shared" si="4"/>
        <v>39599</v>
      </c>
      <c r="G51" s="76">
        <f t="shared" si="5"/>
        <v>2008</v>
      </c>
      <c r="H51" s="76">
        <f t="shared" si="6"/>
        <v>5</v>
      </c>
      <c r="I51" s="76" t="str">
        <f>VLOOKUP(H51,'Lookup Values'!$C$2:$D$13,2,FALSE)</f>
        <v>MAY</v>
      </c>
      <c r="J51" s="76">
        <f t="shared" si="7"/>
        <v>12</v>
      </c>
      <c r="K51" s="76">
        <f t="shared" si="8"/>
        <v>2</v>
      </c>
      <c r="L51" s="76" t="str">
        <f>VLOOKUP(K51,'Lookup Values'!$F$2:$G$8,2,FALSE)</f>
        <v>Monday</v>
      </c>
      <c r="M51" s="3">
        <v>39581</v>
      </c>
      <c r="N51" s="78">
        <f t="shared" si="1"/>
        <v>1</v>
      </c>
      <c r="O51" s="11">
        <v>0.37188964726459295</v>
      </c>
      <c r="P51" s="94">
        <f t="shared" si="9"/>
        <v>8</v>
      </c>
      <c r="Q51" s="94">
        <f t="shared" si="10"/>
        <v>55</v>
      </c>
      <c r="R51" s="94">
        <f t="shared" si="11"/>
        <v>31</v>
      </c>
      <c r="S51" s="94" t="str">
        <f>VLOOKUP(O51,'Lookup Values'!$I$2:$L$8,4,TRUE)</f>
        <v>Morning</v>
      </c>
      <c r="T51" t="s">
        <v>107</v>
      </c>
      <c r="U51" t="s">
        <v>108</v>
      </c>
      <c r="V51" t="str">
        <f t="shared" si="12"/>
        <v>Health: Insurance Premium</v>
      </c>
      <c r="W51" t="s">
        <v>106</v>
      </c>
      <c r="X51" t="s">
        <v>91</v>
      </c>
      <c r="Y51" s="1">
        <v>392</v>
      </c>
      <c r="Z51" s="1" t="str">
        <f t="shared" si="13"/>
        <v>Health: $392.00</v>
      </c>
      <c r="AA51" s="1">
        <f>IF(Y51="","",ROUND(Y51*'Lookup Values'!$A$2,2))</f>
        <v>34.79</v>
      </c>
      <c r="AB51" s="12" t="str">
        <f t="shared" si="14"/>
        <v>Expense</v>
      </c>
      <c r="AC51" s="2" t="s">
        <v>213</v>
      </c>
      <c r="AD51" s="3">
        <f t="shared" si="15"/>
        <v>39580</v>
      </c>
      <c r="AE51" s="93" t="str">
        <f t="shared" si="16"/>
        <v>NO</v>
      </c>
      <c r="AF51" s="2" t="str">
        <f t="shared" si="17"/>
        <v>NO</v>
      </c>
      <c r="AG51" t="str">
        <f t="shared" si="18"/>
        <v>Late Transaction</v>
      </c>
    </row>
    <row r="52" spans="1:33" x14ac:dyDescent="0.25">
      <c r="A52" s="2">
        <v>51</v>
      </c>
      <c r="B52" s="3" t="str">
        <f t="shared" si="0"/>
        <v>070802-HE-FRE</v>
      </c>
      <c r="C52" s="3">
        <v>39296</v>
      </c>
      <c r="D52" s="3">
        <f t="shared" si="2"/>
        <v>39310</v>
      </c>
      <c r="E52" s="3">
        <f t="shared" si="3"/>
        <v>39357</v>
      </c>
      <c r="F52" s="3">
        <f t="shared" si="4"/>
        <v>39325</v>
      </c>
      <c r="G52" s="76">
        <f t="shared" si="5"/>
        <v>2007</v>
      </c>
      <c r="H52" s="76">
        <f t="shared" si="6"/>
        <v>8</v>
      </c>
      <c r="I52" s="76" t="str">
        <f>VLOOKUP(H52,'Lookup Values'!$C$2:$D$13,2,FALSE)</f>
        <v>AUG</v>
      </c>
      <c r="J52" s="76">
        <f t="shared" si="7"/>
        <v>2</v>
      </c>
      <c r="K52" s="76">
        <f t="shared" si="8"/>
        <v>5</v>
      </c>
      <c r="L52" s="76" t="str">
        <f>VLOOKUP(K52,'Lookup Values'!$F$2:$G$8,2,FALSE)</f>
        <v>Thursday</v>
      </c>
      <c r="M52" s="3">
        <v>39306</v>
      </c>
      <c r="N52" s="78">
        <f t="shared" si="1"/>
        <v>10</v>
      </c>
      <c r="O52" s="11">
        <v>0.51060181241819247</v>
      </c>
      <c r="P52" s="94">
        <f t="shared" si="9"/>
        <v>12</v>
      </c>
      <c r="Q52" s="94">
        <f t="shared" si="10"/>
        <v>15</v>
      </c>
      <c r="R52" s="94">
        <f t="shared" si="11"/>
        <v>16</v>
      </c>
      <c r="S52" s="94" t="str">
        <f>VLOOKUP(O52,'Lookup Values'!$I$2:$L$8,4,TRUE)</f>
        <v>Afternoon</v>
      </c>
      <c r="T52" t="s">
        <v>107</v>
      </c>
      <c r="U52" t="s">
        <v>108</v>
      </c>
      <c r="V52" t="str">
        <f t="shared" si="12"/>
        <v>Health: Insurance Premium</v>
      </c>
      <c r="W52" t="s">
        <v>106</v>
      </c>
      <c r="X52" t="s">
        <v>91</v>
      </c>
      <c r="Y52" s="1">
        <v>372</v>
      </c>
      <c r="Z52" s="1" t="str">
        <f t="shared" si="13"/>
        <v>Health: $372.00</v>
      </c>
      <c r="AA52" s="1">
        <f>IF(Y52="","",ROUND(Y52*'Lookup Values'!$A$2,2))</f>
        <v>33.020000000000003</v>
      </c>
      <c r="AB52" s="12" t="str">
        <f t="shared" si="14"/>
        <v>Expense</v>
      </c>
      <c r="AC52" s="2" t="s">
        <v>214</v>
      </c>
      <c r="AD52" s="3">
        <f t="shared" si="15"/>
        <v>39296</v>
      </c>
      <c r="AE52" s="93" t="str">
        <f t="shared" si="16"/>
        <v>NO</v>
      </c>
      <c r="AF52" s="2" t="str">
        <f t="shared" si="17"/>
        <v>NO</v>
      </c>
      <c r="AG52" t="str">
        <f t="shared" si="18"/>
        <v>Late Transaction</v>
      </c>
    </row>
    <row r="53" spans="1:33" x14ac:dyDescent="0.25">
      <c r="A53" s="2">
        <v>52</v>
      </c>
      <c r="B53" s="3" t="str">
        <f t="shared" si="0"/>
        <v>110823-FO-BAN</v>
      </c>
      <c r="C53" s="3">
        <v>40778</v>
      </c>
      <c r="D53" s="3">
        <f t="shared" si="2"/>
        <v>40792</v>
      </c>
      <c r="E53" s="3">
        <f t="shared" si="3"/>
        <v>40839</v>
      </c>
      <c r="F53" s="3">
        <f t="shared" si="4"/>
        <v>40786</v>
      </c>
      <c r="G53" s="76">
        <f t="shared" si="5"/>
        <v>2011</v>
      </c>
      <c r="H53" s="76">
        <f t="shared" si="6"/>
        <v>8</v>
      </c>
      <c r="I53" s="76" t="str">
        <f>VLOOKUP(H53,'Lookup Values'!$C$2:$D$13,2,FALSE)</f>
        <v>AUG</v>
      </c>
      <c r="J53" s="76">
        <f t="shared" si="7"/>
        <v>23</v>
      </c>
      <c r="K53" s="76">
        <f t="shared" si="8"/>
        <v>3</v>
      </c>
      <c r="L53" s="76" t="str">
        <f>VLOOKUP(K53,'Lookup Values'!$F$2:$G$8,2,FALSE)</f>
        <v>Tuesday</v>
      </c>
      <c r="M53" s="3">
        <v>40781</v>
      </c>
      <c r="N53" s="78">
        <f t="shared" si="1"/>
        <v>3</v>
      </c>
      <c r="O53" s="11">
        <v>0.27250879487304236</v>
      </c>
      <c r="P53" s="94">
        <f t="shared" si="9"/>
        <v>6</v>
      </c>
      <c r="Q53" s="94">
        <f t="shared" si="10"/>
        <v>32</v>
      </c>
      <c r="R53" s="94">
        <f t="shared" si="11"/>
        <v>25</v>
      </c>
      <c r="S53" s="94" t="str">
        <f>VLOOKUP(O53,'Lookup Values'!$I$2:$L$8,4,TRUE)</f>
        <v>Early Morning</v>
      </c>
      <c r="T53" t="s">
        <v>80</v>
      </c>
      <c r="U53" t="s">
        <v>81</v>
      </c>
      <c r="V53" t="str">
        <f t="shared" si="12"/>
        <v>Food: Restaurants</v>
      </c>
      <c r="W53" t="s">
        <v>79</v>
      </c>
      <c r="X53" t="s">
        <v>88</v>
      </c>
      <c r="Y53" s="1">
        <v>103</v>
      </c>
      <c r="Z53" s="1" t="str">
        <f t="shared" si="13"/>
        <v>Food: $103.00</v>
      </c>
      <c r="AA53" s="1">
        <f>IF(Y53="","",ROUND(Y53*'Lookup Values'!$A$2,2))</f>
        <v>9.14</v>
      </c>
      <c r="AB53" s="12" t="str">
        <f t="shared" si="14"/>
        <v>Expense</v>
      </c>
      <c r="AC53" s="2" t="s">
        <v>215</v>
      </c>
      <c r="AD53" s="3">
        <f t="shared" si="15"/>
        <v>40778</v>
      </c>
      <c r="AE53" s="93" t="str">
        <f t="shared" si="16"/>
        <v>NO</v>
      </c>
      <c r="AF53" s="2" t="str">
        <f t="shared" si="17"/>
        <v>NO</v>
      </c>
      <c r="AG53" t="str">
        <f t="shared" si="18"/>
        <v>CRAP Transaction</v>
      </c>
    </row>
    <row r="54" spans="1:33" x14ac:dyDescent="0.25">
      <c r="A54" s="2">
        <v>53</v>
      </c>
      <c r="B54" s="3" t="str">
        <f t="shared" si="0"/>
        <v>070504-ED-SKI</v>
      </c>
      <c r="C54" s="3">
        <v>39206</v>
      </c>
      <c r="D54" s="3">
        <f t="shared" si="2"/>
        <v>39220</v>
      </c>
      <c r="E54" s="3">
        <f t="shared" si="3"/>
        <v>39267</v>
      </c>
      <c r="F54" s="3">
        <f t="shared" si="4"/>
        <v>39233</v>
      </c>
      <c r="G54" s="76">
        <f t="shared" si="5"/>
        <v>2007</v>
      </c>
      <c r="H54" s="76">
        <f t="shared" si="6"/>
        <v>5</v>
      </c>
      <c r="I54" s="76" t="str">
        <f>VLOOKUP(H54,'Lookup Values'!$C$2:$D$13,2,FALSE)</f>
        <v>MAY</v>
      </c>
      <c r="J54" s="76">
        <f t="shared" si="7"/>
        <v>4</v>
      </c>
      <c r="K54" s="76">
        <f t="shared" si="8"/>
        <v>6</v>
      </c>
      <c r="L54" s="76" t="str">
        <f>VLOOKUP(K54,'Lookup Values'!$F$2:$G$8,2,FALSE)</f>
        <v>Friday</v>
      </c>
      <c r="M54" s="3">
        <v>39210</v>
      </c>
      <c r="N54" s="78">
        <f t="shared" si="1"/>
        <v>4</v>
      </c>
      <c r="O54" s="11">
        <v>0.48870418756049672</v>
      </c>
      <c r="P54" s="94">
        <f t="shared" si="9"/>
        <v>11</v>
      </c>
      <c r="Q54" s="94">
        <f t="shared" si="10"/>
        <v>43</v>
      </c>
      <c r="R54" s="94">
        <f t="shared" si="11"/>
        <v>44</v>
      </c>
      <c r="S54" s="94" t="str">
        <f>VLOOKUP(O54,'Lookup Values'!$I$2:$L$8,4,TRUE)</f>
        <v>Late Morning</v>
      </c>
      <c r="T54" t="s">
        <v>86</v>
      </c>
      <c r="U54" t="s">
        <v>98</v>
      </c>
      <c r="V54" t="str">
        <f t="shared" si="12"/>
        <v>Education: Professional Development</v>
      </c>
      <c r="W54" t="s">
        <v>97</v>
      </c>
      <c r="X54" t="s">
        <v>78</v>
      </c>
      <c r="Y54" s="1">
        <v>293</v>
      </c>
      <c r="Z54" s="1" t="str">
        <f t="shared" si="13"/>
        <v>Education: $293.00</v>
      </c>
      <c r="AA54" s="1">
        <f>IF(Y54="","",ROUND(Y54*'Lookup Values'!$A$2,2))</f>
        <v>26</v>
      </c>
      <c r="AB54" s="12" t="str">
        <f t="shared" si="14"/>
        <v>Expense</v>
      </c>
      <c r="AC54" s="2" t="s">
        <v>216</v>
      </c>
      <c r="AD54" s="3">
        <f t="shared" si="15"/>
        <v>39206</v>
      </c>
      <c r="AE54" s="93" t="str">
        <f t="shared" si="16"/>
        <v>YES</v>
      </c>
      <c r="AF54" s="2" t="str">
        <f t="shared" si="17"/>
        <v>NO</v>
      </c>
      <c r="AG54" t="str">
        <f t="shared" si="18"/>
        <v>Late Transaction</v>
      </c>
    </row>
    <row r="55" spans="1:33" x14ac:dyDescent="0.25">
      <c r="A55" s="2">
        <v>54</v>
      </c>
      <c r="B55" s="3" t="str">
        <f t="shared" si="0"/>
        <v>111113-EN-FAN</v>
      </c>
      <c r="C55" s="3">
        <v>40860</v>
      </c>
      <c r="D55" s="3">
        <f t="shared" si="2"/>
        <v>40872</v>
      </c>
      <c r="E55" s="3">
        <f t="shared" si="3"/>
        <v>40921</v>
      </c>
      <c r="F55" s="3">
        <f t="shared" si="4"/>
        <v>40877</v>
      </c>
      <c r="G55" s="76">
        <f t="shared" si="5"/>
        <v>2011</v>
      </c>
      <c r="H55" s="76">
        <f t="shared" si="6"/>
        <v>11</v>
      </c>
      <c r="I55" s="76" t="str">
        <f>VLOOKUP(H55,'Lookup Values'!$C$2:$D$13,2,FALSE)</f>
        <v>NOV</v>
      </c>
      <c r="J55" s="76">
        <f t="shared" si="7"/>
        <v>13</v>
      </c>
      <c r="K55" s="76">
        <f t="shared" si="8"/>
        <v>1</v>
      </c>
      <c r="L55" s="76" t="str">
        <f>VLOOKUP(K55,'Lookup Values'!$F$2:$G$8,2,FALSE)</f>
        <v>Sunday</v>
      </c>
      <c r="M55" s="3">
        <v>40862</v>
      </c>
      <c r="N55" s="78">
        <f t="shared" si="1"/>
        <v>2</v>
      </c>
      <c r="O55" s="11">
        <v>0.53900582504716277</v>
      </c>
      <c r="P55" s="94">
        <f t="shared" si="9"/>
        <v>12</v>
      </c>
      <c r="Q55" s="94">
        <f t="shared" si="10"/>
        <v>56</v>
      </c>
      <c r="R55" s="94">
        <f t="shared" si="11"/>
        <v>10</v>
      </c>
      <c r="S55" s="94" t="str">
        <f>VLOOKUP(O55,'Lookup Values'!$I$2:$L$8,4,TRUE)</f>
        <v>Afternoon</v>
      </c>
      <c r="T55" t="s">
        <v>76</v>
      </c>
      <c r="U55" t="s">
        <v>90</v>
      </c>
      <c r="V55" t="str">
        <f t="shared" si="12"/>
        <v>Entertainment: Movies</v>
      </c>
      <c r="W55" t="s">
        <v>89</v>
      </c>
      <c r="X55" t="s">
        <v>78</v>
      </c>
      <c r="Y55" s="1">
        <v>190</v>
      </c>
      <c r="Z55" s="1" t="str">
        <f t="shared" si="13"/>
        <v>Entertainment: $190.00</v>
      </c>
      <c r="AA55" s="1">
        <f>IF(Y55="","",ROUND(Y55*'Lookup Values'!$A$2,2))</f>
        <v>16.86</v>
      </c>
      <c r="AB55" s="12" t="str">
        <f t="shared" si="14"/>
        <v>Expense</v>
      </c>
      <c r="AC55" s="2" t="s">
        <v>217</v>
      </c>
      <c r="AD55" s="3">
        <f t="shared" si="15"/>
        <v>40860</v>
      </c>
      <c r="AE55" s="93" t="str">
        <f t="shared" si="16"/>
        <v>NO</v>
      </c>
      <c r="AF55" s="2" t="str">
        <f t="shared" si="17"/>
        <v>NO</v>
      </c>
      <c r="AG55" t="str">
        <f t="shared" si="18"/>
        <v>CRAP Transaction</v>
      </c>
    </row>
    <row r="56" spans="1:33" x14ac:dyDescent="0.25">
      <c r="A56" s="2">
        <v>55</v>
      </c>
      <c r="B56" s="3" t="str">
        <f t="shared" si="0"/>
        <v>090810-HE-FRE</v>
      </c>
      <c r="C56" s="3">
        <v>40035</v>
      </c>
      <c r="D56" s="3">
        <f t="shared" si="2"/>
        <v>40049</v>
      </c>
      <c r="E56" s="3">
        <f t="shared" si="3"/>
        <v>40096</v>
      </c>
      <c r="F56" s="3">
        <f t="shared" si="4"/>
        <v>40056</v>
      </c>
      <c r="G56" s="76">
        <f t="shared" si="5"/>
        <v>2009</v>
      </c>
      <c r="H56" s="76">
        <f t="shared" si="6"/>
        <v>8</v>
      </c>
      <c r="I56" s="76" t="str">
        <f>VLOOKUP(H56,'Lookup Values'!$C$2:$D$13,2,FALSE)</f>
        <v>AUG</v>
      </c>
      <c r="J56" s="76">
        <f t="shared" si="7"/>
        <v>10</v>
      </c>
      <c r="K56" s="76">
        <f t="shared" si="8"/>
        <v>2</v>
      </c>
      <c r="L56" s="76" t="str">
        <f>VLOOKUP(K56,'Lookup Values'!$F$2:$G$8,2,FALSE)</f>
        <v>Monday</v>
      </c>
      <c r="M56" s="3">
        <v>40040</v>
      </c>
      <c r="N56" s="78">
        <f t="shared" si="1"/>
        <v>5</v>
      </c>
      <c r="O56" s="11">
        <v>0.83010526076315427</v>
      </c>
      <c r="P56" s="94">
        <f t="shared" si="9"/>
        <v>19</v>
      </c>
      <c r="Q56" s="94">
        <f t="shared" si="10"/>
        <v>55</v>
      </c>
      <c r="R56" s="94">
        <f t="shared" si="11"/>
        <v>21</v>
      </c>
      <c r="S56" s="94" t="str">
        <f>VLOOKUP(O56,'Lookup Values'!$I$2:$L$8,4,TRUE)</f>
        <v>Evening</v>
      </c>
      <c r="T56" t="s">
        <v>107</v>
      </c>
      <c r="U56" t="s">
        <v>108</v>
      </c>
      <c r="V56" t="str">
        <f t="shared" si="12"/>
        <v>Health: Insurance Premium</v>
      </c>
      <c r="W56" t="s">
        <v>106</v>
      </c>
      <c r="X56" t="s">
        <v>78</v>
      </c>
      <c r="Y56" s="1">
        <v>378</v>
      </c>
      <c r="Z56" s="1" t="str">
        <f t="shared" si="13"/>
        <v>Health: $378.00</v>
      </c>
      <c r="AA56" s="1">
        <f>IF(Y56="","",ROUND(Y56*'Lookup Values'!$A$2,2))</f>
        <v>33.549999999999997</v>
      </c>
      <c r="AB56" s="12" t="str">
        <f t="shared" si="14"/>
        <v>Expense</v>
      </c>
      <c r="AC56" s="2" t="s">
        <v>218</v>
      </c>
      <c r="AD56" s="3">
        <f t="shared" si="15"/>
        <v>40035</v>
      </c>
      <c r="AE56" s="93" t="str">
        <f t="shared" si="16"/>
        <v>NO</v>
      </c>
      <c r="AF56" s="2" t="str">
        <f t="shared" si="17"/>
        <v>NO</v>
      </c>
      <c r="AG56" t="str">
        <f t="shared" si="18"/>
        <v>Late Transaction</v>
      </c>
    </row>
    <row r="57" spans="1:33" x14ac:dyDescent="0.25">
      <c r="A57" s="2">
        <v>56</v>
      </c>
      <c r="B57" s="3" t="str">
        <f t="shared" si="0"/>
        <v>081104-HO-BED</v>
      </c>
      <c r="C57" s="3">
        <v>39756</v>
      </c>
      <c r="D57" s="3">
        <f t="shared" si="2"/>
        <v>39770</v>
      </c>
      <c r="E57" s="3">
        <f t="shared" si="3"/>
        <v>39817</v>
      </c>
      <c r="F57" s="3">
        <f t="shared" si="4"/>
        <v>39782</v>
      </c>
      <c r="G57" s="76">
        <f t="shared" si="5"/>
        <v>2008</v>
      </c>
      <c r="H57" s="76">
        <f t="shared" si="6"/>
        <v>11</v>
      </c>
      <c r="I57" s="76" t="str">
        <f>VLOOKUP(H57,'Lookup Values'!$C$2:$D$13,2,FALSE)</f>
        <v>NOV</v>
      </c>
      <c r="J57" s="76">
        <f t="shared" si="7"/>
        <v>4</v>
      </c>
      <c r="K57" s="76">
        <f t="shared" si="8"/>
        <v>3</v>
      </c>
      <c r="L57" s="76" t="str">
        <f>VLOOKUP(K57,'Lookup Values'!$F$2:$G$8,2,FALSE)</f>
        <v>Tuesday</v>
      </c>
      <c r="M57" s="3">
        <v>39763</v>
      </c>
      <c r="N57" s="78">
        <f t="shared" si="1"/>
        <v>7</v>
      </c>
      <c r="O57" s="11">
        <v>0.44078896243947874</v>
      </c>
      <c r="P57" s="94">
        <f t="shared" si="9"/>
        <v>10</v>
      </c>
      <c r="Q57" s="94">
        <f t="shared" si="10"/>
        <v>34</v>
      </c>
      <c r="R57" s="94">
        <f t="shared" si="11"/>
        <v>44</v>
      </c>
      <c r="S57" s="94" t="str">
        <f>VLOOKUP(O57,'Lookup Values'!$I$2:$L$8,4,TRUE)</f>
        <v>Late Morning</v>
      </c>
      <c r="T57" t="s">
        <v>100</v>
      </c>
      <c r="U57" t="s">
        <v>101</v>
      </c>
      <c r="V57" t="str">
        <f t="shared" si="12"/>
        <v>Home: Cleaning Supplies</v>
      </c>
      <c r="W57" t="s">
        <v>99</v>
      </c>
      <c r="X57" t="s">
        <v>91</v>
      </c>
      <c r="Y57" s="1">
        <v>473</v>
      </c>
      <c r="Z57" s="1" t="str">
        <f t="shared" si="13"/>
        <v>Home: $473.00</v>
      </c>
      <c r="AA57" s="1">
        <f>IF(Y57="","",ROUND(Y57*'Lookup Values'!$A$2,2))</f>
        <v>41.98</v>
      </c>
      <c r="AB57" s="12" t="str">
        <f t="shared" si="14"/>
        <v>Expense</v>
      </c>
      <c r="AC57" s="2" t="s">
        <v>219</v>
      </c>
      <c r="AD57" s="3">
        <f t="shared" si="15"/>
        <v>39756</v>
      </c>
      <c r="AE57" s="93" t="str">
        <f t="shared" si="16"/>
        <v>NO</v>
      </c>
      <c r="AF57" s="2" t="str">
        <f t="shared" si="17"/>
        <v>NO</v>
      </c>
      <c r="AG57" t="str">
        <f t="shared" si="18"/>
        <v>Late Transaction</v>
      </c>
    </row>
    <row r="58" spans="1:33" x14ac:dyDescent="0.25">
      <c r="A58" s="2">
        <v>57</v>
      </c>
      <c r="B58" s="3" t="str">
        <f t="shared" si="0"/>
        <v>100301-ED-ANT</v>
      </c>
      <c r="C58" s="3">
        <v>40238</v>
      </c>
      <c r="D58" s="3">
        <f t="shared" si="2"/>
        <v>40252</v>
      </c>
      <c r="E58" s="3">
        <f t="shared" si="3"/>
        <v>40299</v>
      </c>
      <c r="F58" s="3">
        <f t="shared" si="4"/>
        <v>40268</v>
      </c>
      <c r="G58" s="76">
        <f t="shared" si="5"/>
        <v>2010</v>
      </c>
      <c r="H58" s="76">
        <f t="shared" si="6"/>
        <v>3</v>
      </c>
      <c r="I58" s="76" t="str">
        <f>VLOOKUP(H58,'Lookup Values'!$C$2:$D$13,2,FALSE)</f>
        <v>MAR</v>
      </c>
      <c r="J58" s="76">
        <f t="shared" si="7"/>
        <v>1</v>
      </c>
      <c r="K58" s="76">
        <f t="shared" si="8"/>
        <v>2</v>
      </c>
      <c r="L58" s="76" t="str">
        <f>VLOOKUP(K58,'Lookup Values'!$F$2:$G$8,2,FALSE)</f>
        <v>Monday</v>
      </c>
      <c r="M58" s="3">
        <v>40246</v>
      </c>
      <c r="N58" s="78">
        <f t="shared" si="1"/>
        <v>8</v>
      </c>
      <c r="O58" s="11">
        <v>0.30020776364989377</v>
      </c>
      <c r="P58" s="94">
        <f t="shared" si="9"/>
        <v>7</v>
      </c>
      <c r="Q58" s="94">
        <f t="shared" si="10"/>
        <v>12</v>
      </c>
      <c r="R58" s="94">
        <f t="shared" si="11"/>
        <v>18</v>
      </c>
      <c r="S58" s="94" t="str">
        <f>VLOOKUP(O58,'Lookup Values'!$I$2:$L$8,4,TRUE)</f>
        <v>Morning</v>
      </c>
      <c r="T58" t="s">
        <v>86</v>
      </c>
      <c r="U58" t="s">
        <v>87</v>
      </c>
      <c r="V58" t="str">
        <f t="shared" si="12"/>
        <v>Education: Tango Lessons</v>
      </c>
      <c r="W58" t="s">
        <v>85</v>
      </c>
      <c r="X58" t="s">
        <v>88</v>
      </c>
      <c r="Y58" s="1">
        <v>500</v>
      </c>
      <c r="Z58" s="1" t="str">
        <f t="shared" si="13"/>
        <v>Education: $500.00</v>
      </c>
      <c r="AA58" s="1">
        <f>IF(Y58="","",ROUND(Y58*'Lookup Values'!$A$2,2))</f>
        <v>44.38</v>
      </c>
      <c r="AB58" s="12" t="str">
        <f t="shared" si="14"/>
        <v>Expense</v>
      </c>
      <c r="AC58" s="2" t="s">
        <v>220</v>
      </c>
      <c r="AD58" s="3">
        <f t="shared" si="15"/>
        <v>40238</v>
      </c>
      <c r="AE58" s="93" t="str">
        <f t="shared" si="16"/>
        <v>NO</v>
      </c>
      <c r="AF58" s="2" t="str">
        <f t="shared" si="17"/>
        <v>NO</v>
      </c>
      <c r="AG58" t="str">
        <f t="shared" si="18"/>
        <v>Late Transaction</v>
      </c>
    </row>
    <row r="59" spans="1:33" x14ac:dyDescent="0.25">
      <c r="A59" s="2">
        <v>58</v>
      </c>
      <c r="B59" s="3" t="str">
        <f t="shared" si="0"/>
        <v>071207-SH-AMA</v>
      </c>
      <c r="C59" s="3">
        <v>39423</v>
      </c>
      <c r="D59" s="3">
        <f t="shared" si="2"/>
        <v>39437</v>
      </c>
      <c r="E59" s="3">
        <f t="shared" si="3"/>
        <v>39485</v>
      </c>
      <c r="F59" s="3">
        <f t="shared" si="4"/>
        <v>39447</v>
      </c>
      <c r="G59" s="76">
        <f t="shared" si="5"/>
        <v>2007</v>
      </c>
      <c r="H59" s="76">
        <f t="shared" si="6"/>
        <v>12</v>
      </c>
      <c r="I59" s="76" t="str">
        <f>VLOOKUP(H59,'Lookup Values'!$C$2:$D$13,2,FALSE)</f>
        <v>DEC</v>
      </c>
      <c r="J59" s="76">
        <f t="shared" si="7"/>
        <v>7</v>
      </c>
      <c r="K59" s="76">
        <f t="shared" si="8"/>
        <v>6</v>
      </c>
      <c r="L59" s="76" t="str">
        <f>VLOOKUP(K59,'Lookup Values'!$F$2:$G$8,2,FALSE)</f>
        <v>Friday</v>
      </c>
      <c r="M59" s="3">
        <v>39427</v>
      </c>
      <c r="N59" s="78">
        <f t="shared" si="1"/>
        <v>4</v>
      </c>
      <c r="O59" s="11">
        <v>0.45243672735880369</v>
      </c>
      <c r="P59" s="94">
        <f t="shared" si="9"/>
        <v>10</v>
      </c>
      <c r="Q59" s="94">
        <f t="shared" si="10"/>
        <v>51</v>
      </c>
      <c r="R59" s="94">
        <f t="shared" si="11"/>
        <v>31</v>
      </c>
      <c r="S59" s="94" t="str">
        <f>VLOOKUP(O59,'Lookup Values'!$I$2:$L$8,4,TRUE)</f>
        <v>Late Morning</v>
      </c>
      <c r="T59" t="s">
        <v>83</v>
      </c>
      <c r="U59" t="s">
        <v>84</v>
      </c>
      <c r="V59" t="str">
        <f t="shared" si="12"/>
        <v>Shopping: Electronics</v>
      </c>
      <c r="W59" t="s">
        <v>82</v>
      </c>
      <c r="X59" t="s">
        <v>78</v>
      </c>
      <c r="Y59" s="1">
        <v>427</v>
      </c>
      <c r="Z59" s="1" t="str">
        <f t="shared" si="13"/>
        <v>Shopping: $427.00</v>
      </c>
      <c r="AA59" s="1">
        <f>IF(Y59="","",ROUND(Y59*'Lookup Values'!$A$2,2))</f>
        <v>37.9</v>
      </c>
      <c r="AB59" s="12" t="str">
        <f t="shared" si="14"/>
        <v>Expense</v>
      </c>
      <c r="AC59" s="2" t="s">
        <v>221</v>
      </c>
      <c r="AD59" s="3">
        <f t="shared" si="15"/>
        <v>39423</v>
      </c>
      <c r="AE59" s="93" t="str">
        <f t="shared" si="16"/>
        <v>YES</v>
      </c>
      <c r="AF59" s="2" t="str">
        <f t="shared" si="17"/>
        <v>YES</v>
      </c>
      <c r="AG59" t="str">
        <f t="shared" si="18"/>
        <v>Awesome Transaction</v>
      </c>
    </row>
    <row r="60" spans="1:33" x14ac:dyDescent="0.25">
      <c r="A60" s="2">
        <v>59</v>
      </c>
      <c r="B60" s="3" t="str">
        <f t="shared" si="0"/>
        <v>120113-TR-MTA</v>
      </c>
      <c r="C60" s="3">
        <v>40921</v>
      </c>
      <c r="D60" s="3">
        <f t="shared" si="2"/>
        <v>40935</v>
      </c>
      <c r="E60" s="3">
        <f t="shared" si="3"/>
        <v>40981</v>
      </c>
      <c r="F60" s="3">
        <f t="shared" si="4"/>
        <v>40939</v>
      </c>
      <c r="G60" s="76">
        <f t="shared" si="5"/>
        <v>2012</v>
      </c>
      <c r="H60" s="76">
        <f t="shared" si="6"/>
        <v>1</v>
      </c>
      <c r="I60" s="76" t="str">
        <f>VLOOKUP(H60,'Lookup Values'!$C$2:$D$13,2,FALSE)</f>
        <v>JAN</v>
      </c>
      <c r="J60" s="76">
        <f t="shared" si="7"/>
        <v>13</v>
      </c>
      <c r="K60" s="76">
        <f t="shared" si="8"/>
        <v>6</v>
      </c>
      <c r="L60" s="76" t="str">
        <f>VLOOKUP(K60,'Lookup Values'!$F$2:$G$8,2,FALSE)</f>
        <v>Friday</v>
      </c>
      <c r="M60" s="3">
        <v>40922</v>
      </c>
      <c r="N60" s="78">
        <f t="shared" si="1"/>
        <v>1</v>
      </c>
      <c r="O60" s="11">
        <v>0.42222103398639454</v>
      </c>
      <c r="P60" s="94">
        <f t="shared" si="9"/>
        <v>10</v>
      </c>
      <c r="Q60" s="94">
        <f t="shared" si="10"/>
        <v>8</v>
      </c>
      <c r="R60" s="94">
        <f t="shared" si="11"/>
        <v>0</v>
      </c>
      <c r="S60" s="94" t="str">
        <f>VLOOKUP(O60,'Lookup Values'!$I$2:$L$8,4,TRUE)</f>
        <v>Late Morning</v>
      </c>
      <c r="T60" t="s">
        <v>95</v>
      </c>
      <c r="U60" t="s">
        <v>96</v>
      </c>
      <c r="V60" t="str">
        <f t="shared" si="12"/>
        <v>Transportation: Subway</v>
      </c>
      <c r="W60" t="s">
        <v>94</v>
      </c>
      <c r="X60" t="s">
        <v>88</v>
      </c>
      <c r="Y60" s="1">
        <v>435</v>
      </c>
      <c r="Z60" s="1" t="str">
        <f t="shared" si="13"/>
        <v>Transportation: $435.00</v>
      </c>
      <c r="AA60" s="1">
        <f>IF(Y60="","",ROUND(Y60*'Lookup Values'!$A$2,2))</f>
        <v>38.61</v>
      </c>
      <c r="AB60" s="12" t="str">
        <f t="shared" si="14"/>
        <v>Expense</v>
      </c>
      <c r="AC60" s="2" t="s">
        <v>222</v>
      </c>
      <c r="AD60" s="3">
        <f t="shared" si="15"/>
        <v>40921</v>
      </c>
      <c r="AE60" s="93" t="str">
        <f t="shared" si="16"/>
        <v>YES</v>
      </c>
      <c r="AF60" s="2" t="str">
        <f t="shared" si="17"/>
        <v>YES</v>
      </c>
      <c r="AG60" t="str">
        <f t="shared" si="18"/>
        <v>CRAP Transaction</v>
      </c>
    </row>
    <row r="61" spans="1:33" x14ac:dyDescent="0.25">
      <c r="A61" s="2">
        <v>60</v>
      </c>
      <c r="B61" s="3" t="str">
        <f t="shared" si="0"/>
        <v>070828-HO-BED</v>
      </c>
      <c r="C61" s="3">
        <v>39322</v>
      </c>
      <c r="D61" s="3">
        <f t="shared" si="2"/>
        <v>39336</v>
      </c>
      <c r="E61" s="3">
        <f t="shared" si="3"/>
        <v>39383</v>
      </c>
      <c r="F61" s="3">
        <f t="shared" si="4"/>
        <v>39325</v>
      </c>
      <c r="G61" s="76">
        <f t="shared" si="5"/>
        <v>2007</v>
      </c>
      <c r="H61" s="76">
        <f t="shared" si="6"/>
        <v>8</v>
      </c>
      <c r="I61" s="76" t="str">
        <f>VLOOKUP(H61,'Lookup Values'!$C$2:$D$13,2,FALSE)</f>
        <v>AUG</v>
      </c>
      <c r="J61" s="76">
        <f t="shared" si="7"/>
        <v>28</v>
      </c>
      <c r="K61" s="76">
        <f t="shared" si="8"/>
        <v>3</v>
      </c>
      <c r="L61" s="76" t="str">
        <f>VLOOKUP(K61,'Lookup Values'!$F$2:$G$8,2,FALSE)</f>
        <v>Tuesday</v>
      </c>
      <c r="M61" s="3">
        <v>39331</v>
      </c>
      <c r="N61" s="78">
        <f t="shared" si="1"/>
        <v>9</v>
      </c>
      <c r="O61" s="11">
        <v>0.36056657032139439</v>
      </c>
      <c r="P61" s="94">
        <f t="shared" si="9"/>
        <v>8</v>
      </c>
      <c r="Q61" s="94">
        <f t="shared" si="10"/>
        <v>39</v>
      </c>
      <c r="R61" s="94">
        <f t="shared" si="11"/>
        <v>13</v>
      </c>
      <c r="S61" s="94" t="str">
        <f>VLOOKUP(O61,'Lookup Values'!$I$2:$L$8,4,TRUE)</f>
        <v>Morning</v>
      </c>
      <c r="T61" t="s">
        <v>100</v>
      </c>
      <c r="U61" t="s">
        <v>101</v>
      </c>
      <c r="V61" t="str">
        <f t="shared" si="12"/>
        <v>Home: Cleaning Supplies</v>
      </c>
      <c r="W61" t="s">
        <v>99</v>
      </c>
      <c r="X61" t="s">
        <v>91</v>
      </c>
      <c r="Y61" s="1">
        <v>6</v>
      </c>
      <c r="Z61" s="1" t="str">
        <f t="shared" si="13"/>
        <v>Home: $6.00</v>
      </c>
      <c r="AA61" s="1">
        <f>IF(Y61="","",ROUND(Y61*'Lookup Values'!$A$2,2))</f>
        <v>0.53</v>
      </c>
      <c r="AB61" s="12" t="str">
        <f t="shared" si="14"/>
        <v>Expense</v>
      </c>
      <c r="AC61" s="2" t="s">
        <v>223</v>
      </c>
      <c r="AD61" s="3">
        <f t="shared" si="15"/>
        <v>39322</v>
      </c>
      <c r="AE61" s="93" t="str">
        <f t="shared" si="16"/>
        <v>NO</v>
      </c>
      <c r="AF61" s="2" t="str">
        <f t="shared" si="17"/>
        <v>NO</v>
      </c>
      <c r="AG61" t="str">
        <f t="shared" si="18"/>
        <v>Late Transaction</v>
      </c>
    </row>
    <row r="62" spans="1:33" x14ac:dyDescent="0.25">
      <c r="A62" s="2">
        <v>61</v>
      </c>
      <c r="B62" s="3" t="str">
        <f t="shared" si="0"/>
        <v>080831-IN-EZE</v>
      </c>
      <c r="C62" s="3">
        <v>39691</v>
      </c>
      <c r="D62" s="3">
        <f t="shared" si="2"/>
        <v>39703</v>
      </c>
      <c r="E62" s="3">
        <f t="shared" si="3"/>
        <v>39752</v>
      </c>
      <c r="F62" s="3">
        <f t="shared" si="4"/>
        <v>39691</v>
      </c>
      <c r="G62" s="76">
        <f t="shared" si="5"/>
        <v>2008</v>
      </c>
      <c r="H62" s="76">
        <f t="shared" si="6"/>
        <v>8</v>
      </c>
      <c r="I62" s="76" t="str">
        <f>VLOOKUP(H62,'Lookup Values'!$C$2:$D$13,2,FALSE)</f>
        <v>AUG</v>
      </c>
      <c r="J62" s="76">
        <f t="shared" si="7"/>
        <v>31</v>
      </c>
      <c r="K62" s="76">
        <f t="shared" si="8"/>
        <v>1</v>
      </c>
      <c r="L62" s="76" t="str">
        <f>VLOOKUP(K62,'Lookup Values'!$F$2:$G$8,2,FALSE)</f>
        <v>Sunday</v>
      </c>
      <c r="M62" s="3">
        <v>39694</v>
      </c>
      <c r="N62" s="78">
        <f t="shared" si="1"/>
        <v>3</v>
      </c>
      <c r="O62" s="11">
        <v>0.95847256603421205</v>
      </c>
      <c r="P62" s="94">
        <f t="shared" si="9"/>
        <v>23</v>
      </c>
      <c r="Q62" s="94">
        <f t="shared" si="10"/>
        <v>0</v>
      </c>
      <c r="R62" s="94">
        <f t="shared" si="11"/>
        <v>12</v>
      </c>
      <c r="S62" s="94" t="str">
        <f>VLOOKUP(O62,'Lookup Values'!$I$2:$L$8,4,TRUE)</f>
        <v>Late Evening</v>
      </c>
      <c r="T62" t="s">
        <v>158</v>
      </c>
      <c r="U62" t="s">
        <v>159</v>
      </c>
      <c r="V62" t="str">
        <f t="shared" si="12"/>
        <v>Income: Salary</v>
      </c>
      <c r="W62" t="s">
        <v>162</v>
      </c>
      <c r="X62" t="s">
        <v>88</v>
      </c>
      <c r="Y62" s="1">
        <v>14</v>
      </c>
      <c r="Z62" s="1" t="str">
        <f t="shared" si="13"/>
        <v>Income: $14.00</v>
      </c>
      <c r="AA62" s="1">
        <f>IF(Y62="","",ROUND(Y62*'Lookup Values'!$A$2,2))</f>
        <v>1.24</v>
      </c>
      <c r="AB62" s="12" t="str">
        <f t="shared" si="14"/>
        <v>Income</v>
      </c>
      <c r="AC62" s="2" t="s">
        <v>224</v>
      </c>
      <c r="AD62" s="3">
        <f t="shared" si="15"/>
        <v>39691</v>
      </c>
      <c r="AE62" s="93" t="str">
        <f t="shared" si="16"/>
        <v>NO</v>
      </c>
      <c r="AF62" s="2" t="str">
        <f t="shared" si="17"/>
        <v>NO</v>
      </c>
      <c r="AG62" t="str">
        <f t="shared" si="18"/>
        <v>Late Transaction</v>
      </c>
    </row>
    <row r="63" spans="1:33" x14ac:dyDescent="0.25">
      <c r="A63" s="2">
        <v>62</v>
      </c>
      <c r="B63" s="3" t="str">
        <f t="shared" si="0"/>
        <v>110224-FO-TRA</v>
      </c>
      <c r="C63" s="3">
        <v>40598</v>
      </c>
      <c r="D63" s="3">
        <f t="shared" si="2"/>
        <v>40612</v>
      </c>
      <c r="E63" s="3">
        <f t="shared" si="3"/>
        <v>40657</v>
      </c>
      <c r="F63" s="3">
        <f t="shared" si="4"/>
        <v>40602</v>
      </c>
      <c r="G63" s="76">
        <f t="shared" si="5"/>
        <v>2011</v>
      </c>
      <c r="H63" s="76">
        <f t="shared" si="6"/>
        <v>2</v>
      </c>
      <c r="I63" s="76" t="str">
        <f>VLOOKUP(H63,'Lookup Values'!$C$2:$D$13,2,FALSE)</f>
        <v>FEB</v>
      </c>
      <c r="J63" s="76">
        <f t="shared" si="7"/>
        <v>24</v>
      </c>
      <c r="K63" s="76">
        <f t="shared" si="8"/>
        <v>5</v>
      </c>
      <c r="L63" s="76" t="str">
        <f>VLOOKUP(K63,'Lookup Values'!$F$2:$G$8,2,FALSE)</f>
        <v>Thursday</v>
      </c>
      <c r="M63" s="3">
        <v>40608</v>
      </c>
      <c r="N63" s="78">
        <f t="shared" si="1"/>
        <v>10</v>
      </c>
      <c r="O63" s="11">
        <v>0.89057076800908341</v>
      </c>
      <c r="P63" s="94">
        <f t="shared" si="9"/>
        <v>21</v>
      </c>
      <c r="Q63" s="94">
        <f t="shared" si="10"/>
        <v>22</v>
      </c>
      <c r="R63" s="94">
        <f t="shared" si="11"/>
        <v>25</v>
      </c>
      <c r="S63" s="94" t="str">
        <f>VLOOKUP(O63,'Lookup Values'!$I$2:$L$8,4,TRUE)</f>
        <v>Late Evening</v>
      </c>
      <c r="T63" t="s">
        <v>80</v>
      </c>
      <c r="U63" t="s">
        <v>93</v>
      </c>
      <c r="V63" t="str">
        <f t="shared" si="12"/>
        <v>Food: Groceries</v>
      </c>
      <c r="W63" t="s">
        <v>92</v>
      </c>
      <c r="X63" t="s">
        <v>78</v>
      </c>
      <c r="Y63" s="1">
        <v>499</v>
      </c>
      <c r="Z63" s="1" t="str">
        <f t="shared" si="13"/>
        <v>Food: $499.00</v>
      </c>
      <c r="AA63" s="1">
        <f>IF(Y63="","",ROUND(Y63*'Lookup Values'!$A$2,2))</f>
        <v>44.29</v>
      </c>
      <c r="AB63" s="12" t="str">
        <f t="shared" si="14"/>
        <v>Expense</v>
      </c>
      <c r="AC63" s="2" t="s">
        <v>225</v>
      </c>
      <c r="AD63" s="3">
        <f t="shared" si="15"/>
        <v>40598</v>
      </c>
      <c r="AE63" s="93" t="str">
        <f t="shared" si="16"/>
        <v>NO</v>
      </c>
      <c r="AF63" s="2" t="str">
        <f t="shared" si="17"/>
        <v>NO</v>
      </c>
      <c r="AG63" t="str">
        <f t="shared" si="18"/>
        <v>CRAP Transaction</v>
      </c>
    </row>
    <row r="64" spans="1:33" x14ac:dyDescent="0.25">
      <c r="A64" s="2">
        <v>63</v>
      </c>
      <c r="B64" s="3" t="str">
        <f t="shared" si="0"/>
        <v>111218-FO-CIT</v>
      </c>
      <c r="C64" s="3">
        <v>40895</v>
      </c>
      <c r="D64" s="3">
        <f t="shared" si="2"/>
        <v>40907</v>
      </c>
      <c r="E64" s="3">
        <f t="shared" si="3"/>
        <v>40957</v>
      </c>
      <c r="F64" s="3">
        <f t="shared" si="4"/>
        <v>40908</v>
      </c>
      <c r="G64" s="76">
        <f t="shared" si="5"/>
        <v>2011</v>
      </c>
      <c r="H64" s="76">
        <f t="shared" si="6"/>
        <v>12</v>
      </c>
      <c r="I64" s="76" t="str">
        <f>VLOOKUP(H64,'Lookup Values'!$C$2:$D$13,2,FALSE)</f>
        <v>DEC</v>
      </c>
      <c r="J64" s="76">
        <f t="shared" si="7"/>
        <v>18</v>
      </c>
      <c r="K64" s="76">
        <f t="shared" si="8"/>
        <v>1</v>
      </c>
      <c r="L64" s="76" t="str">
        <f>VLOOKUP(K64,'Lookup Values'!$F$2:$G$8,2,FALSE)</f>
        <v>Sunday</v>
      </c>
      <c r="M64" s="3">
        <v>40903</v>
      </c>
      <c r="N64" s="78">
        <f t="shared" si="1"/>
        <v>8</v>
      </c>
      <c r="O64" s="11">
        <v>0.70005430545541514</v>
      </c>
      <c r="P64" s="94">
        <f t="shared" si="9"/>
        <v>16</v>
      </c>
      <c r="Q64" s="94">
        <f t="shared" si="10"/>
        <v>48</v>
      </c>
      <c r="R64" s="94">
        <f t="shared" si="11"/>
        <v>5</v>
      </c>
      <c r="S64" s="94" t="str">
        <f>VLOOKUP(O64,'Lookup Values'!$I$2:$L$8,4,TRUE)</f>
        <v>Afternoon</v>
      </c>
      <c r="T64" t="s">
        <v>80</v>
      </c>
      <c r="U64" t="s">
        <v>105</v>
      </c>
      <c r="V64" t="str">
        <f t="shared" si="12"/>
        <v>Food: Coffee</v>
      </c>
      <c r="W64" t="s">
        <v>104</v>
      </c>
      <c r="X64" t="s">
        <v>78</v>
      </c>
      <c r="Y64" s="1">
        <v>475</v>
      </c>
      <c r="Z64" s="1" t="str">
        <f t="shared" si="13"/>
        <v>Food: $475.00</v>
      </c>
      <c r="AA64" s="1">
        <f>IF(Y64="","",ROUND(Y64*'Lookup Values'!$A$2,2))</f>
        <v>42.16</v>
      </c>
      <c r="AB64" s="12" t="str">
        <f t="shared" si="14"/>
        <v>Expense</v>
      </c>
      <c r="AC64" s="2" t="s">
        <v>226</v>
      </c>
      <c r="AD64" s="3">
        <f t="shared" si="15"/>
        <v>40895</v>
      </c>
      <c r="AE64" s="93" t="str">
        <f t="shared" si="16"/>
        <v>NO</v>
      </c>
      <c r="AF64" s="2" t="str">
        <f t="shared" si="17"/>
        <v>NO</v>
      </c>
      <c r="AG64" t="str">
        <f t="shared" si="18"/>
        <v>CRAP Transaction</v>
      </c>
    </row>
    <row r="65" spans="1:33" x14ac:dyDescent="0.25">
      <c r="A65" s="2">
        <v>64</v>
      </c>
      <c r="B65" s="3" t="str">
        <f t="shared" si="0"/>
        <v>080109-EN-MOE</v>
      </c>
      <c r="C65" s="3">
        <v>39456</v>
      </c>
      <c r="D65" s="3">
        <f t="shared" si="2"/>
        <v>39470</v>
      </c>
      <c r="E65" s="3">
        <f t="shared" si="3"/>
        <v>39516</v>
      </c>
      <c r="F65" s="3">
        <f t="shared" si="4"/>
        <v>39478</v>
      </c>
      <c r="G65" s="76">
        <f t="shared" si="5"/>
        <v>2008</v>
      </c>
      <c r="H65" s="76">
        <f t="shared" si="6"/>
        <v>1</v>
      </c>
      <c r="I65" s="76" t="str">
        <f>VLOOKUP(H65,'Lookup Values'!$C$2:$D$13,2,FALSE)</f>
        <v>JAN</v>
      </c>
      <c r="J65" s="76">
        <f t="shared" si="7"/>
        <v>9</v>
      </c>
      <c r="K65" s="76">
        <f t="shared" si="8"/>
        <v>4</v>
      </c>
      <c r="L65" s="76" t="str">
        <f>VLOOKUP(K65,'Lookup Values'!$F$2:$G$8,2,FALSE)</f>
        <v>Wednesday</v>
      </c>
      <c r="M65" s="3">
        <v>39462</v>
      </c>
      <c r="N65" s="78">
        <f t="shared" si="1"/>
        <v>6</v>
      </c>
      <c r="O65" s="11">
        <v>0.68017276701203266</v>
      </c>
      <c r="P65" s="94">
        <f t="shared" si="9"/>
        <v>16</v>
      </c>
      <c r="Q65" s="94">
        <f t="shared" si="10"/>
        <v>19</v>
      </c>
      <c r="R65" s="94">
        <f t="shared" si="11"/>
        <v>27</v>
      </c>
      <c r="S65" s="94" t="str">
        <f>VLOOKUP(O65,'Lookup Values'!$I$2:$L$8,4,TRUE)</f>
        <v>Afternoon</v>
      </c>
      <c r="T65" t="s">
        <v>76</v>
      </c>
      <c r="U65" t="s">
        <v>77</v>
      </c>
      <c r="V65" t="str">
        <f t="shared" si="12"/>
        <v>Entertainment: Alcohol</v>
      </c>
      <c r="W65" t="s">
        <v>75</v>
      </c>
      <c r="X65" t="s">
        <v>91</v>
      </c>
      <c r="Y65" s="1">
        <v>461</v>
      </c>
      <c r="Z65" s="1" t="str">
        <f t="shared" si="13"/>
        <v>Entertainment: $461.00</v>
      </c>
      <c r="AA65" s="1">
        <f>IF(Y65="","",ROUND(Y65*'Lookup Values'!$A$2,2))</f>
        <v>40.909999999999997</v>
      </c>
      <c r="AB65" s="12" t="str">
        <f t="shared" si="14"/>
        <v>Expense</v>
      </c>
      <c r="AC65" s="2" t="s">
        <v>227</v>
      </c>
      <c r="AD65" s="3">
        <f t="shared" si="15"/>
        <v>39456</v>
      </c>
      <c r="AE65" s="93" t="str">
        <f t="shared" si="16"/>
        <v>NO</v>
      </c>
      <c r="AF65" s="2" t="str">
        <f t="shared" si="17"/>
        <v>NO</v>
      </c>
      <c r="AG65" t="str">
        <f t="shared" si="18"/>
        <v>Awesome Transaction</v>
      </c>
    </row>
    <row r="66" spans="1:33" x14ac:dyDescent="0.25">
      <c r="A66" s="2">
        <v>65</v>
      </c>
      <c r="B66" s="3" t="str">
        <f t="shared" ref="B66:B129" si="19">TEXT(C66,"yymmdd") &amp; "-" &amp; UPPER(LEFT(T66,2)) &amp; "-" &amp; UPPER(LEFT(W66,3))</f>
        <v>081125-IN-AUN</v>
      </c>
      <c r="C66" s="3">
        <v>39777</v>
      </c>
      <c r="D66" s="3">
        <f t="shared" si="2"/>
        <v>39791</v>
      </c>
      <c r="E66" s="3">
        <f t="shared" si="3"/>
        <v>39838</v>
      </c>
      <c r="F66" s="3">
        <f t="shared" si="4"/>
        <v>39782</v>
      </c>
      <c r="G66" s="76">
        <f t="shared" si="5"/>
        <v>2008</v>
      </c>
      <c r="H66" s="76">
        <f t="shared" si="6"/>
        <v>11</v>
      </c>
      <c r="I66" s="76" t="str">
        <f>VLOOKUP(H66,'Lookup Values'!$C$2:$D$13,2,FALSE)</f>
        <v>NOV</v>
      </c>
      <c r="J66" s="76">
        <f t="shared" si="7"/>
        <v>25</v>
      </c>
      <c r="K66" s="76">
        <f t="shared" si="8"/>
        <v>3</v>
      </c>
      <c r="L66" s="76" t="str">
        <f>VLOOKUP(K66,'Lookup Values'!$F$2:$G$8,2,FALSE)</f>
        <v>Tuesday</v>
      </c>
      <c r="M66" s="3">
        <v>39787</v>
      </c>
      <c r="N66" s="78">
        <f t="shared" ref="N66:N129" si="20">M66-C66</f>
        <v>10</v>
      </c>
      <c r="O66" s="11">
        <v>0.41119524020244347</v>
      </c>
      <c r="P66" s="94">
        <f t="shared" si="9"/>
        <v>9</v>
      </c>
      <c r="Q66" s="94">
        <f t="shared" si="10"/>
        <v>52</v>
      </c>
      <c r="R66" s="94">
        <f t="shared" si="11"/>
        <v>7</v>
      </c>
      <c r="S66" s="94" t="str">
        <f>VLOOKUP(O66,'Lookup Values'!$I$2:$L$8,4,TRUE)</f>
        <v>Morning</v>
      </c>
      <c r="T66" t="s">
        <v>158</v>
      </c>
      <c r="U66" t="s">
        <v>161</v>
      </c>
      <c r="V66" t="str">
        <f t="shared" si="12"/>
        <v>Income: Gift Received</v>
      </c>
      <c r="W66" t="s">
        <v>164</v>
      </c>
      <c r="X66" t="s">
        <v>88</v>
      </c>
      <c r="Y66" s="1">
        <v>193</v>
      </c>
      <c r="Z66" s="1" t="str">
        <f t="shared" si="13"/>
        <v>Income: $193.00</v>
      </c>
      <c r="AA66" s="1">
        <f>IF(Y66="","",ROUND(Y66*'Lookup Values'!$A$2,2))</f>
        <v>17.13</v>
      </c>
      <c r="AB66" s="12" t="str">
        <f t="shared" si="14"/>
        <v>Income</v>
      </c>
      <c r="AC66" s="2" t="s">
        <v>228</v>
      </c>
      <c r="AD66" s="3">
        <f t="shared" si="15"/>
        <v>39777</v>
      </c>
      <c r="AE66" s="93" t="str">
        <f t="shared" si="16"/>
        <v>NO</v>
      </c>
      <c r="AF66" s="2" t="str">
        <f t="shared" si="17"/>
        <v>NO</v>
      </c>
      <c r="AG66" t="str">
        <f t="shared" si="18"/>
        <v>Late Transaction</v>
      </c>
    </row>
    <row r="67" spans="1:33" x14ac:dyDescent="0.25">
      <c r="A67" s="2">
        <v>66</v>
      </c>
      <c r="B67" s="3" t="str">
        <f t="shared" si="19"/>
        <v>110510-HO-BED</v>
      </c>
      <c r="C67" s="3">
        <v>40673</v>
      </c>
      <c r="D67" s="3">
        <f t="shared" ref="D67:D130" si="21">WORKDAY(C67,10)</f>
        <v>40687</v>
      </c>
      <c r="E67" s="3">
        <f t="shared" ref="E67:E130" si="22">EDATE(C67,2)</f>
        <v>40734</v>
      </c>
      <c r="F67" s="3">
        <f t="shared" ref="F67:F130" si="23">EOMONTH(C67,0)</f>
        <v>40694</v>
      </c>
      <c r="G67" s="76">
        <f t="shared" ref="G67:G130" si="24">YEAR(C67)</f>
        <v>2011</v>
      </c>
      <c r="H67" s="76">
        <f t="shared" ref="H67:H130" si="25">MONTH(C67)</f>
        <v>5</v>
      </c>
      <c r="I67" s="76" t="str">
        <f>VLOOKUP(H67,'Lookup Values'!$C$2:$D$13,2,FALSE)</f>
        <v>MAY</v>
      </c>
      <c r="J67" s="76">
        <f t="shared" ref="J67:J130" si="26">DAY(C67)</f>
        <v>10</v>
      </c>
      <c r="K67" s="76">
        <f t="shared" ref="K67:K130" si="27">WEEKDAY(C67)</f>
        <v>3</v>
      </c>
      <c r="L67" s="76" t="str">
        <f>VLOOKUP(K67,'Lookup Values'!$F$2:$G$8,2,FALSE)</f>
        <v>Tuesday</v>
      </c>
      <c r="M67" s="3">
        <v>40675</v>
      </c>
      <c r="N67" s="78">
        <f t="shared" si="20"/>
        <v>2</v>
      </c>
      <c r="O67" s="11">
        <v>0.68252376227819367</v>
      </c>
      <c r="P67" s="94">
        <f t="shared" ref="P67:P130" si="28">HOUR(O67)</f>
        <v>16</v>
      </c>
      <c r="Q67" s="94">
        <f t="shared" ref="Q67:Q130" si="29">MINUTE(O67)</f>
        <v>22</v>
      </c>
      <c r="R67" s="94">
        <f t="shared" ref="R67:R130" si="30">SECOND(O67)</f>
        <v>50</v>
      </c>
      <c r="S67" s="94" t="str">
        <f>VLOOKUP(O67,'Lookup Values'!$I$2:$L$8,4,TRUE)</f>
        <v>Afternoon</v>
      </c>
      <c r="T67" t="s">
        <v>100</v>
      </c>
      <c r="U67" t="s">
        <v>101</v>
      </c>
      <c r="V67" t="str">
        <f t="shared" ref="V67:V130" si="31">T67 &amp; ": " &amp; U67</f>
        <v>Home: Cleaning Supplies</v>
      </c>
      <c r="W67" t="s">
        <v>99</v>
      </c>
      <c r="X67" t="s">
        <v>91</v>
      </c>
      <c r="Y67" s="1">
        <v>117</v>
      </c>
      <c r="Z67" s="1" t="str">
        <f t="shared" ref="Z67:Z130" si="32">T67 &amp; ": " &amp; TEXT(Y67,"$#,###.00")</f>
        <v>Home: $117.00</v>
      </c>
      <c r="AA67" s="1">
        <f>IF(Y67="","",ROUND(Y67*'Lookup Values'!$A$2,2))</f>
        <v>10.38</v>
      </c>
      <c r="AB67" s="12" t="str">
        <f t="shared" ref="AB67:AB130" si="33">IF(T67="Income","Income","Expense")</f>
        <v>Expense</v>
      </c>
      <c r="AC67" s="2" t="s">
        <v>229</v>
      </c>
      <c r="AD67" s="3">
        <f t="shared" ref="AD67:AD130" si="34">VALUE(SUBSTITUTE(AC67,".","/"))</f>
        <v>40673</v>
      </c>
      <c r="AE67" s="93" t="str">
        <f t="shared" ref="AE67:AE130" si="35">IF(OR(T67="Transportation",U67="Professional Development",U67="Electronics"),"YES","NO")</f>
        <v>NO</v>
      </c>
      <c r="AF67" s="2" t="str">
        <f t="shared" ref="AF67:AF130" si="36">IF(AND(AE67="YES",Y67&gt;=400),"YES","NO")</f>
        <v>NO</v>
      </c>
      <c r="AG67" t="str">
        <f t="shared" ref="AG67:AG130" si="37">IF(AND(AND(G67&gt;=2007,G67&lt;=2009),OR(W67&lt;&gt;"MTA",W67&lt;&gt;"Fandango"),OR(T67="Food",T67="Shopping",T67="Entertainment")),"Awesome Transaction",IF(AND(G67&lt;=2010,U67&lt;&gt;"Alcohol"),"Late Transaction",IF(G67=2006,"Early Transaction","CRAP Transaction")))</f>
        <v>CRAP Transaction</v>
      </c>
    </row>
    <row r="68" spans="1:33" x14ac:dyDescent="0.25">
      <c r="A68" s="2">
        <v>67</v>
      </c>
      <c r="B68" s="3" t="str">
        <f t="shared" si="19"/>
        <v>070123-FO-CIT</v>
      </c>
      <c r="C68" s="3">
        <v>39105</v>
      </c>
      <c r="D68" s="3">
        <f t="shared" si="21"/>
        <v>39119</v>
      </c>
      <c r="E68" s="3">
        <f t="shared" si="22"/>
        <v>39164</v>
      </c>
      <c r="F68" s="3">
        <f t="shared" si="23"/>
        <v>39113</v>
      </c>
      <c r="G68" s="76">
        <f t="shared" si="24"/>
        <v>2007</v>
      </c>
      <c r="H68" s="76">
        <f t="shared" si="25"/>
        <v>1</v>
      </c>
      <c r="I68" s="76" t="str">
        <f>VLOOKUP(H68,'Lookup Values'!$C$2:$D$13,2,FALSE)</f>
        <v>JAN</v>
      </c>
      <c r="J68" s="76">
        <f t="shared" si="26"/>
        <v>23</v>
      </c>
      <c r="K68" s="76">
        <f t="shared" si="27"/>
        <v>3</v>
      </c>
      <c r="L68" s="76" t="str">
        <f>VLOOKUP(K68,'Lookup Values'!$F$2:$G$8,2,FALSE)</f>
        <v>Tuesday</v>
      </c>
      <c r="M68" s="3">
        <v>39109</v>
      </c>
      <c r="N68" s="78">
        <f t="shared" si="20"/>
        <v>4</v>
      </c>
      <c r="O68" s="11">
        <v>0.84765562828368923</v>
      </c>
      <c r="P68" s="94">
        <f t="shared" si="28"/>
        <v>20</v>
      </c>
      <c r="Q68" s="94">
        <f t="shared" si="29"/>
        <v>20</v>
      </c>
      <c r="R68" s="94">
        <f t="shared" si="30"/>
        <v>37</v>
      </c>
      <c r="S68" s="94" t="str">
        <f>VLOOKUP(O68,'Lookup Values'!$I$2:$L$8,4,TRUE)</f>
        <v>Evening</v>
      </c>
      <c r="T68" t="s">
        <v>80</v>
      </c>
      <c r="U68" t="s">
        <v>105</v>
      </c>
      <c r="V68" t="str">
        <f t="shared" si="31"/>
        <v>Food: Coffee</v>
      </c>
      <c r="W68" t="s">
        <v>104</v>
      </c>
      <c r="X68" t="s">
        <v>91</v>
      </c>
      <c r="Y68" s="1">
        <v>387</v>
      </c>
      <c r="Z68" s="1" t="str">
        <f t="shared" si="32"/>
        <v>Food: $387.00</v>
      </c>
      <c r="AA68" s="1">
        <f>IF(Y68="","",ROUND(Y68*'Lookup Values'!$A$2,2))</f>
        <v>34.35</v>
      </c>
      <c r="AB68" s="12" t="str">
        <f t="shared" si="33"/>
        <v>Expense</v>
      </c>
      <c r="AC68" s="2" t="s">
        <v>230</v>
      </c>
      <c r="AD68" s="3">
        <f t="shared" si="34"/>
        <v>39105</v>
      </c>
      <c r="AE68" s="93" t="str">
        <f t="shared" si="35"/>
        <v>NO</v>
      </c>
      <c r="AF68" s="2" t="str">
        <f t="shared" si="36"/>
        <v>NO</v>
      </c>
      <c r="AG68" t="str">
        <f t="shared" si="37"/>
        <v>Awesome Transaction</v>
      </c>
    </row>
    <row r="69" spans="1:33" x14ac:dyDescent="0.25">
      <c r="A69" s="2">
        <v>68</v>
      </c>
      <c r="B69" s="3" t="str">
        <f t="shared" si="19"/>
        <v>090806-IN-AUN</v>
      </c>
      <c r="C69" s="3">
        <v>40031</v>
      </c>
      <c r="D69" s="3">
        <f t="shared" si="21"/>
        <v>40045</v>
      </c>
      <c r="E69" s="3">
        <f t="shared" si="22"/>
        <v>40092</v>
      </c>
      <c r="F69" s="3">
        <f t="shared" si="23"/>
        <v>40056</v>
      </c>
      <c r="G69" s="76">
        <f t="shared" si="24"/>
        <v>2009</v>
      </c>
      <c r="H69" s="76">
        <f t="shared" si="25"/>
        <v>8</v>
      </c>
      <c r="I69" s="76" t="str">
        <f>VLOOKUP(H69,'Lookup Values'!$C$2:$D$13,2,FALSE)</f>
        <v>AUG</v>
      </c>
      <c r="J69" s="76">
        <f t="shared" si="26"/>
        <v>6</v>
      </c>
      <c r="K69" s="76">
        <f t="shared" si="27"/>
        <v>5</v>
      </c>
      <c r="L69" s="76" t="str">
        <f>VLOOKUP(K69,'Lookup Values'!$F$2:$G$8,2,FALSE)</f>
        <v>Thursday</v>
      </c>
      <c r="M69" s="3">
        <v>40037</v>
      </c>
      <c r="N69" s="78">
        <f t="shared" si="20"/>
        <v>6</v>
      </c>
      <c r="O69" s="11">
        <v>0.48705281040488968</v>
      </c>
      <c r="P69" s="94">
        <f t="shared" si="28"/>
        <v>11</v>
      </c>
      <c r="Q69" s="94">
        <f t="shared" si="29"/>
        <v>41</v>
      </c>
      <c r="R69" s="94">
        <f t="shared" si="30"/>
        <v>21</v>
      </c>
      <c r="S69" s="94" t="str">
        <f>VLOOKUP(O69,'Lookup Values'!$I$2:$L$8,4,TRUE)</f>
        <v>Late Morning</v>
      </c>
      <c r="T69" t="s">
        <v>158</v>
      </c>
      <c r="U69" t="s">
        <v>161</v>
      </c>
      <c r="V69" t="str">
        <f t="shared" si="31"/>
        <v>Income: Gift Received</v>
      </c>
      <c r="W69" t="s">
        <v>164</v>
      </c>
      <c r="X69" t="s">
        <v>91</v>
      </c>
      <c r="Y69" s="1">
        <v>98</v>
      </c>
      <c r="Z69" s="1" t="str">
        <f t="shared" si="32"/>
        <v>Income: $98.00</v>
      </c>
      <c r="AA69" s="1">
        <f>IF(Y69="","",ROUND(Y69*'Lookup Values'!$A$2,2))</f>
        <v>8.6999999999999993</v>
      </c>
      <c r="AB69" s="12" t="str">
        <f t="shared" si="33"/>
        <v>Income</v>
      </c>
      <c r="AC69" s="2" t="s">
        <v>231</v>
      </c>
      <c r="AD69" s="3">
        <f t="shared" si="34"/>
        <v>40031</v>
      </c>
      <c r="AE69" s="93" t="str">
        <f t="shared" si="35"/>
        <v>NO</v>
      </c>
      <c r="AF69" s="2" t="str">
        <f t="shared" si="36"/>
        <v>NO</v>
      </c>
      <c r="AG69" t="str">
        <f t="shared" si="37"/>
        <v>Late Transaction</v>
      </c>
    </row>
    <row r="70" spans="1:33" x14ac:dyDescent="0.25">
      <c r="A70" s="2">
        <v>69</v>
      </c>
      <c r="B70" s="3" t="str">
        <f t="shared" si="19"/>
        <v>081019-FO-BAN</v>
      </c>
      <c r="C70" s="3">
        <v>39740</v>
      </c>
      <c r="D70" s="3">
        <f t="shared" si="21"/>
        <v>39752</v>
      </c>
      <c r="E70" s="3">
        <f t="shared" si="22"/>
        <v>39801</v>
      </c>
      <c r="F70" s="3">
        <f t="shared" si="23"/>
        <v>39752</v>
      </c>
      <c r="G70" s="76">
        <f t="shared" si="24"/>
        <v>2008</v>
      </c>
      <c r="H70" s="76">
        <f t="shared" si="25"/>
        <v>10</v>
      </c>
      <c r="I70" s="76" t="str">
        <f>VLOOKUP(H70,'Lookup Values'!$C$2:$D$13,2,FALSE)</f>
        <v>OCT</v>
      </c>
      <c r="J70" s="76">
        <f t="shared" si="26"/>
        <v>19</v>
      </c>
      <c r="K70" s="76">
        <f t="shared" si="27"/>
        <v>1</v>
      </c>
      <c r="L70" s="76" t="str">
        <f>VLOOKUP(K70,'Lookup Values'!$F$2:$G$8,2,FALSE)</f>
        <v>Sunday</v>
      </c>
      <c r="M70" s="3">
        <v>39746</v>
      </c>
      <c r="N70" s="78">
        <f t="shared" si="20"/>
        <v>6</v>
      </c>
      <c r="O70" s="11">
        <v>0.71731768142419461</v>
      </c>
      <c r="P70" s="94">
        <f t="shared" si="28"/>
        <v>17</v>
      </c>
      <c r="Q70" s="94">
        <f t="shared" si="29"/>
        <v>12</v>
      </c>
      <c r="R70" s="94">
        <f t="shared" si="30"/>
        <v>56</v>
      </c>
      <c r="S70" s="94" t="str">
        <f>VLOOKUP(O70,'Lookup Values'!$I$2:$L$8,4,TRUE)</f>
        <v>Evening</v>
      </c>
      <c r="T70" t="s">
        <v>80</v>
      </c>
      <c r="U70" t="s">
        <v>81</v>
      </c>
      <c r="V70" t="str">
        <f t="shared" si="31"/>
        <v>Food: Restaurants</v>
      </c>
      <c r="W70" t="s">
        <v>79</v>
      </c>
      <c r="X70" t="s">
        <v>78</v>
      </c>
      <c r="Y70" s="1">
        <v>475</v>
      </c>
      <c r="Z70" s="1" t="str">
        <f t="shared" si="32"/>
        <v>Food: $475.00</v>
      </c>
      <c r="AA70" s="1">
        <f>IF(Y70="","",ROUND(Y70*'Lookup Values'!$A$2,2))</f>
        <v>42.16</v>
      </c>
      <c r="AB70" s="12" t="str">
        <f t="shared" si="33"/>
        <v>Expense</v>
      </c>
      <c r="AC70" s="2" t="s">
        <v>232</v>
      </c>
      <c r="AD70" s="3">
        <f t="shared" si="34"/>
        <v>39740</v>
      </c>
      <c r="AE70" s="93" t="str">
        <f t="shared" si="35"/>
        <v>NO</v>
      </c>
      <c r="AF70" s="2" t="str">
        <f t="shared" si="36"/>
        <v>NO</v>
      </c>
      <c r="AG70" t="str">
        <f t="shared" si="37"/>
        <v>Awesome Transaction</v>
      </c>
    </row>
    <row r="71" spans="1:33" x14ac:dyDescent="0.25">
      <c r="A71" s="2">
        <v>70</v>
      </c>
      <c r="B71" s="3" t="str">
        <f t="shared" si="19"/>
        <v>071021-BI-CON</v>
      </c>
      <c r="C71" s="3">
        <v>39376</v>
      </c>
      <c r="D71" s="3">
        <f t="shared" si="21"/>
        <v>39388</v>
      </c>
      <c r="E71" s="3">
        <f t="shared" si="22"/>
        <v>39437</v>
      </c>
      <c r="F71" s="3">
        <f t="shared" si="23"/>
        <v>39386</v>
      </c>
      <c r="G71" s="76">
        <f t="shared" si="24"/>
        <v>2007</v>
      </c>
      <c r="H71" s="76">
        <f t="shared" si="25"/>
        <v>10</v>
      </c>
      <c r="I71" s="76" t="str">
        <f>VLOOKUP(H71,'Lookup Values'!$C$2:$D$13,2,FALSE)</f>
        <v>OCT</v>
      </c>
      <c r="J71" s="76">
        <f t="shared" si="26"/>
        <v>21</v>
      </c>
      <c r="K71" s="76">
        <f t="shared" si="27"/>
        <v>1</v>
      </c>
      <c r="L71" s="76" t="str">
        <f>VLOOKUP(K71,'Lookup Values'!$F$2:$G$8,2,FALSE)</f>
        <v>Sunday</v>
      </c>
      <c r="M71" s="3">
        <v>39382</v>
      </c>
      <c r="N71" s="78">
        <f t="shared" si="20"/>
        <v>6</v>
      </c>
      <c r="O71" s="11">
        <v>0.84634471119937926</v>
      </c>
      <c r="P71" s="94">
        <f t="shared" si="28"/>
        <v>20</v>
      </c>
      <c r="Q71" s="94">
        <f t="shared" si="29"/>
        <v>18</v>
      </c>
      <c r="R71" s="94">
        <f t="shared" si="30"/>
        <v>44</v>
      </c>
      <c r="S71" s="94" t="str">
        <f>VLOOKUP(O71,'Lookup Values'!$I$2:$L$8,4,TRUE)</f>
        <v>Evening</v>
      </c>
      <c r="T71" t="s">
        <v>110</v>
      </c>
      <c r="U71" t="s">
        <v>111</v>
      </c>
      <c r="V71" t="str">
        <f t="shared" si="31"/>
        <v>Bills: Utilities</v>
      </c>
      <c r="W71" t="s">
        <v>109</v>
      </c>
      <c r="X71" t="s">
        <v>88</v>
      </c>
      <c r="Y71" s="1">
        <v>148</v>
      </c>
      <c r="Z71" s="1" t="str">
        <f t="shared" si="32"/>
        <v>Bills: $148.00</v>
      </c>
      <c r="AA71" s="1">
        <f>IF(Y71="","",ROUND(Y71*'Lookup Values'!$A$2,2))</f>
        <v>13.14</v>
      </c>
      <c r="AB71" s="12" t="str">
        <f t="shared" si="33"/>
        <v>Expense</v>
      </c>
      <c r="AC71" s="2" t="s">
        <v>233</v>
      </c>
      <c r="AD71" s="3">
        <f t="shared" si="34"/>
        <v>39376</v>
      </c>
      <c r="AE71" s="93" t="str">
        <f t="shared" si="35"/>
        <v>NO</v>
      </c>
      <c r="AF71" s="2" t="str">
        <f t="shared" si="36"/>
        <v>NO</v>
      </c>
      <c r="AG71" t="str">
        <f t="shared" si="37"/>
        <v>Late Transaction</v>
      </c>
    </row>
    <row r="72" spans="1:33" x14ac:dyDescent="0.25">
      <c r="A72" s="2">
        <v>71</v>
      </c>
      <c r="B72" s="3" t="str">
        <f t="shared" si="19"/>
        <v>101114-HE-FRE</v>
      </c>
      <c r="C72" s="3">
        <v>40496</v>
      </c>
      <c r="D72" s="3">
        <f t="shared" si="21"/>
        <v>40508</v>
      </c>
      <c r="E72" s="3">
        <f t="shared" si="22"/>
        <v>40557</v>
      </c>
      <c r="F72" s="3">
        <f t="shared" si="23"/>
        <v>40512</v>
      </c>
      <c r="G72" s="76">
        <f t="shared" si="24"/>
        <v>2010</v>
      </c>
      <c r="H72" s="76">
        <f t="shared" si="25"/>
        <v>11</v>
      </c>
      <c r="I72" s="76" t="str">
        <f>VLOOKUP(H72,'Lookup Values'!$C$2:$D$13,2,FALSE)</f>
        <v>NOV</v>
      </c>
      <c r="J72" s="76">
        <f t="shared" si="26"/>
        <v>14</v>
      </c>
      <c r="K72" s="76">
        <f t="shared" si="27"/>
        <v>1</v>
      </c>
      <c r="L72" s="76" t="str">
        <f>VLOOKUP(K72,'Lookup Values'!$F$2:$G$8,2,FALSE)</f>
        <v>Sunday</v>
      </c>
      <c r="M72" s="3">
        <v>40503</v>
      </c>
      <c r="N72" s="78">
        <f t="shared" si="20"/>
        <v>7</v>
      </c>
      <c r="O72" s="11">
        <v>0.88809660367988552</v>
      </c>
      <c r="P72" s="94">
        <f t="shared" si="28"/>
        <v>21</v>
      </c>
      <c r="Q72" s="94">
        <f t="shared" si="29"/>
        <v>18</v>
      </c>
      <c r="R72" s="94">
        <f t="shared" si="30"/>
        <v>52</v>
      </c>
      <c r="S72" s="94" t="str">
        <f>VLOOKUP(O72,'Lookup Values'!$I$2:$L$8,4,TRUE)</f>
        <v>Late Evening</v>
      </c>
      <c r="T72" t="s">
        <v>107</v>
      </c>
      <c r="U72" t="s">
        <v>108</v>
      </c>
      <c r="V72" t="str">
        <f t="shared" si="31"/>
        <v>Health: Insurance Premium</v>
      </c>
      <c r="W72" t="s">
        <v>106</v>
      </c>
      <c r="X72" t="s">
        <v>91</v>
      </c>
      <c r="Y72" s="1">
        <v>301</v>
      </c>
      <c r="Z72" s="1" t="str">
        <f t="shared" si="32"/>
        <v>Health: $301.00</v>
      </c>
      <c r="AA72" s="1">
        <f>IF(Y72="","",ROUND(Y72*'Lookup Values'!$A$2,2))</f>
        <v>26.71</v>
      </c>
      <c r="AB72" s="12" t="str">
        <f t="shared" si="33"/>
        <v>Expense</v>
      </c>
      <c r="AC72" s="2" t="s">
        <v>234</v>
      </c>
      <c r="AD72" s="3">
        <f t="shared" si="34"/>
        <v>40496</v>
      </c>
      <c r="AE72" s="93" t="str">
        <f t="shared" si="35"/>
        <v>NO</v>
      </c>
      <c r="AF72" s="2" t="str">
        <f t="shared" si="36"/>
        <v>NO</v>
      </c>
      <c r="AG72" t="str">
        <f t="shared" si="37"/>
        <v>Late Transaction</v>
      </c>
    </row>
    <row r="73" spans="1:33" x14ac:dyDescent="0.25">
      <c r="A73" s="2">
        <v>72</v>
      </c>
      <c r="B73" s="3" t="str">
        <f t="shared" si="19"/>
        <v>080330-IN-LEG</v>
      </c>
      <c r="C73" s="3">
        <v>39537</v>
      </c>
      <c r="D73" s="3">
        <f t="shared" si="21"/>
        <v>39549</v>
      </c>
      <c r="E73" s="3">
        <f t="shared" si="22"/>
        <v>39598</v>
      </c>
      <c r="F73" s="3">
        <f t="shared" si="23"/>
        <v>39538</v>
      </c>
      <c r="G73" s="76">
        <f t="shared" si="24"/>
        <v>2008</v>
      </c>
      <c r="H73" s="76">
        <f t="shared" si="25"/>
        <v>3</v>
      </c>
      <c r="I73" s="76" t="str">
        <f>VLOOKUP(H73,'Lookup Values'!$C$2:$D$13,2,FALSE)</f>
        <v>MAR</v>
      </c>
      <c r="J73" s="76">
        <f t="shared" si="26"/>
        <v>30</v>
      </c>
      <c r="K73" s="76">
        <f t="shared" si="27"/>
        <v>1</v>
      </c>
      <c r="L73" s="76" t="str">
        <f>VLOOKUP(K73,'Lookup Values'!$F$2:$G$8,2,FALSE)</f>
        <v>Sunday</v>
      </c>
      <c r="M73" s="3">
        <v>39546</v>
      </c>
      <c r="N73" s="78">
        <f t="shared" si="20"/>
        <v>9</v>
      </c>
      <c r="O73" s="11">
        <v>0.54309292963177602</v>
      </c>
      <c r="P73" s="94">
        <f t="shared" si="28"/>
        <v>13</v>
      </c>
      <c r="Q73" s="94">
        <f t="shared" si="29"/>
        <v>2</v>
      </c>
      <c r="R73" s="94">
        <f t="shared" si="30"/>
        <v>3</v>
      </c>
      <c r="S73" s="94" t="str">
        <f>VLOOKUP(O73,'Lookup Values'!$I$2:$L$8,4,TRUE)</f>
        <v>Afternoon</v>
      </c>
      <c r="T73" t="s">
        <v>158</v>
      </c>
      <c r="U73" t="s">
        <v>160</v>
      </c>
      <c r="V73" t="str">
        <f t="shared" si="31"/>
        <v>Income: Freelance Project</v>
      </c>
      <c r="W73" t="s">
        <v>163</v>
      </c>
      <c r="X73" t="s">
        <v>78</v>
      </c>
      <c r="Y73" s="1">
        <v>490</v>
      </c>
      <c r="Z73" s="1" t="str">
        <f t="shared" si="32"/>
        <v>Income: $490.00</v>
      </c>
      <c r="AA73" s="1">
        <f>IF(Y73="","",ROUND(Y73*'Lookup Values'!$A$2,2))</f>
        <v>43.49</v>
      </c>
      <c r="AB73" s="12" t="str">
        <f t="shared" si="33"/>
        <v>Income</v>
      </c>
      <c r="AC73" s="2" t="s">
        <v>235</v>
      </c>
      <c r="AD73" s="3">
        <f t="shared" si="34"/>
        <v>39537</v>
      </c>
      <c r="AE73" s="93" t="str">
        <f t="shared" si="35"/>
        <v>NO</v>
      </c>
      <c r="AF73" s="2" t="str">
        <f t="shared" si="36"/>
        <v>NO</v>
      </c>
      <c r="AG73" t="str">
        <f t="shared" si="37"/>
        <v>Late Transaction</v>
      </c>
    </row>
    <row r="74" spans="1:33" x14ac:dyDescent="0.25">
      <c r="A74" s="2">
        <v>73</v>
      </c>
      <c r="B74" s="3" t="str">
        <f t="shared" si="19"/>
        <v>080111-ED-ANT</v>
      </c>
      <c r="C74" s="3">
        <v>39458</v>
      </c>
      <c r="D74" s="3">
        <f t="shared" si="21"/>
        <v>39472</v>
      </c>
      <c r="E74" s="3">
        <f t="shared" si="22"/>
        <v>39518</v>
      </c>
      <c r="F74" s="3">
        <f t="shared" si="23"/>
        <v>39478</v>
      </c>
      <c r="G74" s="76">
        <f t="shared" si="24"/>
        <v>2008</v>
      </c>
      <c r="H74" s="76">
        <f t="shared" si="25"/>
        <v>1</v>
      </c>
      <c r="I74" s="76" t="str">
        <f>VLOOKUP(H74,'Lookup Values'!$C$2:$D$13,2,FALSE)</f>
        <v>JAN</v>
      </c>
      <c r="J74" s="76">
        <f t="shared" si="26"/>
        <v>11</v>
      </c>
      <c r="K74" s="76">
        <f t="shared" si="27"/>
        <v>6</v>
      </c>
      <c r="L74" s="76" t="str">
        <f>VLOOKUP(K74,'Lookup Values'!$F$2:$G$8,2,FALSE)</f>
        <v>Friday</v>
      </c>
      <c r="M74" s="3">
        <v>39460</v>
      </c>
      <c r="N74" s="78">
        <f t="shared" si="20"/>
        <v>2</v>
      </c>
      <c r="O74" s="11">
        <v>0.49098474358796962</v>
      </c>
      <c r="P74" s="94">
        <f t="shared" si="28"/>
        <v>11</v>
      </c>
      <c r="Q74" s="94">
        <f t="shared" si="29"/>
        <v>47</v>
      </c>
      <c r="R74" s="94">
        <f t="shared" si="30"/>
        <v>1</v>
      </c>
      <c r="S74" s="94" t="str">
        <f>VLOOKUP(O74,'Lookup Values'!$I$2:$L$8,4,TRUE)</f>
        <v>Late Morning</v>
      </c>
      <c r="T74" t="s">
        <v>86</v>
      </c>
      <c r="U74" t="s">
        <v>87</v>
      </c>
      <c r="V74" t="str">
        <f t="shared" si="31"/>
        <v>Education: Tango Lessons</v>
      </c>
      <c r="W74" t="s">
        <v>85</v>
      </c>
      <c r="X74" t="s">
        <v>88</v>
      </c>
      <c r="Y74" s="1">
        <v>288</v>
      </c>
      <c r="Z74" s="1" t="str">
        <f t="shared" si="32"/>
        <v>Education: $288.00</v>
      </c>
      <c r="AA74" s="1">
        <f>IF(Y74="","",ROUND(Y74*'Lookup Values'!$A$2,2))</f>
        <v>25.56</v>
      </c>
      <c r="AB74" s="12" t="str">
        <f t="shared" si="33"/>
        <v>Expense</v>
      </c>
      <c r="AC74" s="2" t="s">
        <v>236</v>
      </c>
      <c r="AD74" s="3">
        <f t="shared" si="34"/>
        <v>39458</v>
      </c>
      <c r="AE74" s="93" t="str">
        <f t="shared" si="35"/>
        <v>NO</v>
      </c>
      <c r="AF74" s="2" t="str">
        <f t="shared" si="36"/>
        <v>NO</v>
      </c>
      <c r="AG74" t="str">
        <f t="shared" si="37"/>
        <v>Late Transaction</v>
      </c>
    </row>
    <row r="75" spans="1:33" x14ac:dyDescent="0.25">
      <c r="A75" s="2">
        <v>74</v>
      </c>
      <c r="B75" s="3" t="str">
        <f t="shared" si="19"/>
        <v>100920-ED-SKI</v>
      </c>
      <c r="C75" s="3">
        <v>40441</v>
      </c>
      <c r="D75" s="3">
        <f t="shared" si="21"/>
        <v>40455</v>
      </c>
      <c r="E75" s="3">
        <f t="shared" si="22"/>
        <v>40502</v>
      </c>
      <c r="F75" s="3">
        <f t="shared" si="23"/>
        <v>40451</v>
      </c>
      <c r="G75" s="76">
        <f t="shared" si="24"/>
        <v>2010</v>
      </c>
      <c r="H75" s="76">
        <f t="shared" si="25"/>
        <v>9</v>
      </c>
      <c r="I75" s="76" t="str">
        <f>VLOOKUP(H75,'Lookup Values'!$C$2:$D$13,2,FALSE)</f>
        <v>SEP</v>
      </c>
      <c r="J75" s="76">
        <f t="shared" si="26"/>
        <v>20</v>
      </c>
      <c r="K75" s="76">
        <f t="shared" si="27"/>
        <v>2</v>
      </c>
      <c r="L75" s="76" t="str">
        <f>VLOOKUP(K75,'Lookup Values'!$F$2:$G$8,2,FALSE)</f>
        <v>Monday</v>
      </c>
      <c r="M75" s="3">
        <v>40451</v>
      </c>
      <c r="N75" s="78">
        <f t="shared" si="20"/>
        <v>10</v>
      </c>
      <c r="O75" s="11">
        <v>0.79064253603911461</v>
      </c>
      <c r="P75" s="94">
        <f t="shared" si="28"/>
        <v>18</v>
      </c>
      <c r="Q75" s="94">
        <f t="shared" si="29"/>
        <v>58</v>
      </c>
      <c r="R75" s="94">
        <f t="shared" si="30"/>
        <v>32</v>
      </c>
      <c r="S75" s="94" t="str">
        <f>VLOOKUP(O75,'Lookup Values'!$I$2:$L$8,4,TRUE)</f>
        <v>Evening</v>
      </c>
      <c r="T75" t="s">
        <v>86</v>
      </c>
      <c r="U75" t="s">
        <v>98</v>
      </c>
      <c r="V75" t="str">
        <f t="shared" si="31"/>
        <v>Education: Professional Development</v>
      </c>
      <c r="W75" t="s">
        <v>97</v>
      </c>
      <c r="X75" t="s">
        <v>78</v>
      </c>
      <c r="Y75" s="1">
        <v>78</v>
      </c>
      <c r="Z75" s="1" t="str">
        <f t="shared" si="32"/>
        <v>Education: $78.00</v>
      </c>
      <c r="AA75" s="1">
        <f>IF(Y75="","",ROUND(Y75*'Lookup Values'!$A$2,2))</f>
        <v>6.92</v>
      </c>
      <c r="AB75" s="12" t="str">
        <f t="shared" si="33"/>
        <v>Expense</v>
      </c>
      <c r="AC75" s="2" t="s">
        <v>237</v>
      </c>
      <c r="AD75" s="3">
        <f t="shared" si="34"/>
        <v>40441</v>
      </c>
      <c r="AE75" s="93" t="str">
        <f t="shared" si="35"/>
        <v>YES</v>
      </c>
      <c r="AF75" s="2" t="str">
        <f t="shared" si="36"/>
        <v>NO</v>
      </c>
      <c r="AG75" t="str">
        <f t="shared" si="37"/>
        <v>Late Transaction</v>
      </c>
    </row>
    <row r="76" spans="1:33" x14ac:dyDescent="0.25">
      <c r="A76" s="2">
        <v>75</v>
      </c>
      <c r="B76" s="3" t="str">
        <f t="shared" si="19"/>
        <v>070728-ED-SKI</v>
      </c>
      <c r="C76" s="3">
        <v>39291</v>
      </c>
      <c r="D76" s="3">
        <f t="shared" si="21"/>
        <v>39304</v>
      </c>
      <c r="E76" s="3">
        <f t="shared" si="22"/>
        <v>39353</v>
      </c>
      <c r="F76" s="3">
        <f t="shared" si="23"/>
        <v>39294</v>
      </c>
      <c r="G76" s="76">
        <f t="shared" si="24"/>
        <v>2007</v>
      </c>
      <c r="H76" s="76">
        <f t="shared" si="25"/>
        <v>7</v>
      </c>
      <c r="I76" s="76" t="str">
        <f>VLOOKUP(H76,'Lookup Values'!$C$2:$D$13,2,FALSE)</f>
        <v>JUL</v>
      </c>
      <c r="J76" s="76">
        <f t="shared" si="26"/>
        <v>28</v>
      </c>
      <c r="K76" s="76">
        <f t="shared" si="27"/>
        <v>7</v>
      </c>
      <c r="L76" s="76" t="str">
        <f>VLOOKUP(K76,'Lookup Values'!$F$2:$G$8,2,FALSE)</f>
        <v>Saturday</v>
      </c>
      <c r="M76" s="3">
        <v>39293</v>
      </c>
      <c r="N76" s="78">
        <f t="shared" si="20"/>
        <v>2</v>
      </c>
      <c r="O76" s="11">
        <v>0.61655853911096525</v>
      </c>
      <c r="P76" s="94">
        <f t="shared" si="28"/>
        <v>14</v>
      </c>
      <c r="Q76" s="94">
        <f t="shared" si="29"/>
        <v>47</v>
      </c>
      <c r="R76" s="94">
        <f t="shared" si="30"/>
        <v>51</v>
      </c>
      <c r="S76" s="94" t="str">
        <f>VLOOKUP(O76,'Lookup Values'!$I$2:$L$8,4,TRUE)</f>
        <v>Afternoon</v>
      </c>
      <c r="T76" t="s">
        <v>86</v>
      </c>
      <c r="U76" t="s">
        <v>98</v>
      </c>
      <c r="V76" t="str">
        <f t="shared" si="31"/>
        <v>Education: Professional Development</v>
      </c>
      <c r="W76" t="s">
        <v>97</v>
      </c>
      <c r="X76" t="s">
        <v>91</v>
      </c>
      <c r="Y76" s="1">
        <v>189</v>
      </c>
      <c r="Z76" s="1" t="str">
        <f t="shared" si="32"/>
        <v>Education: $189.00</v>
      </c>
      <c r="AA76" s="1">
        <f>IF(Y76="","",ROUND(Y76*'Lookup Values'!$A$2,2))</f>
        <v>16.77</v>
      </c>
      <c r="AB76" s="12" t="str">
        <f t="shared" si="33"/>
        <v>Expense</v>
      </c>
      <c r="AC76" s="2" t="s">
        <v>238</v>
      </c>
      <c r="AD76" s="3">
        <f t="shared" si="34"/>
        <v>39291</v>
      </c>
      <c r="AE76" s="93" t="str">
        <f t="shared" si="35"/>
        <v>YES</v>
      </c>
      <c r="AF76" s="2" t="str">
        <f t="shared" si="36"/>
        <v>NO</v>
      </c>
      <c r="AG76" t="str">
        <f t="shared" si="37"/>
        <v>Late Transaction</v>
      </c>
    </row>
    <row r="77" spans="1:33" x14ac:dyDescent="0.25">
      <c r="A77" s="2">
        <v>76</v>
      </c>
      <c r="B77" s="3" t="str">
        <f t="shared" si="19"/>
        <v>091020-FO-BAN</v>
      </c>
      <c r="C77" s="3">
        <v>40106</v>
      </c>
      <c r="D77" s="3">
        <f t="shared" si="21"/>
        <v>40120</v>
      </c>
      <c r="E77" s="3">
        <f t="shared" si="22"/>
        <v>40167</v>
      </c>
      <c r="F77" s="3">
        <f t="shared" si="23"/>
        <v>40117</v>
      </c>
      <c r="G77" s="76">
        <f t="shared" si="24"/>
        <v>2009</v>
      </c>
      <c r="H77" s="76">
        <f t="shared" si="25"/>
        <v>10</v>
      </c>
      <c r="I77" s="76" t="str">
        <f>VLOOKUP(H77,'Lookup Values'!$C$2:$D$13,2,FALSE)</f>
        <v>OCT</v>
      </c>
      <c r="J77" s="76">
        <f t="shared" si="26"/>
        <v>20</v>
      </c>
      <c r="K77" s="76">
        <f t="shared" si="27"/>
        <v>3</v>
      </c>
      <c r="L77" s="76" t="str">
        <f>VLOOKUP(K77,'Lookup Values'!$F$2:$G$8,2,FALSE)</f>
        <v>Tuesday</v>
      </c>
      <c r="M77" s="3">
        <v>40113</v>
      </c>
      <c r="N77" s="78">
        <f t="shared" si="20"/>
        <v>7</v>
      </c>
      <c r="O77" s="11">
        <v>0.74694853255118798</v>
      </c>
      <c r="P77" s="94">
        <f t="shared" si="28"/>
        <v>17</v>
      </c>
      <c r="Q77" s="94">
        <f t="shared" si="29"/>
        <v>55</v>
      </c>
      <c r="R77" s="94">
        <f t="shared" si="30"/>
        <v>36</v>
      </c>
      <c r="S77" s="94" t="str">
        <f>VLOOKUP(O77,'Lookup Values'!$I$2:$L$8,4,TRUE)</f>
        <v>Evening</v>
      </c>
      <c r="T77" t="s">
        <v>80</v>
      </c>
      <c r="U77" t="s">
        <v>81</v>
      </c>
      <c r="V77" t="str">
        <f t="shared" si="31"/>
        <v>Food: Restaurants</v>
      </c>
      <c r="W77" t="s">
        <v>79</v>
      </c>
      <c r="X77" t="s">
        <v>91</v>
      </c>
      <c r="Y77" s="1">
        <v>388</v>
      </c>
      <c r="Z77" s="1" t="str">
        <f t="shared" si="32"/>
        <v>Food: $388.00</v>
      </c>
      <c r="AA77" s="1">
        <f>IF(Y77="","",ROUND(Y77*'Lookup Values'!$A$2,2))</f>
        <v>34.44</v>
      </c>
      <c r="AB77" s="12" t="str">
        <f t="shared" si="33"/>
        <v>Expense</v>
      </c>
      <c r="AC77" s="2" t="s">
        <v>239</v>
      </c>
      <c r="AD77" s="3">
        <f t="shared" si="34"/>
        <v>40106</v>
      </c>
      <c r="AE77" s="93" t="str">
        <f t="shared" si="35"/>
        <v>NO</v>
      </c>
      <c r="AF77" s="2" t="str">
        <f t="shared" si="36"/>
        <v>NO</v>
      </c>
      <c r="AG77" t="str">
        <f t="shared" si="37"/>
        <v>Awesome Transaction</v>
      </c>
    </row>
    <row r="78" spans="1:33" x14ac:dyDescent="0.25">
      <c r="A78" s="2">
        <v>77</v>
      </c>
      <c r="B78" s="3" t="str">
        <f t="shared" si="19"/>
        <v>110119-IN-AUN</v>
      </c>
      <c r="C78" s="3">
        <v>40562</v>
      </c>
      <c r="D78" s="3">
        <f t="shared" si="21"/>
        <v>40576</v>
      </c>
      <c r="E78" s="3">
        <f t="shared" si="22"/>
        <v>40621</v>
      </c>
      <c r="F78" s="3">
        <f t="shared" si="23"/>
        <v>40574</v>
      </c>
      <c r="G78" s="76">
        <f t="shared" si="24"/>
        <v>2011</v>
      </c>
      <c r="H78" s="76">
        <f t="shared" si="25"/>
        <v>1</v>
      </c>
      <c r="I78" s="76" t="str">
        <f>VLOOKUP(H78,'Lookup Values'!$C$2:$D$13,2,FALSE)</f>
        <v>JAN</v>
      </c>
      <c r="J78" s="76">
        <f t="shared" si="26"/>
        <v>19</v>
      </c>
      <c r="K78" s="76">
        <f t="shared" si="27"/>
        <v>4</v>
      </c>
      <c r="L78" s="76" t="str">
        <f>VLOOKUP(K78,'Lookup Values'!$F$2:$G$8,2,FALSE)</f>
        <v>Wednesday</v>
      </c>
      <c r="M78" s="3">
        <v>40564</v>
      </c>
      <c r="N78" s="78">
        <f t="shared" si="20"/>
        <v>2</v>
      </c>
      <c r="O78" s="11">
        <v>0.49991008176587159</v>
      </c>
      <c r="P78" s="94">
        <f t="shared" si="28"/>
        <v>11</v>
      </c>
      <c r="Q78" s="94">
        <f t="shared" si="29"/>
        <v>59</v>
      </c>
      <c r="R78" s="94">
        <f t="shared" si="30"/>
        <v>52</v>
      </c>
      <c r="S78" s="94" t="str">
        <f>VLOOKUP(O78,'Lookup Values'!$I$2:$L$8,4,TRUE)</f>
        <v>Late Morning</v>
      </c>
      <c r="T78" t="s">
        <v>158</v>
      </c>
      <c r="U78" t="s">
        <v>161</v>
      </c>
      <c r="V78" t="str">
        <f t="shared" si="31"/>
        <v>Income: Gift Received</v>
      </c>
      <c r="W78" t="s">
        <v>164</v>
      </c>
      <c r="X78" t="s">
        <v>91</v>
      </c>
      <c r="Y78" s="1">
        <v>188</v>
      </c>
      <c r="Z78" s="1" t="str">
        <f t="shared" si="32"/>
        <v>Income: $188.00</v>
      </c>
      <c r="AA78" s="1">
        <f>IF(Y78="","",ROUND(Y78*'Lookup Values'!$A$2,2))</f>
        <v>16.690000000000001</v>
      </c>
      <c r="AB78" s="12" t="str">
        <f t="shared" si="33"/>
        <v>Income</v>
      </c>
      <c r="AC78" s="2" t="s">
        <v>240</v>
      </c>
      <c r="AD78" s="3">
        <f t="shared" si="34"/>
        <v>40562</v>
      </c>
      <c r="AE78" s="93" t="str">
        <f t="shared" si="35"/>
        <v>NO</v>
      </c>
      <c r="AF78" s="2" t="str">
        <f t="shared" si="36"/>
        <v>NO</v>
      </c>
      <c r="AG78" t="str">
        <f t="shared" si="37"/>
        <v>CRAP Transaction</v>
      </c>
    </row>
    <row r="79" spans="1:33" x14ac:dyDescent="0.25">
      <c r="A79" s="2">
        <v>78</v>
      </c>
      <c r="B79" s="3" t="str">
        <f t="shared" si="19"/>
        <v>091029-IN-AUN</v>
      </c>
      <c r="C79" s="3">
        <v>40115</v>
      </c>
      <c r="D79" s="3">
        <f t="shared" si="21"/>
        <v>40129</v>
      </c>
      <c r="E79" s="3">
        <f t="shared" si="22"/>
        <v>40176</v>
      </c>
      <c r="F79" s="3">
        <f t="shared" si="23"/>
        <v>40117</v>
      </c>
      <c r="G79" s="76">
        <f t="shared" si="24"/>
        <v>2009</v>
      </c>
      <c r="H79" s="76">
        <f t="shared" si="25"/>
        <v>10</v>
      </c>
      <c r="I79" s="76" t="str">
        <f>VLOOKUP(H79,'Lookup Values'!$C$2:$D$13,2,FALSE)</f>
        <v>OCT</v>
      </c>
      <c r="J79" s="76">
        <f t="shared" si="26"/>
        <v>29</v>
      </c>
      <c r="K79" s="76">
        <f t="shared" si="27"/>
        <v>5</v>
      </c>
      <c r="L79" s="76" t="str">
        <f>VLOOKUP(K79,'Lookup Values'!$F$2:$G$8,2,FALSE)</f>
        <v>Thursday</v>
      </c>
      <c r="M79" s="3">
        <v>40116</v>
      </c>
      <c r="N79" s="78">
        <f t="shared" si="20"/>
        <v>1</v>
      </c>
      <c r="O79" s="11">
        <v>0.23553426928918619</v>
      </c>
      <c r="P79" s="94">
        <f t="shared" si="28"/>
        <v>5</v>
      </c>
      <c r="Q79" s="94">
        <f t="shared" si="29"/>
        <v>39</v>
      </c>
      <c r="R79" s="94">
        <f t="shared" si="30"/>
        <v>10</v>
      </c>
      <c r="S79" s="94" t="str">
        <f>VLOOKUP(O79,'Lookup Values'!$I$2:$L$8,4,TRUE)</f>
        <v>Early Morning</v>
      </c>
      <c r="T79" t="s">
        <v>158</v>
      </c>
      <c r="U79" t="s">
        <v>161</v>
      </c>
      <c r="V79" t="str">
        <f t="shared" si="31"/>
        <v>Income: Gift Received</v>
      </c>
      <c r="W79" t="s">
        <v>164</v>
      </c>
      <c r="X79" t="s">
        <v>91</v>
      </c>
      <c r="Y79" s="1">
        <v>324</v>
      </c>
      <c r="Z79" s="1" t="str">
        <f t="shared" si="32"/>
        <v>Income: $324.00</v>
      </c>
      <c r="AA79" s="1">
        <f>IF(Y79="","",ROUND(Y79*'Lookup Values'!$A$2,2))</f>
        <v>28.76</v>
      </c>
      <c r="AB79" s="12" t="str">
        <f t="shared" si="33"/>
        <v>Income</v>
      </c>
      <c r="AC79" s="2" t="s">
        <v>241</v>
      </c>
      <c r="AD79" s="3">
        <f t="shared" si="34"/>
        <v>40115</v>
      </c>
      <c r="AE79" s="93" t="str">
        <f t="shared" si="35"/>
        <v>NO</v>
      </c>
      <c r="AF79" s="2" t="str">
        <f t="shared" si="36"/>
        <v>NO</v>
      </c>
      <c r="AG79" t="str">
        <f t="shared" si="37"/>
        <v>Late Transaction</v>
      </c>
    </row>
    <row r="80" spans="1:33" x14ac:dyDescent="0.25">
      <c r="A80" s="2">
        <v>79</v>
      </c>
      <c r="B80" s="3" t="str">
        <f t="shared" si="19"/>
        <v>080202-HE-FRE</v>
      </c>
      <c r="C80" s="3">
        <v>39480</v>
      </c>
      <c r="D80" s="3">
        <f t="shared" si="21"/>
        <v>39493</v>
      </c>
      <c r="E80" s="3">
        <f t="shared" si="22"/>
        <v>39540</v>
      </c>
      <c r="F80" s="3">
        <f t="shared" si="23"/>
        <v>39507</v>
      </c>
      <c r="G80" s="76">
        <f t="shared" si="24"/>
        <v>2008</v>
      </c>
      <c r="H80" s="76">
        <f t="shared" si="25"/>
        <v>2</v>
      </c>
      <c r="I80" s="76" t="str">
        <f>VLOOKUP(H80,'Lookup Values'!$C$2:$D$13,2,FALSE)</f>
        <v>FEB</v>
      </c>
      <c r="J80" s="76">
        <f t="shared" si="26"/>
        <v>2</v>
      </c>
      <c r="K80" s="76">
        <f t="shared" si="27"/>
        <v>7</v>
      </c>
      <c r="L80" s="76" t="str">
        <f>VLOOKUP(K80,'Lookup Values'!$F$2:$G$8,2,FALSE)</f>
        <v>Saturday</v>
      </c>
      <c r="M80" s="3">
        <v>39483</v>
      </c>
      <c r="N80" s="78">
        <f t="shared" si="20"/>
        <v>3</v>
      </c>
      <c r="O80" s="11">
        <v>9.4649601690240948E-3</v>
      </c>
      <c r="P80" s="94">
        <f t="shared" si="28"/>
        <v>0</v>
      </c>
      <c r="Q80" s="94">
        <f t="shared" si="29"/>
        <v>13</v>
      </c>
      <c r="R80" s="94">
        <f t="shared" si="30"/>
        <v>38</v>
      </c>
      <c r="S80" s="94" t="str">
        <f>VLOOKUP(O80,'Lookup Values'!$I$2:$L$8,4,TRUE)</f>
        <v>Dead of Night</v>
      </c>
      <c r="T80" t="s">
        <v>107</v>
      </c>
      <c r="U80" t="s">
        <v>108</v>
      </c>
      <c r="V80" t="str">
        <f t="shared" si="31"/>
        <v>Health: Insurance Premium</v>
      </c>
      <c r="W80" t="s">
        <v>106</v>
      </c>
      <c r="X80" t="s">
        <v>78</v>
      </c>
      <c r="Y80" s="1">
        <v>181</v>
      </c>
      <c r="Z80" s="1" t="str">
        <f t="shared" si="32"/>
        <v>Health: $181.00</v>
      </c>
      <c r="AA80" s="1">
        <f>IF(Y80="","",ROUND(Y80*'Lookup Values'!$A$2,2))</f>
        <v>16.059999999999999</v>
      </c>
      <c r="AB80" s="12" t="str">
        <f t="shared" si="33"/>
        <v>Expense</v>
      </c>
      <c r="AC80" s="2" t="s">
        <v>242</v>
      </c>
      <c r="AD80" s="3">
        <f t="shared" si="34"/>
        <v>39480</v>
      </c>
      <c r="AE80" s="93" t="str">
        <f t="shared" si="35"/>
        <v>NO</v>
      </c>
      <c r="AF80" s="2" t="str">
        <f t="shared" si="36"/>
        <v>NO</v>
      </c>
      <c r="AG80" t="str">
        <f t="shared" si="37"/>
        <v>Late Transaction</v>
      </c>
    </row>
    <row r="81" spans="1:33" x14ac:dyDescent="0.25">
      <c r="A81" s="2">
        <v>80</v>
      </c>
      <c r="B81" s="3" t="str">
        <f t="shared" si="19"/>
        <v>110512-BI-CON</v>
      </c>
      <c r="C81" s="3">
        <v>40675</v>
      </c>
      <c r="D81" s="3">
        <f t="shared" si="21"/>
        <v>40689</v>
      </c>
      <c r="E81" s="3">
        <f t="shared" si="22"/>
        <v>40736</v>
      </c>
      <c r="F81" s="3">
        <f t="shared" si="23"/>
        <v>40694</v>
      </c>
      <c r="G81" s="76">
        <f t="shared" si="24"/>
        <v>2011</v>
      </c>
      <c r="H81" s="76">
        <f t="shared" si="25"/>
        <v>5</v>
      </c>
      <c r="I81" s="76" t="str">
        <f>VLOOKUP(H81,'Lookup Values'!$C$2:$D$13,2,FALSE)</f>
        <v>MAY</v>
      </c>
      <c r="J81" s="76">
        <f t="shared" si="26"/>
        <v>12</v>
      </c>
      <c r="K81" s="76">
        <f t="shared" si="27"/>
        <v>5</v>
      </c>
      <c r="L81" s="76" t="str">
        <f>VLOOKUP(K81,'Lookup Values'!$F$2:$G$8,2,FALSE)</f>
        <v>Thursday</v>
      </c>
      <c r="M81" s="3">
        <v>40679</v>
      </c>
      <c r="N81" s="78">
        <f t="shared" si="20"/>
        <v>4</v>
      </c>
      <c r="O81" s="11">
        <v>0.68483592142936267</v>
      </c>
      <c r="P81" s="94">
        <f t="shared" si="28"/>
        <v>16</v>
      </c>
      <c r="Q81" s="94">
        <f t="shared" si="29"/>
        <v>26</v>
      </c>
      <c r="R81" s="94">
        <f t="shared" si="30"/>
        <v>10</v>
      </c>
      <c r="S81" s="94" t="str">
        <f>VLOOKUP(O81,'Lookup Values'!$I$2:$L$8,4,TRUE)</f>
        <v>Afternoon</v>
      </c>
      <c r="T81" t="s">
        <v>110</v>
      </c>
      <c r="U81" t="s">
        <v>111</v>
      </c>
      <c r="V81" t="str">
        <f t="shared" si="31"/>
        <v>Bills: Utilities</v>
      </c>
      <c r="W81" t="s">
        <v>109</v>
      </c>
      <c r="X81" t="s">
        <v>88</v>
      </c>
      <c r="Y81" s="1">
        <v>298</v>
      </c>
      <c r="Z81" s="1" t="str">
        <f t="shared" si="32"/>
        <v>Bills: $298.00</v>
      </c>
      <c r="AA81" s="1">
        <f>IF(Y81="","",ROUND(Y81*'Lookup Values'!$A$2,2))</f>
        <v>26.45</v>
      </c>
      <c r="AB81" s="12" t="str">
        <f t="shared" si="33"/>
        <v>Expense</v>
      </c>
      <c r="AC81" s="2" t="s">
        <v>243</v>
      </c>
      <c r="AD81" s="3">
        <f t="shared" si="34"/>
        <v>40675</v>
      </c>
      <c r="AE81" s="93" t="str">
        <f t="shared" si="35"/>
        <v>NO</v>
      </c>
      <c r="AF81" s="2" t="str">
        <f t="shared" si="36"/>
        <v>NO</v>
      </c>
      <c r="AG81" t="str">
        <f t="shared" si="37"/>
        <v>CRAP Transaction</v>
      </c>
    </row>
    <row r="82" spans="1:33" x14ac:dyDescent="0.25">
      <c r="A82" s="2">
        <v>81</v>
      </c>
      <c r="B82" s="3" t="str">
        <f t="shared" si="19"/>
        <v>121003-HE-FRE</v>
      </c>
      <c r="C82" s="3">
        <v>41185</v>
      </c>
      <c r="D82" s="3">
        <f t="shared" si="21"/>
        <v>41199</v>
      </c>
      <c r="E82" s="3">
        <f t="shared" si="22"/>
        <v>41246</v>
      </c>
      <c r="F82" s="3">
        <f t="shared" si="23"/>
        <v>41213</v>
      </c>
      <c r="G82" s="76">
        <f t="shared" si="24"/>
        <v>2012</v>
      </c>
      <c r="H82" s="76">
        <f t="shared" si="25"/>
        <v>10</v>
      </c>
      <c r="I82" s="76" t="str">
        <f>VLOOKUP(H82,'Lookup Values'!$C$2:$D$13,2,FALSE)</f>
        <v>OCT</v>
      </c>
      <c r="J82" s="76">
        <f t="shared" si="26"/>
        <v>3</v>
      </c>
      <c r="K82" s="76">
        <f t="shared" si="27"/>
        <v>4</v>
      </c>
      <c r="L82" s="76" t="str">
        <f>VLOOKUP(K82,'Lookup Values'!$F$2:$G$8,2,FALSE)</f>
        <v>Wednesday</v>
      </c>
      <c r="M82" s="3">
        <v>41191</v>
      </c>
      <c r="N82" s="78">
        <f t="shared" si="20"/>
        <v>6</v>
      </c>
      <c r="O82" s="11">
        <v>0.94956785674889821</v>
      </c>
      <c r="P82" s="94">
        <f t="shared" si="28"/>
        <v>22</v>
      </c>
      <c r="Q82" s="94">
        <f t="shared" si="29"/>
        <v>47</v>
      </c>
      <c r="R82" s="94">
        <f t="shared" si="30"/>
        <v>23</v>
      </c>
      <c r="S82" s="94" t="str">
        <f>VLOOKUP(O82,'Lookup Values'!$I$2:$L$8,4,TRUE)</f>
        <v>Late Evening</v>
      </c>
      <c r="T82" t="s">
        <v>107</v>
      </c>
      <c r="U82" t="s">
        <v>108</v>
      </c>
      <c r="V82" t="str">
        <f t="shared" si="31"/>
        <v>Health: Insurance Premium</v>
      </c>
      <c r="W82" t="s">
        <v>106</v>
      </c>
      <c r="X82" t="s">
        <v>88</v>
      </c>
      <c r="Y82" s="1">
        <v>177</v>
      </c>
      <c r="Z82" s="1" t="str">
        <f t="shared" si="32"/>
        <v>Health: $177.00</v>
      </c>
      <c r="AA82" s="1">
        <f>IF(Y82="","",ROUND(Y82*'Lookup Values'!$A$2,2))</f>
        <v>15.71</v>
      </c>
      <c r="AB82" s="12" t="str">
        <f t="shared" si="33"/>
        <v>Expense</v>
      </c>
      <c r="AC82" s="2" t="s">
        <v>244</v>
      </c>
      <c r="AD82" s="3">
        <f t="shared" si="34"/>
        <v>41185</v>
      </c>
      <c r="AE82" s="93" t="str">
        <f t="shared" si="35"/>
        <v>NO</v>
      </c>
      <c r="AF82" s="2" t="str">
        <f t="shared" si="36"/>
        <v>NO</v>
      </c>
      <c r="AG82" t="str">
        <f t="shared" si="37"/>
        <v>CRAP Transaction</v>
      </c>
    </row>
    <row r="83" spans="1:33" x14ac:dyDescent="0.25">
      <c r="A83" s="2">
        <v>82</v>
      </c>
      <c r="B83" s="3" t="str">
        <f t="shared" si="19"/>
        <v>081025-BI-CON</v>
      </c>
      <c r="C83" s="3">
        <v>39746</v>
      </c>
      <c r="D83" s="3">
        <f t="shared" si="21"/>
        <v>39759</v>
      </c>
      <c r="E83" s="3">
        <f t="shared" si="22"/>
        <v>39807</v>
      </c>
      <c r="F83" s="3">
        <f t="shared" si="23"/>
        <v>39752</v>
      </c>
      <c r="G83" s="76">
        <f t="shared" si="24"/>
        <v>2008</v>
      </c>
      <c r="H83" s="76">
        <f t="shared" si="25"/>
        <v>10</v>
      </c>
      <c r="I83" s="76" t="str">
        <f>VLOOKUP(H83,'Lookup Values'!$C$2:$D$13,2,FALSE)</f>
        <v>OCT</v>
      </c>
      <c r="J83" s="76">
        <f t="shared" si="26"/>
        <v>25</v>
      </c>
      <c r="K83" s="76">
        <f t="shared" si="27"/>
        <v>7</v>
      </c>
      <c r="L83" s="76" t="str">
        <f>VLOOKUP(K83,'Lookup Values'!$F$2:$G$8,2,FALSE)</f>
        <v>Saturday</v>
      </c>
      <c r="M83" s="3">
        <v>39755</v>
      </c>
      <c r="N83" s="78">
        <f t="shared" si="20"/>
        <v>9</v>
      </c>
      <c r="O83" s="11">
        <v>0.74601261371077854</v>
      </c>
      <c r="P83" s="94">
        <f t="shared" si="28"/>
        <v>17</v>
      </c>
      <c r="Q83" s="94">
        <f t="shared" si="29"/>
        <v>54</v>
      </c>
      <c r="R83" s="94">
        <f t="shared" si="30"/>
        <v>15</v>
      </c>
      <c r="S83" s="94" t="str">
        <f>VLOOKUP(O83,'Lookup Values'!$I$2:$L$8,4,TRUE)</f>
        <v>Evening</v>
      </c>
      <c r="T83" t="s">
        <v>110</v>
      </c>
      <c r="U83" t="s">
        <v>111</v>
      </c>
      <c r="V83" t="str">
        <f t="shared" si="31"/>
        <v>Bills: Utilities</v>
      </c>
      <c r="W83" t="s">
        <v>109</v>
      </c>
      <c r="X83" t="s">
        <v>91</v>
      </c>
      <c r="Y83" s="1">
        <v>318</v>
      </c>
      <c r="Z83" s="1" t="str">
        <f t="shared" si="32"/>
        <v>Bills: $318.00</v>
      </c>
      <c r="AA83" s="1">
        <f>IF(Y83="","",ROUND(Y83*'Lookup Values'!$A$2,2))</f>
        <v>28.22</v>
      </c>
      <c r="AB83" s="12" t="str">
        <f t="shared" si="33"/>
        <v>Expense</v>
      </c>
      <c r="AC83" s="2" t="s">
        <v>245</v>
      </c>
      <c r="AD83" s="3">
        <f t="shared" si="34"/>
        <v>39746</v>
      </c>
      <c r="AE83" s="93" t="str">
        <f t="shared" si="35"/>
        <v>NO</v>
      </c>
      <c r="AF83" s="2" t="str">
        <f t="shared" si="36"/>
        <v>NO</v>
      </c>
      <c r="AG83" t="str">
        <f t="shared" si="37"/>
        <v>Late Transaction</v>
      </c>
    </row>
    <row r="84" spans="1:33" x14ac:dyDescent="0.25">
      <c r="A84" s="2">
        <v>83</v>
      </c>
      <c r="B84" s="3" t="str">
        <f t="shared" si="19"/>
        <v>080407-HE-FRE</v>
      </c>
      <c r="C84" s="3">
        <v>39545</v>
      </c>
      <c r="D84" s="3">
        <f t="shared" si="21"/>
        <v>39559</v>
      </c>
      <c r="E84" s="3">
        <f t="shared" si="22"/>
        <v>39606</v>
      </c>
      <c r="F84" s="3">
        <f t="shared" si="23"/>
        <v>39568</v>
      </c>
      <c r="G84" s="76">
        <f t="shared" si="24"/>
        <v>2008</v>
      </c>
      <c r="H84" s="76">
        <f t="shared" si="25"/>
        <v>4</v>
      </c>
      <c r="I84" s="76" t="str">
        <f>VLOOKUP(H84,'Lookup Values'!$C$2:$D$13,2,FALSE)</f>
        <v>APR</v>
      </c>
      <c r="J84" s="76">
        <f t="shared" si="26"/>
        <v>7</v>
      </c>
      <c r="K84" s="76">
        <f t="shared" si="27"/>
        <v>2</v>
      </c>
      <c r="L84" s="76" t="str">
        <f>VLOOKUP(K84,'Lookup Values'!$F$2:$G$8,2,FALSE)</f>
        <v>Monday</v>
      </c>
      <c r="M84" s="3">
        <v>39552</v>
      </c>
      <c r="N84" s="78">
        <f t="shared" si="20"/>
        <v>7</v>
      </c>
      <c r="O84" s="11">
        <v>0.58297171107705037</v>
      </c>
      <c r="P84" s="94">
        <f t="shared" si="28"/>
        <v>13</v>
      </c>
      <c r="Q84" s="94">
        <f t="shared" si="29"/>
        <v>59</v>
      </c>
      <c r="R84" s="94">
        <f t="shared" si="30"/>
        <v>29</v>
      </c>
      <c r="S84" s="94" t="str">
        <f>VLOOKUP(O84,'Lookup Values'!$I$2:$L$8,4,TRUE)</f>
        <v>Afternoon</v>
      </c>
      <c r="T84" t="s">
        <v>107</v>
      </c>
      <c r="U84" t="s">
        <v>108</v>
      </c>
      <c r="V84" t="str">
        <f t="shared" si="31"/>
        <v>Health: Insurance Premium</v>
      </c>
      <c r="W84" t="s">
        <v>106</v>
      </c>
      <c r="X84" t="s">
        <v>78</v>
      </c>
      <c r="Y84" s="1">
        <v>455</v>
      </c>
      <c r="Z84" s="1" t="str">
        <f t="shared" si="32"/>
        <v>Health: $455.00</v>
      </c>
      <c r="AA84" s="1">
        <f>IF(Y84="","",ROUND(Y84*'Lookup Values'!$A$2,2))</f>
        <v>40.380000000000003</v>
      </c>
      <c r="AB84" s="12" t="str">
        <f t="shared" si="33"/>
        <v>Expense</v>
      </c>
      <c r="AC84" s="2" t="s">
        <v>246</v>
      </c>
      <c r="AD84" s="3">
        <f t="shared" si="34"/>
        <v>39545</v>
      </c>
      <c r="AE84" s="93" t="str">
        <f t="shared" si="35"/>
        <v>NO</v>
      </c>
      <c r="AF84" s="2" t="str">
        <f t="shared" si="36"/>
        <v>NO</v>
      </c>
      <c r="AG84" t="str">
        <f t="shared" si="37"/>
        <v>Late Transaction</v>
      </c>
    </row>
    <row r="85" spans="1:33" x14ac:dyDescent="0.25">
      <c r="A85" s="2">
        <v>84</v>
      </c>
      <c r="B85" s="3" t="str">
        <f t="shared" si="19"/>
        <v>101129-HE-FRE</v>
      </c>
      <c r="C85" s="3">
        <v>40511</v>
      </c>
      <c r="D85" s="3">
        <f t="shared" si="21"/>
        <v>40525</v>
      </c>
      <c r="E85" s="3">
        <f t="shared" si="22"/>
        <v>40572</v>
      </c>
      <c r="F85" s="3">
        <f t="shared" si="23"/>
        <v>40512</v>
      </c>
      <c r="G85" s="76">
        <f t="shared" si="24"/>
        <v>2010</v>
      </c>
      <c r="H85" s="76">
        <f t="shared" si="25"/>
        <v>11</v>
      </c>
      <c r="I85" s="76" t="str">
        <f>VLOOKUP(H85,'Lookup Values'!$C$2:$D$13,2,FALSE)</f>
        <v>NOV</v>
      </c>
      <c r="J85" s="76">
        <f t="shared" si="26"/>
        <v>29</v>
      </c>
      <c r="K85" s="76">
        <f t="shared" si="27"/>
        <v>2</v>
      </c>
      <c r="L85" s="76" t="str">
        <f>VLOOKUP(K85,'Lookup Values'!$F$2:$G$8,2,FALSE)</f>
        <v>Monday</v>
      </c>
      <c r="M85" s="3">
        <v>40512</v>
      </c>
      <c r="N85" s="78">
        <f t="shared" si="20"/>
        <v>1</v>
      </c>
      <c r="O85" s="11">
        <v>0.26752533423552993</v>
      </c>
      <c r="P85" s="94">
        <f t="shared" si="28"/>
        <v>6</v>
      </c>
      <c r="Q85" s="94">
        <f t="shared" si="29"/>
        <v>25</v>
      </c>
      <c r="R85" s="94">
        <f t="shared" si="30"/>
        <v>14</v>
      </c>
      <c r="S85" s="94" t="str">
        <f>VLOOKUP(O85,'Lookup Values'!$I$2:$L$8,4,TRUE)</f>
        <v>Early Morning</v>
      </c>
      <c r="T85" t="s">
        <v>107</v>
      </c>
      <c r="U85" t="s">
        <v>108</v>
      </c>
      <c r="V85" t="str">
        <f t="shared" si="31"/>
        <v>Health: Insurance Premium</v>
      </c>
      <c r="W85" t="s">
        <v>106</v>
      </c>
      <c r="X85" t="s">
        <v>78</v>
      </c>
      <c r="Y85" s="1">
        <v>261</v>
      </c>
      <c r="Z85" s="1" t="str">
        <f t="shared" si="32"/>
        <v>Health: $261.00</v>
      </c>
      <c r="AA85" s="1">
        <f>IF(Y85="","",ROUND(Y85*'Lookup Values'!$A$2,2))</f>
        <v>23.16</v>
      </c>
      <c r="AB85" s="12" t="str">
        <f t="shared" si="33"/>
        <v>Expense</v>
      </c>
      <c r="AC85" s="2" t="s">
        <v>247</v>
      </c>
      <c r="AD85" s="3">
        <f t="shared" si="34"/>
        <v>40511</v>
      </c>
      <c r="AE85" s="93" t="str">
        <f t="shared" si="35"/>
        <v>NO</v>
      </c>
      <c r="AF85" s="2" t="str">
        <f t="shared" si="36"/>
        <v>NO</v>
      </c>
      <c r="AG85" t="str">
        <f t="shared" si="37"/>
        <v>Late Transaction</v>
      </c>
    </row>
    <row r="86" spans="1:33" x14ac:dyDescent="0.25">
      <c r="A86" s="2">
        <v>85</v>
      </c>
      <c r="B86" s="3" t="str">
        <f t="shared" si="19"/>
        <v>090413-ED-ANT</v>
      </c>
      <c r="C86" s="3">
        <v>39916</v>
      </c>
      <c r="D86" s="3">
        <f t="shared" si="21"/>
        <v>39930</v>
      </c>
      <c r="E86" s="3">
        <f t="shared" si="22"/>
        <v>39977</v>
      </c>
      <c r="F86" s="3">
        <f t="shared" si="23"/>
        <v>39933</v>
      </c>
      <c r="G86" s="76">
        <f t="shared" si="24"/>
        <v>2009</v>
      </c>
      <c r="H86" s="76">
        <f t="shared" si="25"/>
        <v>4</v>
      </c>
      <c r="I86" s="76" t="str">
        <f>VLOOKUP(H86,'Lookup Values'!$C$2:$D$13,2,FALSE)</f>
        <v>APR</v>
      </c>
      <c r="J86" s="76">
        <f t="shared" si="26"/>
        <v>13</v>
      </c>
      <c r="K86" s="76">
        <f t="shared" si="27"/>
        <v>2</v>
      </c>
      <c r="L86" s="76" t="str">
        <f>VLOOKUP(K86,'Lookup Values'!$F$2:$G$8,2,FALSE)</f>
        <v>Monday</v>
      </c>
      <c r="M86" s="3">
        <v>39921</v>
      </c>
      <c r="N86" s="78">
        <f t="shared" si="20"/>
        <v>5</v>
      </c>
      <c r="O86" s="11">
        <v>0.15409403205120686</v>
      </c>
      <c r="P86" s="94">
        <f t="shared" si="28"/>
        <v>3</v>
      </c>
      <c r="Q86" s="94">
        <f t="shared" si="29"/>
        <v>41</v>
      </c>
      <c r="R86" s="94">
        <f t="shared" si="30"/>
        <v>54</v>
      </c>
      <c r="S86" s="94" t="str">
        <f>VLOOKUP(O86,'Lookup Values'!$I$2:$L$8,4,TRUE)</f>
        <v>Dead of Night</v>
      </c>
      <c r="T86" t="s">
        <v>86</v>
      </c>
      <c r="U86" t="s">
        <v>87</v>
      </c>
      <c r="V86" t="str">
        <f t="shared" si="31"/>
        <v>Education: Tango Lessons</v>
      </c>
      <c r="W86" t="s">
        <v>85</v>
      </c>
      <c r="X86" t="s">
        <v>91</v>
      </c>
      <c r="Y86" s="1">
        <v>428</v>
      </c>
      <c r="Z86" s="1" t="str">
        <f t="shared" si="32"/>
        <v>Education: $428.00</v>
      </c>
      <c r="AA86" s="1">
        <f>IF(Y86="","",ROUND(Y86*'Lookup Values'!$A$2,2))</f>
        <v>37.99</v>
      </c>
      <c r="AB86" s="12" t="str">
        <f t="shared" si="33"/>
        <v>Expense</v>
      </c>
      <c r="AC86" s="2" t="s">
        <v>248</v>
      </c>
      <c r="AD86" s="3">
        <f t="shared" si="34"/>
        <v>39916</v>
      </c>
      <c r="AE86" s="93" t="str">
        <f t="shared" si="35"/>
        <v>NO</v>
      </c>
      <c r="AF86" s="2" t="str">
        <f t="shared" si="36"/>
        <v>NO</v>
      </c>
      <c r="AG86" t="str">
        <f t="shared" si="37"/>
        <v>Late Transaction</v>
      </c>
    </row>
    <row r="87" spans="1:33" x14ac:dyDescent="0.25">
      <c r="A87" s="2">
        <v>86</v>
      </c>
      <c r="B87" s="3" t="str">
        <f t="shared" si="19"/>
        <v>091005-TR-MTA</v>
      </c>
      <c r="C87" s="3">
        <v>40091</v>
      </c>
      <c r="D87" s="3">
        <f t="shared" si="21"/>
        <v>40105</v>
      </c>
      <c r="E87" s="3">
        <f t="shared" si="22"/>
        <v>40152</v>
      </c>
      <c r="F87" s="3">
        <f t="shared" si="23"/>
        <v>40117</v>
      </c>
      <c r="G87" s="76">
        <f t="shared" si="24"/>
        <v>2009</v>
      </c>
      <c r="H87" s="76">
        <f t="shared" si="25"/>
        <v>10</v>
      </c>
      <c r="I87" s="76" t="str">
        <f>VLOOKUP(H87,'Lookup Values'!$C$2:$D$13,2,FALSE)</f>
        <v>OCT</v>
      </c>
      <c r="J87" s="76">
        <f t="shared" si="26"/>
        <v>5</v>
      </c>
      <c r="K87" s="76">
        <f t="shared" si="27"/>
        <v>2</v>
      </c>
      <c r="L87" s="76" t="str">
        <f>VLOOKUP(K87,'Lookup Values'!$F$2:$G$8,2,FALSE)</f>
        <v>Monday</v>
      </c>
      <c r="M87" s="3">
        <v>40097</v>
      </c>
      <c r="N87" s="78">
        <f t="shared" si="20"/>
        <v>6</v>
      </c>
      <c r="O87" s="11">
        <v>0.83892854385867721</v>
      </c>
      <c r="P87" s="94">
        <f t="shared" si="28"/>
        <v>20</v>
      </c>
      <c r="Q87" s="94">
        <f t="shared" si="29"/>
        <v>8</v>
      </c>
      <c r="R87" s="94">
        <f t="shared" si="30"/>
        <v>3</v>
      </c>
      <c r="S87" s="94" t="str">
        <f>VLOOKUP(O87,'Lookup Values'!$I$2:$L$8,4,TRUE)</f>
        <v>Evening</v>
      </c>
      <c r="T87" t="s">
        <v>95</v>
      </c>
      <c r="U87" t="s">
        <v>96</v>
      </c>
      <c r="V87" t="str">
        <f t="shared" si="31"/>
        <v>Transportation: Subway</v>
      </c>
      <c r="W87" t="s">
        <v>94</v>
      </c>
      <c r="X87" t="s">
        <v>78</v>
      </c>
      <c r="Y87" s="1">
        <v>418</v>
      </c>
      <c r="Z87" s="1" t="str">
        <f t="shared" si="32"/>
        <v>Transportation: $418.00</v>
      </c>
      <c r="AA87" s="1">
        <f>IF(Y87="","",ROUND(Y87*'Lookup Values'!$A$2,2))</f>
        <v>37.1</v>
      </c>
      <c r="AB87" s="12" t="str">
        <f t="shared" si="33"/>
        <v>Expense</v>
      </c>
      <c r="AC87" s="2" t="s">
        <v>249</v>
      </c>
      <c r="AD87" s="3">
        <f t="shared" si="34"/>
        <v>40091</v>
      </c>
      <c r="AE87" s="93" t="str">
        <f t="shared" si="35"/>
        <v>YES</v>
      </c>
      <c r="AF87" s="2" t="str">
        <f t="shared" si="36"/>
        <v>YES</v>
      </c>
      <c r="AG87" t="str">
        <f t="shared" si="37"/>
        <v>Late Transaction</v>
      </c>
    </row>
    <row r="88" spans="1:33" x14ac:dyDescent="0.25">
      <c r="A88" s="2">
        <v>87</v>
      </c>
      <c r="B88" s="3" t="str">
        <f t="shared" si="19"/>
        <v>110809-IN-EZE</v>
      </c>
      <c r="C88" s="3">
        <v>40764</v>
      </c>
      <c r="D88" s="3">
        <f t="shared" si="21"/>
        <v>40778</v>
      </c>
      <c r="E88" s="3">
        <f t="shared" si="22"/>
        <v>40825</v>
      </c>
      <c r="F88" s="3">
        <f t="shared" si="23"/>
        <v>40786</v>
      </c>
      <c r="G88" s="76">
        <f t="shared" si="24"/>
        <v>2011</v>
      </c>
      <c r="H88" s="76">
        <f t="shared" si="25"/>
        <v>8</v>
      </c>
      <c r="I88" s="76" t="str">
        <f>VLOOKUP(H88,'Lookup Values'!$C$2:$D$13,2,FALSE)</f>
        <v>AUG</v>
      </c>
      <c r="J88" s="76">
        <f t="shared" si="26"/>
        <v>9</v>
      </c>
      <c r="K88" s="76">
        <f t="shared" si="27"/>
        <v>3</v>
      </c>
      <c r="L88" s="76" t="str">
        <f>VLOOKUP(K88,'Lookup Values'!$F$2:$G$8,2,FALSE)</f>
        <v>Tuesday</v>
      </c>
      <c r="M88" s="3">
        <v>40768</v>
      </c>
      <c r="N88" s="78">
        <f t="shared" si="20"/>
        <v>4</v>
      </c>
      <c r="O88" s="11">
        <v>0.58476408400502744</v>
      </c>
      <c r="P88" s="94">
        <f t="shared" si="28"/>
        <v>14</v>
      </c>
      <c r="Q88" s="94">
        <f t="shared" si="29"/>
        <v>2</v>
      </c>
      <c r="R88" s="94">
        <f t="shared" si="30"/>
        <v>4</v>
      </c>
      <c r="S88" s="94" t="str">
        <f>VLOOKUP(O88,'Lookup Values'!$I$2:$L$8,4,TRUE)</f>
        <v>Afternoon</v>
      </c>
      <c r="T88" t="s">
        <v>158</v>
      </c>
      <c r="U88" t="s">
        <v>159</v>
      </c>
      <c r="V88" t="str">
        <f t="shared" si="31"/>
        <v>Income: Salary</v>
      </c>
      <c r="W88" t="s">
        <v>162</v>
      </c>
      <c r="X88" t="s">
        <v>91</v>
      </c>
      <c r="Y88" s="1">
        <v>346</v>
      </c>
      <c r="Z88" s="1" t="str">
        <f t="shared" si="32"/>
        <v>Income: $346.00</v>
      </c>
      <c r="AA88" s="1">
        <f>IF(Y88="","",ROUND(Y88*'Lookup Values'!$A$2,2))</f>
        <v>30.71</v>
      </c>
      <c r="AB88" s="12" t="str">
        <f t="shared" si="33"/>
        <v>Income</v>
      </c>
      <c r="AC88" s="2" t="s">
        <v>250</v>
      </c>
      <c r="AD88" s="3">
        <f t="shared" si="34"/>
        <v>40764</v>
      </c>
      <c r="AE88" s="93" t="str">
        <f t="shared" si="35"/>
        <v>NO</v>
      </c>
      <c r="AF88" s="2" t="str">
        <f t="shared" si="36"/>
        <v>NO</v>
      </c>
      <c r="AG88" t="str">
        <f t="shared" si="37"/>
        <v>CRAP Transaction</v>
      </c>
    </row>
    <row r="89" spans="1:33" x14ac:dyDescent="0.25">
      <c r="A89" s="2">
        <v>88</v>
      </c>
      <c r="B89" s="3" t="str">
        <f t="shared" si="19"/>
        <v>070218-SH-EXP</v>
      </c>
      <c r="C89" s="3">
        <v>39131</v>
      </c>
      <c r="D89" s="3">
        <f t="shared" si="21"/>
        <v>39143</v>
      </c>
      <c r="E89" s="3">
        <f t="shared" si="22"/>
        <v>39190</v>
      </c>
      <c r="F89" s="3">
        <f t="shared" si="23"/>
        <v>39141</v>
      </c>
      <c r="G89" s="76">
        <f t="shared" si="24"/>
        <v>2007</v>
      </c>
      <c r="H89" s="76">
        <f t="shared" si="25"/>
        <v>2</v>
      </c>
      <c r="I89" s="76" t="str">
        <f>VLOOKUP(H89,'Lookup Values'!$C$2:$D$13,2,FALSE)</f>
        <v>FEB</v>
      </c>
      <c r="J89" s="76">
        <f t="shared" si="26"/>
        <v>18</v>
      </c>
      <c r="K89" s="76">
        <f t="shared" si="27"/>
        <v>1</v>
      </c>
      <c r="L89" s="76" t="str">
        <f>VLOOKUP(K89,'Lookup Values'!$F$2:$G$8,2,FALSE)</f>
        <v>Sunday</v>
      </c>
      <c r="M89" s="3">
        <v>39132</v>
      </c>
      <c r="N89" s="78">
        <f t="shared" si="20"/>
        <v>1</v>
      </c>
      <c r="O89" s="11">
        <v>0.6256266225425543</v>
      </c>
      <c r="P89" s="94">
        <f t="shared" si="28"/>
        <v>15</v>
      </c>
      <c r="Q89" s="94">
        <f t="shared" si="29"/>
        <v>0</v>
      </c>
      <c r="R89" s="94">
        <f t="shared" si="30"/>
        <v>54</v>
      </c>
      <c r="S89" s="94" t="str">
        <f>VLOOKUP(O89,'Lookup Values'!$I$2:$L$8,4,TRUE)</f>
        <v>Afternoon</v>
      </c>
      <c r="T89" t="s">
        <v>83</v>
      </c>
      <c r="U89" t="s">
        <v>103</v>
      </c>
      <c r="V89" t="str">
        <f t="shared" si="31"/>
        <v>Shopping: Clothing</v>
      </c>
      <c r="W89" t="s">
        <v>102</v>
      </c>
      <c r="X89" t="s">
        <v>78</v>
      </c>
      <c r="Y89" s="1">
        <v>138</v>
      </c>
      <c r="Z89" s="1" t="str">
        <f t="shared" si="32"/>
        <v>Shopping: $138.00</v>
      </c>
      <c r="AA89" s="1">
        <f>IF(Y89="","",ROUND(Y89*'Lookup Values'!$A$2,2))</f>
        <v>12.25</v>
      </c>
      <c r="AB89" s="12" t="str">
        <f t="shared" si="33"/>
        <v>Expense</v>
      </c>
      <c r="AC89" s="2" t="s">
        <v>251</v>
      </c>
      <c r="AD89" s="3">
        <f t="shared" si="34"/>
        <v>39131</v>
      </c>
      <c r="AE89" s="93" t="str">
        <f t="shared" si="35"/>
        <v>NO</v>
      </c>
      <c r="AF89" s="2" t="str">
        <f t="shared" si="36"/>
        <v>NO</v>
      </c>
      <c r="AG89" t="str">
        <f t="shared" si="37"/>
        <v>Awesome Transaction</v>
      </c>
    </row>
    <row r="90" spans="1:33" x14ac:dyDescent="0.25">
      <c r="A90" s="2">
        <v>89</v>
      </c>
      <c r="B90" s="3" t="str">
        <f t="shared" si="19"/>
        <v>101227-FO-TRA</v>
      </c>
      <c r="C90" s="3">
        <v>40539</v>
      </c>
      <c r="D90" s="3">
        <f t="shared" si="21"/>
        <v>40553</v>
      </c>
      <c r="E90" s="3">
        <f t="shared" si="22"/>
        <v>40601</v>
      </c>
      <c r="F90" s="3">
        <f t="shared" si="23"/>
        <v>40543</v>
      </c>
      <c r="G90" s="76">
        <f t="shared" si="24"/>
        <v>2010</v>
      </c>
      <c r="H90" s="76">
        <f t="shared" si="25"/>
        <v>12</v>
      </c>
      <c r="I90" s="76" t="str">
        <f>VLOOKUP(H90,'Lookup Values'!$C$2:$D$13,2,FALSE)</f>
        <v>DEC</v>
      </c>
      <c r="J90" s="76">
        <f t="shared" si="26"/>
        <v>27</v>
      </c>
      <c r="K90" s="76">
        <f t="shared" si="27"/>
        <v>2</v>
      </c>
      <c r="L90" s="76" t="str">
        <f>VLOOKUP(K90,'Lookup Values'!$F$2:$G$8,2,FALSE)</f>
        <v>Monday</v>
      </c>
      <c r="M90" s="3">
        <v>40541</v>
      </c>
      <c r="N90" s="78">
        <f t="shared" si="20"/>
        <v>2</v>
      </c>
      <c r="O90" s="11">
        <v>0.40220565763096405</v>
      </c>
      <c r="P90" s="94">
        <f t="shared" si="28"/>
        <v>9</v>
      </c>
      <c r="Q90" s="94">
        <f t="shared" si="29"/>
        <v>39</v>
      </c>
      <c r="R90" s="94">
        <f t="shared" si="30"/>
        <v>11</v>
      </c>
      <c r="S90" s="94" t="str">
        <f>VLOOKUP(O90,'Lookup Values'!$I$2:$L$8,4,TRUE)</f>
        <v>Morning</v>
      </c>
      <c r="T90" t="s">
        <v>80</v>
      </c>
      <c r="U90" t="s">
        <v>93</v>
      </c>
      <c r="V90" t="str">
        <f t="shared" si="31"/>
        <v>Food: Groceries</v>
      </c>
      <c r="W90" t="s">
        <v>92</v>
      </c>
      <c r="X90" t="s">
        <v>88</v>
      </c>
      <c r="Y90" s="1">
        <v>7</v>
      </c>
      <c r="Z90" s="1" t="str">
        <f t="shared" si="32"/>
        <v>Food: $7.00</v>
      </c>
      <c r="AA90" s="1">
        <f>IF(Y90="","",ROUND(Y90*'Lookup Values'!$A$2,2))</f>
        <v>0.62</v>
      </c>
      <c r="AB90" s="12" t="str">
        <f t="shared" si="33"/>
        <v>Expense</v>
      </c>
      <c r="AC90" s="2" t="s">
        <v>168</v>
      </c>
      <c r="AD90" s="3">
        <f t="shared" si="34"/>
        <v>40539</v>
      </c>
      <c r="AE90" s="93" t="str">
        <f t="shared" si="35"/>
        <v>NO</v>
      </c>
      <c r="AF90" s="2" t="str">
        <f t="shared" si="36"/>
        <v>NO</v>
      </c>
      <c r="AG90" t="str">
        <f t="shared" si="37"/>
        <v>Late Transaction</v>
      </c>
    </row>
    <row r="91" spans="1:33" x14ac:dyDescent="0.25">
      <c r="A91" s="2">
        <v>90</v>
      </c>
      <c r="B91" s="3" t="str">
        <f t="shared" si="19"/>
        <v>090603-FO-BAN</v>
      </c>
      <c r="C91" s="3">
        <v>39967</v>
      </c>
      <c r="D91" s="3">
        <f t="shared" si="21"/>
        <v>39981</v>
      </c>
      <c r="E91" s="3">
        <f t="shared" si="22"/>
        <v>40028</v>
      </c>
      <c r="F91" s="3">
        <f t="shared" si="23"/>
        <v>39994</v>
      </c>
      <c r="G91" s="76">
        <f t="shared" si="24"/>
        <v>2009</v>
      </c>
      <c r="H91" s="76">
        <f t="shared" si="25"/>
        <v>6</v>
      </c>
      <c r="I91" s="76" t="str">
        <f>VLOOKUP(H91,'Lookup Values'!$C$2:$D$13,2,FALSE)</f>
        <v>JUN</v>
      </c>
      <c r="J91" s="76">
        <f t="shared" si="26"/>
        <v>3</v>
      </c>
      <c r="K91" s="76">
        <f t="shared" si="27"/>
        <v>4</v>
      </c>
      <c r="L91" s="76" t="str">
        <f>VLOOKUP(K91,'Lookup Values'!$F$2:$G$8,2,FALSE)</f>
        <v>Wednesday</v>
      </c>
      <c r="M91" s="3">
        <v>39973</v>
      </c>
      <c r="N91" s="78">
        <f t="shared" si="20"/>
        <v>6</v>
      </c>
      <c r="O91" s="11">
        <v>0.13742808794360906</v>
      </c>
      <c r="P91" s="94">
        <f t="shared" si="28"/>
        <v>3</v>
      </c>
      <c r="Q91" s="94">
        <f t="shared" si="29"/>
        <v>17</v>
      </c>
      <c r="R91" s="94">
        <f t="shared" si="30"/>
        <v>54</v>
      </c>
      <c r="S91" s="94" t="str">
        <f>VLOOKUP(O91,'Lookup Values'!$I$2:$L$8,4,TRUE)</f>
        <v>Dead of Night</v>
      </c>
      <c r="T91" t="s">
        <v>80</v>
      </c>
      <c r="U91" t="s">
        <v>81</v>
      </c>
      <c r="V91" t="str">
        <f t="shared" si="31"/>
        <v>Food: Restaurants</v>
      </c>
      <c r="W91" t="s">
        <v>79</v>
      </c>
      <c r="X91" t="s">
        <v>78</v>
      </c>
      <c r="Y91" s="1">
        <v>8</v>
      </c>
      <c r="Z91" s="1" t="str">
        <f t="shared" si="32"/>
        <v>Food: $8.00</v>
      </c>
      <c r="AA91" s="1">
        <f>IF(Y91="","",ROUND(Y91*'Lookup Values'!$A$2,2))</f>
        <v>0.71</v>
      </c>
      <c r="AB91" s="12" t="str">
        <f t="shared" si="33"/>
        <v>Expense</v>
      </c>
      <c r="AC91" s="2" t="s">
        <v>252</v>
      </c>
      <c r="AD91" s="3">
        <f t="shared" si="34"/>
        <v>39967</v>
      </c>
      <c r="AE91" s="93" t="str">
        <f t="shared" si="35"/>
        <v>NO</v>
      </c>
      <c r="AF91" s="2" t="str">
        <f t="shared" si="36"/>
        <v>NO</v>
      </c>
      <c r="AG91" t="str">
        <f t="shared" si="37"/>
        <v>Awesome Transaction</v>
      </c>
    </row>
    <row r="92" spans="1:33" x14ac:dyDescent="0.25">
      <c r="A92" s="2">
        <v>91</v>
      </c>
      <c r="B92" s="3" t="str">
        <f t="shared" si="19"/>
        <v>081102-IN-LEG</v>
      </c>
      <c r="C92" s="3">
        <v>39754</v>
      </c>
      <c r="D92" s="3">
        <f t="shared" si="21"/>
        <v>39766</v>
      </c>
      <c r="E92" s="3">
        <f t="shared" si="22"/>
        <v>39815</v>
      </c>
      <c r="F92" s="3">
        <f t="shared" si="23"/>
        <v>39782</v>
      </c>
      <c r="G92" s="76">
        <f t="shared" si="24"/>
        <v>2008</v>
      </c>
      <c r="H92" s="76">
        <f t="shared" si="25"/>
        <v>11</v>
      </c>
      <c r="I92" s="76" t="str">
        <f>VLOOKUP(H92,'Lookup Values'!$C$2:$D$13,2,FALSE)</f>
        <v>NOV</v>
      </c>
      <c r="J92" s="76">
        <f t="shared" si="26"/>
        <v>2</v>
      </c>
      <c r="K92" s="76">
        <f t="shared" si="27"/>
        <v>1</v>
      </c>
      <c r="L92" s="76" t="str">
        <f>VLOOKUP(K92,'Lookup Values'!$F$2:$G$8,2,FALSE)</f>
        <v>Sunday</v>
      </c>
      <c r="M92" s="3">
        <v>39755</v>
      </c>
      <c r="N92" s="78">
        <f t="shared" si="20"/>
        <v>1</v>
      </c>
      <c r="O92" s="11">
        <v>0.77467231252891144</v>
      </c>
      <c r="P92" s="94">
        <f t="shared" si="28"/>
        <v>18</v>
      </c>
      <c r="Q92" s="94">
        <f t="shared" si="29"/>
        <v>35</v>
      </c>
      <c r="R92" s="94">
        <f t="shared" si="30"/>
        <v>32</v>
      </c>
      <c r="S92" s="94" t="str">
        <f>VLOOKUP(O92,'Lookup Values'!$I$2:$L$8,4,TRUE)</f>
        <v>Evening</v>
      </c>
      <c r="T92" t="s">
        <v>158</v>
      </c>
      <c r="U92" t="s">
        <v>160</v>
      </c>
      <c r="V92" t="str">
        <f t="shared" si="31"/>
        <v>Income: Freelance Project</v>
      </c>
      <c r="W92" t="s">
        <v>163</v>
      </c>
      <c r="X92" t="s">
        <v>78</v>
      </c>
      <c r="Y92" s="1">
        <v>33</v>
      </c>
      <c r="Z92" s="1" t="str">
        <f t="shared" si="32"/>
        <v>Income: $33.00</v>
      </c>
      <c r="AA92" s="1">
        <f>IF(Y92="","",ROUND(Y92*'Lookup Values'!$A$2,2))</f>
        <v>2.93</v>
      </c>
      <c r="AB92" s="12" t="str">
        <f t="shared" si="33"/>
        <v>Income</v>
      </c>
      <c r="AC92" s="2" t="s">
        <v>253</v>
      </c>
      <c r="AD92" s="3">
        <f t="shared" si="34"/>
        <v>39754</v>
      </c>
      <c r="AE92" s="93" t="str">
        <f t="shared" si="35"/>
        <v>NO</v>
      </c>
      <c r="AF92" s="2" t="str">
        <f t="shared" si="36"/>
        <v>NO</v>
      </c>
      <c r="AG92" t="str">
        <f t="shared" si="37"/>
        <v>Late Transaction</v>
      </c>
    </row>
    <row r="93" spans="1:33" x14ac:dyDescent="0.25">
      <c r="A93" s="2">
        <v>92</v>
      </c>
      <c r="B93" s="3" t="str">
        <f t="shared" si="19"/>
        <v>091121-IN-AUN</v>
      </c>
      <c r="C93" s="3">
        <v>40138</v>
      </c>
      <c r="D93" s="3">
        <f t="shared" si="21"/>
        <v>40151</v>
      </c>
      <c r="E93" s="3">
        <f t="shared" si="22"/>
        <v>40199</v>
      </c>
      <c r="F93" s="3">
        <f t="shared" si="23"/>
        <v>40147</v>
      </c>
      <c r="G93" s="76">
        <f t="shared" si="24"/>
        <v>2009</v>
      </c>
      <c r="H93" s="76">
        <f t="shared" si="25"/>
        <v>11</v>
      </c>
      <c r="I93" s="76" t="str">
        <f>VLOOKUP(H93,'Lookup Values'!$C$2:$D$13,2,FALSE)</f>
        <v>NOV</v>
      </c>
      <c r="J93" s="76">
        <f t="shared" si="26"/>
        <v>21</v>
      </c>
      <c r="K93" s="76">
        <f t="shared" si="27"/>
        <v>7</v>
      </c>
      <c r="L93" s="76" t="str">
        <f>VLOOKUP(K93,'Lookup Values'!$F$2:$G$8,2,FALSE)</f>
        <v>Saturday</v>
      </c>
      <c r="M93" s="3">
        <v>40142</v>
      </c>
      <c r="N93" s="78">
        <f t="shared" si="20"/>
        <v>4</v>
      </c>
      <c r="O93" s="11">
        <v>0.24587693511301445</v>
      </c>
      <c r="P93" s="94">
        <f t="shared" si="28"/>
        <v>5</v>
      </c>
      <c r="Q93" s="94">
        <f t="shared" si="29"/>
        <v>54</v>
      </c>
      <c r="R93" s="94">
        <f t="shared" si="30"/>
        <v>4</v>
      </c>
      <c r="S93" s="94" t="str">
        <f>VLOOKUP(O93,'Lookup Values'!$I$2:$L$8,4,TRUE)</f>
        <v>Early Morning</v>
      </c>
      <c r="T93" t="s">
        <v>158</v>
      </c>
      <c r="U93" t="s">
        <v>161</v>
      </c>
      <c r="V93" t="str">
        <f t="shared" si="31"/>
        <v>Income: Gift Received</v>
      </c>
      <c r="W93" t="s">
        <v>164</v>
      </c>
      <c r="X93" t="s">
        <v>88</v>
      </c>
      <c r="Y93" s="1">
        <v>310</v>
      </c>
      <c r="Z93" s="1" t="str">
        <f t="shared" si="32"/>
        <v>Income: $310.00</v>
      </c>
      <c r="AA93" s="1">
        <f>IF(Y93="","",ROUND(Y93*'Lookup Values'!$A$2,2))</f>
        <v>27.51</v>
      </c>
      <c r="AB93" s="12" t="str">
        <f t="shared" si="33"/>
        <v>Income</v>
      </c>
      <c r="AC93" s="2" t="s">
        <v>254</v>
      </c>
      <c r="AD93" s="3">
        <f t="shared" si="34"/>
        <v>40138</v>
      </c>
      <c r="AE93" s="93" t="str">
        <f t="shared" si="35"/>
        <v>NO</v>
      </c>
      <c r="AF93" s="2" t="str">
        <f t="shared" si="36"/>
        <v>NO</v>
      </c>
      <c r="AG93" t="str">
        <f t="shared" si="37"/>
        <v>Late Transaction</v>
      </c>
    </row>
    <row r="94" spans="1:33" x14ac:dyDescent="0.25">
      <c r="A94" s="2">
        <v>93</v>
      </c>
      <c r="B94" s="3" t="str">
        <f t="shared" si="19"/>
        <v>120826-IN-AUN</v>
      </c>
      <c r="C94" s="3">
        <v>41147</v>
      </c>
      <c r="D94" s="3">
        <f t="shared" si="21"/>
        <v>41159</v>
      </c>
      <c r="E94" s="3">
        <f t="shared" si="22"/>
        <v>41208</v>
      </c>
      <c r="F94" s="3">
        <f t="shared" si="23"/>
        <v>41152</v>
      </c>
      <c r="G94" s="76">
        <f t="shared" si="24"/>
        <v>2012</v>
      </c>
      <c r="H94" s="76">
        <f t="shared" si="25"/>
        <v>8</v>
      </c>
      <c r="I94" s="76" t="str">
        <f>VLOOKUP(H94,'Lookup Values'!$C$2:$D$13,2,FALSE)</f>
        <v>AUG</v>
      </c>
      <c r="J94" s="76">
        <f t="shared" si="26"/>
        <v>26</v>
      </c>
      <c r="K94" s="76">
        <f t="shared" si="27"/>
        <v>1</v>
      </c>
      <c r="L94" s="76" t="str">
        <f>VLOOKUP(K94,'Lookup Values'!$F$2:$G$8,2,FALSE)</f>
        <v>Sunday</v>
      </c>
      <c r="M94" s="3">
        <v>41148</v>
      </c>
      <c r="N94" s="78">
        <f t="shared" si="20"/>
        <v>1</v>
      </c>
      <c r="O94" s="11">
        <v>0.31556257385318764</v>
      </c>
      <c r="P94" s="94">
        <f t="shared" si="28"/>
        <v>7</v>
      </c>
      <c r="Q94" s="94">
        <f t="shared" si="29"/>
        <v>34</v>
      </c>
      <c r="R94" s="94">
        <f t="shared" si="30"/>
        <v>25</v>
      </c>
      <c r="S94" s="94" t="str">
        <f>VLOOKUP(O94,'Lookup Values'!$I$2:$L$8,4,TRUE)</f>
        <v>Morning</v>
      </c>
      <c r="T94" t="s">
        <v>158</v>
      </c>
      <c r="U94" t="s">
        <v>161</v>
      </c>
      <c r="V94" t="str">
        <f t="shared" si="31"/>
        <v>Income: Gift Received</v>
      </c>
      <c r="W94" t="s">
        <v>164</v>
      </c>
      <c r="X94" t="s">
        <v>88</v>
      </c>
      <c r="Y94" s="1">
        <v>427</v>
      </c>
      <c r="Z94" s="1" t="str">
        <f t="shared" si="32"/>
        <v>Income: $427.00</v>
      </c>
      <c r="AA94" s="1">
        <f>IF(Y94="","",ROUND(Y94*'Lookup Values'!$A$2,2))</f>
        <v>37.9</v>
      </c>
      <c r="AB94" s="12" t="str">
        <f t="shared" si="33"/>
        <v>Income</v>
      </c>
      <c r="AC94" s="2" t="s">
        <v>255</v>
      </c>
      <c r="AD94" s="3">
        <f t="shared" si="34"/>
        <v>41147</v>
      </c>
      <c r="AE94" s="93" t="str">
        <f t="shared" si="35"/>
        <v>NO</v>
      </c>
      <c r="AF94" s="2" t="str">
        <f t="shared" si="36"/>
        <v>NO</v>
      </c>
      <c r="AG94" t="str">
        <f t="shared" si="37"/>
        <v>CRAP Transaction</v>
      </c>
    </row>
    <row r="95" spans="1:33" x14ac:dyDescent="0.25">
      <c r="A95" s="2">
        <v>94</v>
      </c>
      <c r="B95" s="3" t="str">
        <f t="shared" si="19"/>
        <v>070929-FO-BAN</v>
      </c>
      <c r="C95" s="3">
        <v>39354</v>
      </c>
      <c r="D95" s="3">
        <f t="shared" si="21"/>
        <v>39367</v>
      </c>
      <c r="E95" s="3">
        <f t="shared" si="22"/>
        <v>39415</v>
      </c>
      <c r="F95" s="3">
        <f t="shared" si="23"/>
        <v>39355</v>
      </c>
      <c r="G95" s="76">
        <f t="shared" si="24"/>
        <v>2007</v>
      </c>
      <c r="H95" s="76">
        <f t="shared" si="25"/>
        <v>9</v>
      </c>
      <c r="I95" s="76" t="str">
        <f>VLOOKUP(H95,'Lookup Values'!$C$2:$D$13,2,FALSE)</f>
        <v>SEP</v>
      </c>
      <c r="J95" s="76">
        <f t="shared" si="26"/>
        <v>29</v>
      </c>
      <c r="K95" s="76">
        <f t="shared" si="27"/>
        <v>7</v>
      </c>
      <c r="L95" s="76" t="str">
        <f>VLOOKUP(K95,'Lookup Values'!$F$2:$G$8,2,FALSE)</f>
        <v>Saturday</v>
      </c>
      <c r="M95" s="3">
        <v>39359</v>
      </c>
      <c r="N95" s="78">
        <f t="shared" si="20"/>
        <v>5</v>
      </c>
      <c r="O95" s="11">
        <v>0.91700322062207473</v>
      </c>
      <c r="P95" s="94">
        <f t="shared" si="28"/>
        <v>22</v>
      </c>
      <c r="Q95" s="94">
        <f t="shared" si="29"/>
        <v>0</v>
      </c>
      <c r="R95" s="94">
        <f t="shared" si="30"/>
        <v>29</v>
      </c>
      <c r="S95" s="94" t="str">
        <f>VLOOKUP(O95,'Lookup Values'!$I$2:$L$8,4,TRUE)</f>
        <v>Late Evening</v>
      </c>
      <c r="T95" t="s">
        <v>80</v>
      </c>
      <c r="U95" t="s">
        <v>81</v>
      </c>
      <c r="V95" t="str">
        <f t="shared" si="31"/>
        <v>Food: Restaurants</v>
      </c>
      <c r="W95" t="s">
        <v>79</v>
      </c>
      <c r="X95" t="s">
        <v>88</v>
      </c>
      <c r="Y95" s="1">
        <v>53</v>
      </c>
      <c r="Z95" s="1" t="str">
        <f t="shared" si="32"/>
        <v>Food: $53.00</v>
      </c>
      <c r="AA95" s="1">
        <f>IF(Y95="","",ROUND(Y95*'Lookup Values'!$A$2,2))</f>
        <v>4.7</v>
      </c>
      <c r="AB95" s="12" t="str">
        <f t="shared" si="33"/>
        <v>Expense</v>
      </c>
      <c r="AC95" s="2" t="s">
        <v>256</v>
      </c>
      <c r="AD95" s="3">
        <f t="shared" si="34"/>
        <v>39354</v>
      </c>
      <c r="AE95" s="93" t="str">
        <f t="shared" si="35"/>
        <v>NO</v>
      </c>
      <c r="AF95" s="2" t="str">
        <f t="shared" si="36"/>
        <v>NO</v>
      </c>
      <c r="AG95" t="str">
        <f t="shared" si="37"/>
        <v>Awesome Transaction</v>
      </c>
    </row>
    <row r="96" spans="1:33" x14ac:dyDescent="0.25">
      <c r="A96" s="2">
        <v>95</v>
      </c>
      <c r="B96" s="3" t="str">
        <f t="shared" si="19"/>
        <v>081006-TR-MTA</v>
      </c>
      <c r="C96" s="3">
        <v>39727</v>
      </c>
      <c r="D96" s="3">
        <f t="shared" si="21"/>
        <v>39741</v>
      </c>
      <c r="E96" s="3">
        <f t="shared" si="22"/>
        <v>39788</v>
      </c>
      <c r="F96" s="3">
        <f t="shared" si="23"/>
        <v>39752</v>
      </c>
      <c r="G96" s="76">
        <f t="shared" si="24"/>
        <v>2008</v>
      </c>
      <c r="H96" s="76">
        <f t="shared" si="25"/>
        <v>10</v>
      </c>
      <c r="I96" s="76" t="str">
        <f>VLOOKUP(H96,'Lookup Values'!$C$2:$D$13,2,FALSE)</f>
        <v>OCT</v>
      </c>
      <c r="J96" s="76">
        <f t="shared" si="26"/>
        <v>6</v>
      </c>
      <c r="K96" s="76">
        <f t="shared" si="27"/>
        <v>2</v>
      </c>
      <c r="L96" s="76" t="str">
        <f>VLOOKUP(K96,'Lookup Values'!$F$2:$G$8,2,FALSE)</f>
        <v>Monday</v>
      </c>
      <c r="M96" s="3">
        <v>39732</v>
      </c>
      <c r="N96" s="78">
        <f t="shared" si="20"/>
        <v>5</v>
      </c>
      <c r="O96" s="11">
        <v>0.13000624350064527</v>
      </c>
      <c r="P96" s="94">
        <f t="shared" si="28"/>
        <v>3</v>
      </c>
      <c r="Q96" s="94">
        <f t="shared" si="29"/>
        <v>7</v>
      </c>
      <c r="R96" s="94">
        <f t="shared" si="30"/>
        <v>13</v>
      </c>
      <c r="S96" s="94" t="str">
        <f>VLOOKUP(O96,'Lookup Values'!$I$2:$L$8,4,TRUE)</f>
        <v>Dead of Night</v>
      </c>
      <c r="T96" t="s">
        <v>95</v>
      </c>
      <c r="U96" t="s">
        <v>96</v>
      </c>
      <c r="V96" t="str">
        <f t="shared" si="31"/>
        <v>Transportation: Subway</v>
      </c>
      <c r="W96" t="s">
        <v>94</v>
      </c>
      <c r="X96" t="s">
        <v>78</v>
      </c>
      <c r="Y96" s="1">
        <v>35</v>
      </c>
      <c r="Z96" s="1" t="str">
        <f t="shared" si="32"/>
        <v>Transportation: $35.00</v>
      </c>
      <c r="AA96" s="1">
        <f>IF(Y96="","",ROUND(Y96*'Lookup Values'!$A$2,2))</f>
        <v>3.11</v>
      </c>
      <c r="AB96" s="12" t="str">
        <f t="shared" si="33"/>
        <v>Expense</v>
      </c>
      <c r="AC96" s="2" t="s">
        <v>257</v>
      </c>
      <c r="AD96" s="3">
        <f t="shared" si="34"/>
        <v>39727</v>
      </c>
      <c r="AE96" s="93" t="str">
        <f t="shared" si="35"/>
        <v>YES</v>
      </c>
      <c r="AF96" s="2" t="str">
        <f t="shared" si="36"/>
        <v>NO</v>
      </c>
      <c r="AG96" t="str">
        <f t="shared" si="37"/>
        <v>Late Transaction</v>
      </c>
    </row>
    <row r="97" spans="1:33" x14ac:dyDescent="0.25">
      <c r="A97" s="2">
        <v>96</v>
      </c>
      <c r="B97" s="3" t="str">
        <f t="shared" si="19"/>
        <v>080804-SH-EXP</v>
      </c>
      <c r="C97" s="3">
        <v>39664</v>
      </c>
      <c r="D97" s="3">
        <f t="shared" si="21"/>
        <v>39678</v>
      </c>
      <c r="E97" s="3">
        <f t="shared" si="22"/>
        <v>39725</v>
      </c>
      <c r="F97" s="3">
        <f t="shared" si="23"/>
        <v>39691</v>
      </c>
      <c r="G97" s="76">
        <f t="shared" si="24"/>
        <v>2008</v>
      </c>
      <c r="H97" s="76">
        <f t="shared" si="25"/>
        <v>8</v>
      </c>
      <c r="I97" s="76" t="str">
        <f>VLOOKUP(H97,'Lookup Values'!$C$2:$D$13,2,FALSE)</f>
        <v>AUG</v>
      </c>
      <c r="J97" s="76">
        <f t="shared" si="26"/>
        <v>4</v>
      </c>
      <c r="K97" s="76">
        <f t="shared" si="27"/>
        <v>2</v>
      </c>
      <c r="L97" s="76" t="str">
        <f>VLOOKUP(K97,'Lookup Values'!$F$2:$G$8,2,FALSE)</f>
        <v>Monday</v>
      </c>
      <c r="M97" s="3">
        <v>39672</v>
      </c>
      <c r="N97" s="78">
        <f t="shared" si="20"/>
        <v>8</v>
      </c>
      <c r="O97" s="11">
        <v>0.35256112417030794</v>
      </c>
      <c r="P97" s="94">
        <f t="shared" si="28"/>
        <v>8</v>
      </c>
      <c r="Q97" s="94">
        <f t="shared" si="29"/>
        <v>27</v>
      </c>
      <c r="R97" s="94">
        <f t="shared" si="30"/>
        <v>41</v>
      </c>
      <c r="S97" s="94" t="str">
        <f>VLOOKUP(O97,'Lookup Values'!$I$2:$L$8,4,TRUE)</f>
        <v>Morning</v>
      </c>
      <c r="T97" t="s">
        <v>83</v>
      </c>
      <c r="U97" t="s">
        <v>103</v>
      </c>
      <c r="V97" t="str">
        <f t="shared" si="31"/>
        <v>Shopping: Clothing</v>
      </c>
      <c r="W97" t="s">
        <v>102</v>
      </c>
      <c r="X97" t="s">
        <v>78</v>
      </c>
      <c r="Y97" s="1">
        <v>327</v>
      </c>
      <c r="Z97" s="1" t="str">
        <f t="shared" si="32"/>
        <v>Shopping: $327.00</v>
      </c>
      <c r="AA97" s="1">
        <f>IF(Y97="","",ROUND(Y97*'Lookup Values'!$A$2,2))</f>
        <v>29.02</v>
      </c>
      <c r="AB97" s="12" t="str">
        <f t="shared" si="33"/>
        <v>Expense</v>
      </c>
      <c r="AC97" s="2" t="s">
        <v>258</v>
      </c>
      <c r="AD97" s="3">
        <f t="shared" si="34"/>
        <v>39664</v>
      </c>
      <c r="AE97" s="93" t="str">
        <f t="shared" si="35"/>
        <v>NO</v>
      </c>
      <c r="AF97" s="2" t="str">
        <f t="shared" si="36"/>
        <v>NO</v>
      </c>
      <c r="AG97" t="str">
        <f t="shared" si="37"/>
        <v>Awesome Transaction</v>
      </c>
    </row>
    <row r="98" spans="1:33" x14ac:dyDescent="0.25">
      <c r="A98" s="2">
        <v>97</v>
      </c>
      <c r="B98" s="3" t="str">
        <f t="shared" si="19"/>
        <v>070921-IN-LEG</v>
      </c>
      <c r="C98" s="3">
        <v>39346</v>
      </c>
      <c r="D98" s="3">
        <f t="shared" si="21"/>
        <v>39360</v>
      </c>
      <c r="E98" s="3">
        <f t="shared" si="22"/>
        <v>39407</v>
      </c>
      <c r="F98" s="3">
        <f t="shared" si="23"/>
        <v>39355</v>
      </c>
      <c r="G98" s="76">
        <f t="shared" si="24"/>
        <v>2007</v>
      </c>
      <c r="H98" s="76">
        <f t="shared" si="25"/>
        <v>9</v>
      </c>
      <c r="I98" s="76" t="str">
        <f>VLOOKUP(H98,'Lookup Values'!$C$2:$D$13,2,FALSE)</f>
        <v>SEP</v>
      </c>
      <c r="J98" s="76">
        <f t="shared" si="26"/>
        <v>21</v>
      </c>
      <c r="K98" s="76">
        <f t="shared" si="27"/>
        <v>6</v>
      </c>
      <c r="L98" s="76" t="str">
        <f>VLOOKUP(K98,'Lookup Values'!$F$2:$G$8,2,FALSE)</f>
        <v>Friday</v>
      </c>
      <c r="M98" s="3">
        <v>39347</v>
      </c>
      <c r="N98" s="78">
        <f t="shared" si="20"/>
        <v>1</v>
      </c>
      <c r="O98" s="11">
        <v>3.8011954014830041E-2</v>
      </c>
      <c r="P98" s="94">
        <f t="shared" si="28"/>
        <v>0</v>
      </c>
      <c r="Q98" s="94">
        <f t="shared" si="29"/>
        <v>54</v>
      </c>
      <c r="R98" s="94">
        <f t="shared" si="30"/>
        <v>44</v>
      </c>
      <c r="S98" s="94" t="str">
        <f>VLOOKUP(O98,'Lookup Values'!$I$2:$L$8,4,TRUE)</f>
        <v>Dead of Night</v>
      </c>
      <c r="T98" t="s">
        <v>158</v>
      </c>
      <c r="U98" t="s">
        <v>160</v>
      </c>
      <c r="V98" t="str">
        <f t="shared" si="31"/>
        <v>Income: Freelance Project</v>
      </c>
      <c r="W98" t="s">
        <v>163</v>
      </c>
      <c r="X98" t="s">
        <v>91</v>
      </c>
      <c r="Y98" s="1">
        <v>164</v>
      </c>
      <c r="Z98" s="1" t="str">
        <f t="shared" si="32"/>
        <v>Income: $164.00</v>
      </c>
      <c r="AA98" s="1">
        <f>IF(Y98="","",ROUND(Y98*'Lookup Values'!$A$2,2))</f>
        <v>14.56</v>
      </c>
      <c r="AB98" s="12" t="str">
        <f t="shared" si="33"/>
        <v>Income</v>
      </c>
      <c r="AC98" s="2" t="s">
        <v>259</v>
      </c>
      <c r="AD98" s="3">
        <f t="shared" si="34"/>
        <v>39346</v>
      </c>
      <c r="AE98" s="93" t="str">
        <f t="shared" si="35"/>
        <v>NO</v>
      </c>
      <c r="AF98" s="2" t="str">
        <f t="shared" si="36"/>
        <v>NO</v>
      </c>
      <c r="AG98" t="str">
        <f t="shared" si="37"/>
        <v>Late Transaction</v>
      </c>
    </row>
    <row r="99" spans="1:33" x14ac:dyDescent="0.25">
      <c r="A99" s="2">
        <v>98</v>
      </c>
      <c r="B99" s="3" t="str">
        <f t="shared" si="19"/>
        <v>091013-SH-AMA</v>
      </c>
      <c r="C99" s="3">
        <v>40099</v>
      </c>
      <c r="D99" s="3">
        <f t="shared" si="21"/>
        <v>40113</v>
      </c>
      <c r="E99" s="3">
        <f t="shared" si="22"/>
        <v>40160</v>
      </c>
      <c r="F99" s="3">
        <f t="shared" si="23"/>
        <v>40117</v>
      </c>
      <c r="G99" s="76">
        <f t="shared" si="24"/>
        <v>2009</v>
      </c>
      <c r="H99" s="76">
        <f t="shared" si="25"/>
        <v>10</v>
      </c>
      <c r="I99" s="76" t="str">
        <f>VLOOKUP(H99,'Lookup Values'!$C$2:$D$13,2,FALSE)</f>
        <v>OCT</v>
      </c>
      <c r="J99" s="76">
        <f t="shared" si="26"/>
        <v>13</v>
      </c>
      <c r="K99" s="76">
        <f t="shared" si="27"/>
        <v>3</v>
      </c>
      <c r="L99" s="76" t="str">
        <f>VLOOKUP(K99,'Lookup Values'!$F$2:$G$8,2,FALSE)</f>
        <v>Tuesday</v>
      </c>
      <c r="M99" s="3">
        <v>40101</v>
      </c>
      <c r="N99" s="78">
        <f t="shared" si="20"/>
        <v>2</v>
      </c>
      <c r="O99" s="11">
        <v>0.46685476598200482</v>
      </c>
      <c r="P99" s="94">
        <f t="shared" si="28"/>
        <v>11</v>
      </c>
      <c r="Q99" s="94">
        <f t="shared" si="29"/>
        <v>12</v>
      </c>
      <c r="R99" s="94">
        <f t="shared" si="30"/>
        <v>16</v>
      </c>
      <c r="S99" s="94" t="str">
        <f>VLOOKUP(O99,'Lookup Values'!$I$2:$L$8,4,TRUE)</f>
        <v>Late Morning</v>
      </c>
      <c r="T99" t="s">
        <v>83</v>
      </c>
      <c r="U99" t="s">
        <v>84</v>
      </c>
      <c r="V99" t="str">
        <f t="shared" si="31"/>
        <v>Shopping: Electronics</v>
      </c>
      <c r="W99" t="s">
        <v>82</v>
      </c>
      <c r="X99" t="s">
        <v>78</v>
      </c>
      <c r="Y99" s="1">
        <v>489</v>
      </c>
      <c r="Z99" s="1" t="str">
        <f t="shared" si="32"/>
        <v>Shopping: $489.00</v>
      </c>
      <c r="AA99" s="1">
        <f>IF(Y99="","",ROUND(Y99*'Lookup Values'!$A$2,2))</f>
        <v>43.4</v>
      </c>
      <c r="AB99" s="12" t="str">
        <f t="shared" si="33"/>
        <v>Expense</v>
      </c>
      <c r="AC99" s="2" t="s">
        <v>260</v>
      </c>
      <c r="AD99" s="3">
        <f t="shared" si="34"/>
        <v>40099</v>
      </c>
      <c r="AE99" s="93" t="str">
        <f t="shared" si="35"/>
        <v>YES</v>
      </c>
      <c r="AF99" s="2" t="str">
        <f t="shared" si="36"/>
        <v>YES</v>
      </c>
      <c r="AG99" t="str">
        <f t="shared" si="37"/>
        <v>Awesome Transaction</v>
      </c>
    </row>
    <row r="100" spans="1:33" x14ac:dyDescent="0.25">
      <c r="A100" s="2">
        <v>99</v>
      </c>
      <c r="B100" s="3" t="str">
        <f t="shared" si="19"/>
        <v>070118-FO-BAN</v>
      </c>
      <c r="C100" s="3">
        <v>39100</v>
      </c>
      <c r="D100" s="3">
        <f t="shared" si="21"/>
        <v>39114</v>
      </c>
      <c r="E100" s="3">
        <f t="shared" si="22"/>
        <v>39159</v>
      </c>
      <c r="F100" s="3">
        <f t="shared" si="23"/>
        <v>39113</v>
      </c>
      <c r="G100" s="76">
        <f t="shared" si="24"/>
        <v>2007</v>
      </c>
      <c r="H100" s="76">
        <f t="shared" si="25"/>
        <v>1</v>
      </c>
      <c r="I100" s="76" t="str">
        <f>VLOOKUP(H100,'Lookup Values'!$C$2:$D$13,2,FALSE)</f>
        <v>JAN</v>
      </c>
      <c r="J100" s="76">
        <f t="shared" si="26"/>
        <v>18</v>
      </c>
      <c r="K100" s="76">
        <f t="shared" si="27"/>
        <v>5</v>
      </c>
      <c r="L100" s="76" t="str">
        <f>VLOOKUP(K100,'Lookup Values'!$F$2:$G$8,2,FALSE)</f>
        <v>Thursday</v>
      </c>
      <c r="M100" s="3">
        <v>39108</v>
      </c>
      <c r="N100" s="78">
        <f t="shared" si="20"/>
        <v>8</v>
      </c>
      <c r="O100" s="11">
        <v>0.51238300102021805</v>
      </c>
      <c r="P100" s="94">
        <f t="shared" si="28"/>
        <v>12</v>
      </c>
      <c r="Q100" s="94">
        <f t="shared" si="29"/>
        <v>17</v>
      </c>
      <c r="R100" s="94">
        <f t="shared" si="30"/>
        <v>50</v>
      </c>
      <c r="S100" s="94" t="str">
        <f>VLOOKUP(O100,'Lookup Values'!$I$2:$L$8,4,TRUE)</f>
        <v>Afternoon</v>
      </c>
      <c r="T100" t="s">
        <v>80</v>
      </c>
      <c r="U100" t="s">
        <v>81</v>
      </c>
      <c r="V100" t="str">
        <f t="shared" si="31"/>
        <v>Food: Restaurants</v>
      </c>
      <c r="W100" t="s">
        <v>79</v>
      </c>
      <c r="X100" t="s">
        <v>78</v>
      </c>
      <c r="Y100" s="1">
        <v>495</v>
      </c>
      <c r="Z100" s="1" t="str">
        <f t="shared" si="32"/>
        <v>Food: $495.00</v>
      </c>
      <c r="AA100" s="1">
        <f>IF(Y100="","",ROUND(Y100*'Lookup Values'!$A$2,2))</f>
        <v>43.93</v>
      </c>
      <c r="AB100" s="12" t="str">
        <f t="shared" si="33"/>
        <v>Expense</v>
      </c>
      <c r="AC100" s="2" t="s">
        <v>261</v>
      </c>
      <c r="AD100" s="3">
        <f t="shared" si="34"/>
        <v>39100</v>
      </c>
      <c r="AE100" s="93" t="str">
        <f t="shared" si="35"/>
        <v>NO</v>
      </c>
      <c r="AF100" s="2" t="str">
        <f t="shared" si="36"/>
        <v>NO</v>
      </c>
      <c r="AG100" t="str">
        <f t="shared" si="37"/>
        <v>Awesome Transaction</v>
      </c>
    </row>
    <row r="101" spans="1:33" x14ac:dyDescent="0.25">
      <c r="A101" s="2">
        <v>100</v>
      </c>
      <c r="B101" s="3" t="str">
        <f t="shared" si="19"/>
        <v>080709-SH-AMA</v>
      </c>
      <c r="C101" s="3">
        <v>39638</v>
      </c>
      <c r="D101" s="3">
        <f t="shared" si="21"/>
        <v>39652</v>
      </c>
      <c r="E101" s="3">
        <f t="shared" si="22"/>
        <v>39700</v>
      </c>
      <c r="F101" s="3">
        <f t="shared" si="23"/>
        <v>39660</v>
      </c>
      <c r="G101" s="76">
        <f t="shared" si="24"/>
        <v>2008</v>
      </c>
      <c r="H101" s="76">
        <f t="shared" si="25"/>
        <v>7</v>
      </c>
      <c r="I101" s="76" t="str">
        <f>VLOOKUP(H101,'Lookup Values'!$C$2:$D$13,2,FALSE)</f>
        <v>JUL</v>
      </c>
      <c r="J101" s="76">
        <f t="shared" si="26"/>
        <v>9</v>
      </c>
      <c r="K101" s="76">
        <f t="shared" si="27"/>
        <v>4</v>
      </c>
      <c r="L101" s="76" t="str">
        <f>VLOOKUP(K101,'Lookup Values'!$F$2:$G$8,2,FALSE)</f>
        <v>Wednesday</v>
      </c>
      <c r="M101" s="3">
        <v>39648</v>
      </c>
      <c r="N101" s="78">
        <f t="shared" si="20"/>
        <v>10</v>
      </c>
      <c r="O101" s="11">
        <v>0.1524249162765875</v>
      </c>
      <c r="P101" s="94">
        <f t="shared" si="28"/>
        <v>3</v>
      </c>
      <c r="Q101" s="94">
        <f t="shared" si="29"/>
        <v>39</v>
      </c>
      <c r="R101" s="94">
        <f t="shared" si="30"/>
        <v>30</v>
      </c>
      <c r="S101" s="94" t="str">
        <f>VLOOKUP(O101,'Lookup Values'!$I$2:$L$8,4,TRUE)</f>
        <v>Dead of Night</v>
      </c>
      <c r="T101" t="s">
        <v>83</v>
      </c>
      <c r="U101" t="s">
        <v>84</v>
      </c>
      <c r="V101" t="str">
        <f t="shared" si="31"/>
        <v>Shopping: Electronics</v>
      </c>
      <c r="W101" t="s">
        <v>82</v>
      </c>
      <c r="X101" t="s">
        <v>88</v>
      </c>
      <c r="Y101" s="1">
        <v>292</v>
      </c>
      <c r="Z101" s="1" t="str">
        <f t="shared" si="32"/>
        <v>Shopping: $292.00</v>
      </c>
      <c r="AA101" s="1">
        <f>IF(Y101="","",ROUND(Y101*'Lookup Values'!$A$2,2))</f>
        <v>25.92</v>
      </c>
      <c r="AB101" s="12" t="str">
        <f t="shared" si="33"/>
        <v>Expense</v>
      </c>
      <c r="AC101" s="2" t="s">
        <v>262</v>
      </c>
      <c r="AD101" s="3">
        <f t="shared" si="34"/>
        <v>39638</v>
      </c>
      <c r="AE101" s="93" t="str">
        <f t="shared" si="35"/>
        <v>YES</v>
      </c>
      <c r="AF101" s="2" t="str">
        <f t="shared" si="36"/>
        <v>NO</v>
      </c>
      <c r="AG101" t="str">
        <f t="shared" si="37"/>
        <v>Awesome Transaction</v>
      </c>
    </row>
    <row r="102" spans="1:33" x14ac:dyDescent="0.25">
      <c r="A102" s="2">
        <v>101</v>
      </c>
      <c r="B102" s="3" t="str">
        <f t="shared" si="19"/>
        <v>110614-IN-EZE</v>
      </c>
      <c r="C102" s="3">
        <v>40708</v>
      </c>
      <c r="D102" s="3">
        <f t="shared" si="21"/>
        <v>40722</v>
      </c>
      <c r="E102" s="3">
        <f t="shared" si="22"/>
        <v>40769</v>
      </c>
      <c r="F102" s="3">
        <f t="shared" si="23"/>
        <v>40724</v>
      </c>
      <c r="G102" s="76">
        <f t="shared" si="24"/>
        <v>2011</v>
      </c>
      <c r="H102" s="76">
        <f t="shared" si="25"/>
        <v>6</v>
      </c>
      <c r="I102" s="76" t="str">
        <f>VLOOKUP(H102,'Lookup Values'!$C$2:$D$13,2,FALSE)</f>
        <v>JUN</v>
      </c>
      <c r="J102" s="76">
        <f t="shared" si="26"/>
        <v>14</v>
      </c>
      <c r="K102" s="76">
        <f t="shared" si="27"/>
        <v>3</v>
      </c>
      <c r="L102" s="76" t="str">
        <f>VLOOKUP(K102,'Lookup Values'!$F$2:$G$8,2,FALSE)</f>
        <v>Tuesday</v>
      </c>
      <c r="M102" s="3">
        <v>40714</v>
      </c>
      <c r="N102" s="78">
        <f t="shared" si="20"/>
        <v>6</v>
      </c>
      <c r="O102" s="11">
        <v>0.92629688283892908</v>
      </c>
      <c r="P102" s="94">
        <f t="shared" si="28"/>
        <v>22</v>
      </c>
      <c r="Q102" s="94">
        <f t="shared" si="29"/>
        <v>13</v>
      </c>
      <c r="R102" s="94">
        <f t="shared" si="30"/>
        <v>52</v>
      </c>
      <c r="S102" s="94" t="str">
        <f>VLOOKUP(O102,'Lookup Values'!$I$2:$L$8,4,TRUE)</f>
        <v>Late Evening</v>
      </c>
      <c r="T102" t="s">
        <v>158</v>
      </c>
      <c r="U102" t="s">
        <v>159</v>
      </c>
      <c r="V102" t="str">
        <f t="shared" si="31"/>
        <v>Income: Salary</v>
      </c>
      <c r="W102" t="s">
        <v>162</v>
      </c>
      <c r="X102" t="s">
        <v>78</v>
      </c>
      <c r="Y102" s="1">
        <v>470</v>
      </c>
      <c r="Z102" s="1" t="str">
        <f t="shared" si="32"/>
        <v>Income: $470.00</v>
      </c>
      <c r="AA102" s="1">
        <f>IF(Y102="","",ROUND(Y102*'Lookup Values'!$A$2,2))</f>
        <v>41.71</v>
      </c>
      <c r="AB102" s="12" t="str">
        <f t="shared" si="33"/>
        <v>Income</v>
      </c>
      <c r="AC102" s="2" t="s">
        <v>263</v>
      </c>
      <c r="AD102" s="3">
        <f t="shared" si="34"/>
        <v>40708</v>
      </c>
      <c r="AE102" s="93" t="str">
        <f t="shared" si="35"/>
        <v>NO</v>
      </c>
      <c r="AF102" s="2" t="str">
        <f t="shared" si="36"/>
        <v>NO</v>
      </c>
      <c r="AG102" t="str">
        <f t="shared" si="37"/>
        <v>CRAP Transaction</v>
      </c>
    </row>
    <row r="103" spans="1:33" x14ac:dyDescent="0.25">
      <c r="A103" s="2">
        <v>102</v>
      </c>
      <c r="B103" s="3" t="str">
        <f t="shared" si="19"/>
        <v>110727-ED-SKI</v>
      </c>
      <c r="C103" s="3">
        <v>40751</v>
      </c>
      <c r="D103" s="3">
        <f t="shared" si="21"/>
        <v>40765</v>
      </c>
      <c r="E103" s="3">
        <f t="shared" si="22"/>
        <v>40813</v>
      </c>
      <c r="F103" s="3">
        <f t="shared" si="23"/>
        <v>40755</v>
      </c>
      <c r="G103" s="76">
        <f t="shared" si="24"/>
        <v>2011</v>
      </c>
      <c r="H103" s="76">
        <f t="shared" si="25"/>
        <v>7</v>
      </c>
      <c r="I103" s="76" t="str">
        <f>VLOOKUP(H103,'Lookup Values'!$C$2:$D$13,2,FALSE)</f>
        <v>JUL</v>
      </c>
      <c r="J103" s="76">
        <f t="shared" si="26"/>
        <v>27</v>
      </c>
      <c r="K103" s="76">
        <f t="shared" si="27"/>
        <v>4</v>
      </c>
      <c r="L103" s="76" t="str">
        <f>VLOOKUP(K103,'Lookup Values'!$F$2:$G$8,2,FALSE)</f>
        <v>Wednesday</v>
      </c>
      <c r="M103" s="3">
        <v>40759</v>
      </c>
      <c r="N103" s="78">
        <f t="shared" si="20"/>
        <v>8</v>
      </c>
      <c r="O103" s="11">
        <v>0.98524469092893485</v>
      </c>
      <c r="P103" s="94">
        <f t="shared" si="28"/>
        <v>23</v>
      </c>
      <c r="Q103" s="94">
        <f t="shared" si="29"/>
        <v>38</v>
      </c>
      <c r="R103" s="94">
        <f t="shared" si="30"/>
        <v>45</v>
      </c>
      <c r="S103" s="94" t="str">
        <f>VLOOKUP(O103,'Lookup Values'!$I$2:$L$8,4,TRUE)</f>
        <v>Late Evening</v>
      </c>
      <c r="T103" t="s">
        <v>86</v>
      </c>
      <c r="U103" t="s">
        <v>98</v>
      </c>
      <c r="V103" t="str">
        <f t="shared" si="31"/>
        <v>Education: Professional Development</v>
      </c>
      <c r="W103" t="s">
        <v>97</v>
      </c>
      <c r="X103" t="s">
        <v>91</v>
      </c>
      <c r="Y103" s="1">
        <v>104</v>
      </c>
      <c r="Z103" s="1" t="str">
        <f t="shared" si="32"/>
        <v>Education: $104.00</v>
      </c>
      <c r="AA103" s="1">
        <f>IF(Y103="","",ROUND(Y103*'Lookup Values'!$A$2,2))</f>
        <v>9.23</v>
      </c>
      <c r="AB103" s="12" t="str">
        <f t="shared" si="33"/>
        <v>Expense</v>
      </c>
      <c r="AC103" s="2" t="s">
        <v>264</v>
      </c>
      <c r="AD103" s="3">
        <f t="shared" si="34"/>
        <v>40751</v>
      </c>
      <c r="AE103" s="93" t="str">
        <f t="shared" si="35"/>
        <v>YES</v>
      </c>
      <c r="AF103" s="2" t="str">
        <f t="shared" si="36"/>
        <v>NO</v>
      </c>
      <c r="AG103" t="str">
        <f t="shared" si="37"/>
        <v>CRAP Transaction</v>
      </c>
    </row>
    <row r="104" spans="1:33" x14ac:dyDescent="0.25">
      <c r="A104" s="2">
        <v>103</v>
      </c>
      <c r="B104" s="3" t="str">
        <f t="shared" si="19"/>
        <v>070415-TR-MTA</v>
      </c>
      <c r="C104" s="3">
        <v>39187</v>
      </c>
      <c r="D104" s="3">
        <f t="shared" si="21"/>
        <v>39199</v>
      </c>
      <c r="E104" s="3">
        <f t="shared" si="22"/>
        <v>39248</v>
      </c>
      <c r="F104" s="3">
        <f t="shared" si="23"/>
        <v>39202</v>
      </c>
      <c r="G104" s="76">
        <f t="shared" si="24"/>
        <v>2007</v>
      </c>
      <c r="H104" s="76">
        <f t="shared" si="25"/>
        <v>4</v>
      </c>
      <c r="I104" s="76" t="str">
        <f>VLOOKUP(H104,'Lookup Values'!$C$2:$D$13,2,FALSE)</f>
        <v>APR</v>
      </c>
      <c r="J104" s="76">
        <f t="shared" si="26"/>
        <v>15</v>
      </c>
      <c r="K104" s="76">
        <f t="shared" si="27"/>
        <v>1</v>
      </c>
      <c r="L104" s="76" t="str">
        <f>VLOOKUP(K104,'Lookup Values'!$F$2:$G$8,2,FALSE)</f>
        <v>Sunday</v>
      </c>
      <c r="M104" s="3">
        <v>39197</v>
      </c>
      <c r="N104" s="78">
        <f t="shared" si="20"/>
        <v>10</v>
      </c>
      <c r="O104" s="11">
        <v>0.2983226240938105</v>
      </c>
      <c r="P104" s="94">
        <f t="shared" si="28"/>
        <v>7</v>
      </c>
      <c r="Q104" s="94">
        <f t="shared" si="29"/>
        <v>9</v>
      </c>
      <c r="R104" s="94">
        <f t="shared" si="30"/>
        <v>35</v>
      </c>
      <c r="S104" s="94" t="str">
        <f>VLOOKUP(O104,'Lookup Values'!$I$2:$L$8,4,TRUE)</f>
        <v>Morning</v>
      </c>
      <c r="T104" t="s">
        <v>95</v>
      </c>
      <c r="U104" t="s">
        <v>96</v>
      </c>
      <c r="V104" t="str">
        <f t="shared" si="31"/>
        <v>Transportation: Subway</v>
      </c>
      <c r="W104" t="s">
        <v>94</v>
      </c>
      <c r="X104" t="s">
        <v>88</v>
      </c>
      <c r="Y104" s="1">
        <v>27</v>
      </c>
      <c r="Z104" s="1" t="str">
        <f t="shared" si="32"/>
        <v>Transportation: $27.00</v>
      </c>
      <c r="AA104" s="1">
        <f>IF(Y104="","",ROUND(Y104*'Lookup Values'!$A$2,2))</f>
        <v>2.4</v>
      </c>
      <c r="AB104" s="12" t="str">
        <f t="shared" si="33"/>
        <v>Expense</v>
      </c>
      <c r="AC104" s="2" t="s">
        <v>265</v>
      </c>
      <c r="AD104" s="3">
        <f t="shared" si="34"/>
        <v>39187</v>
      </c>
      <c r="AE104" s="93" t="str">
        <f t="shared" si="35"/>
        <v>YES</v>
      </c>
      <c r="AF104" s="2" t="str">
        <f t="shared" si="36"/>
        <v>NO</v>
      </c>
      <c r="AG104" t="str">
        <f t="shared" si="37"/>
        <v>Late Transaction</v>
      </c>
    </row>
    <row r="105" spans="1:33" x14ac:dyDescent="0.25">
      <c r="A105" s="2">
        <v>104</v>
      </c>
      <c r="B105" s="3" t="str">
        <f t="shared" si="19"/>
        <v>120204-HE-FRE</v>
      </c>
      <c r="C105" s="3">
        <v>40943</v>
      </c>
      <c r="D105" s="3">
        <f t="shared" si="21"/>
        <v>40956</v>
      </c>
      <c r="E105" s="3">
        <f t="shared" si="22"/>
        <v>41003</v>
      </c>
      <c r="F105" s="3">
        <f t="shared" si="23"/>
        <v>40968</v>
      </c>
      <c r="G105" s="76">
        <f t="shared" si="24"/>
        <v>2012</v>
      </c>
      <c r="H105" s="76">
        <f t="shared" si="25"/>
        <v>2</v>
      </c>
      <c r="I105" s="76" t="str">
        <f>VLOOKUP(H105,'Lookup Values'!$C$2:$D$13,2,FALSE)</f>
        <v>FEB</v>
      </c>
      <c r="J105" s="76">
        <f t="shared" si="26"/>
        <v>4</v>
      </c>
      <c r="K105" s="76">
        <f t="shared" si="27"/>
        <v>7</v>
      </c>
      <c r="L105" s="76" t="str">
        <f>VLOOKUP(K105,'Lookup Values'!$F$2:$G$8,2,FALSE)</f>
        <v>Saturday</v>
      </c>
      <c r="M105" s="3">
        <v>40949</v>
      </c>
      <c r="N105" s="78">
        <f t="shared" si="20"/>
        <v>6</v>
      </c>
      <c r="O105" s="11">
        <v>0.69431646308235906</v>
      </c>
      <c r="P105" s="94">
        <f t="shared" si="28"/>
        <v>16</v>
      </c>
      <c r="Q105" s="94">
        <f t="shared" si="29"/>
        <v>39</v>
      </c>
      <c r="R105" s="94">
        <f t="shared" si="30"/>
        <v>49</v>
      </c>
      <c r="S105" s="94" t="str">
        <f>VLOOKUP(O105,'Lookup Values'!$I$2:$L$8,4,TRUE)</f>
        <v>Afternoon</v>
      </c>
      <c r="T105" t="s">
        <v>107</v>
      </c>
      <c r="U105" t="s">
        <v>108</v>
      </c>
      <c r="V105" t="str">
        <f t="shared" si="31"/>
        <v>Health: Insurance Premium</v>
      </c>
      <c r="W105" t="s">
        <v>106</v>
      </c>
      <c r="X105" t="s">
        <v>91</v>
      </c>
      <c r="Y105" s="1">
        <v>439</v>
      </c>
      <c r="Z105" s="1" t="str">
        <f t="shared" si="32"/>
        <v>Health: $439.00</v>
      </c>
      <c r="AA105" s="1">
        <f>IF(Y105="","",ROUND(Y105*'Lookup Values'!$A$2,2))</f>
        <v>38.96</v>
      </c>
      <c r="AB105" s="12" t="str">
        <f t="shared" si="33"/>
        <v>Expense</v>
      </c>
      <c r="AC105" s="2" t="s">
        <v>266</v>
      </c>
      <c r="AD105" s="3">
        <f t="shared" si="34"/>
        <v>40943</v>
      </c>
      <c r="AE105" s="93" t="str">
        <f t="shared" si="35"/>
        <v>NO</v>
      </c>
      <c r="AF105" s="2" t="str">
        <f t="shared" si="36"/>
        <v>NO</v>
      </c>
      <c r="AG105" t="str">
        <f t="shared" si="37"/>
        <v>CRAP Transaction</v>
      </c>
    </row>
    <row r="106" spans="1:33" x14ac:dyDescent="0.25">
      <c r="A106" s="2">
        <v>105</v>
      </c>
      <c r="B106" s="3" t="str">
        <f t="shared" si="19"/>
        <v>070826-FO-CIT</v>
      </c>
      <c r="C106" s="3">
        <v>39320</v>
      </c>
      <c r="D106" s="3">
        <f t="shared" si="21"/>
        <v>39332</v>
      </c>
      <c r="E106" s="3">
        <f t="shared" si="22"/>
        <v>39381</v>
      </c>
      <c r="F106" s="3">
        <f t="shared" si="23"/>
        <v>39325</v>
      </c>
      <c r="G106" s="76">
        <f t="shared" si="24"/>
        <v>2007</v>
      </c>
      <c r="H106" s="76">
        <f t="shared" si="25"/>
        <v>8</v>
      </c>
      <c r="I106" s="76" t="str">
        <f>VLOOKUP(H106,'Lookup Values'!$C$2:$D$13,2,FALSE)</f>
        <v>AUG</v>
      </c>
      <c r="J106" s="76">
        <f t="shared" si="26"/>
        <v>26</v>
      </c>
      <c r="K106" s="76">
        <f t="shared" si="27"/>
        <v>1</v>
      </c>
      <c r="L106" s="76" t="str">
        <f>VLOOKUP(K106,'Lookup Values'!$F$2:$G$8,2,FALSE)</f>
        <v>Sunday</v>
      </c>
      <c r="M106" s="3">
        <v>39322</v>
      </c>
      <c r="N106" s="78">
        <f t="shared" si="20"/>
        <v>2</v>
      </c>
      <c r="O106" s="11">
        <v>0.64031684661977606</v>
      </c>
      <c r="P106" s="94">
        <f t="shared" si="28"/>
        <v>15</v>
      </c>
      <c r="Q106" s="94">
        <f t="shared" si="29"/>
        <v>22</v>
      </c>
      <c r="R106" s="94">
        <f t="shared" si="30"/>
        <v>3</v>
      </c>
      <c r="S106" s="94" t="str">
        <f>VLOOKUP(O106,'Lookup Values'!$I$2:$L$8,4,TRUE)</f>
        <v>Afternoon</v>
      </c>
      <c r="T106" t="s">
        <v>80</v>
      </c>
      <c r="U106" t="s">
        <v>105</v>
      </c>
      <c r="V106" t="str">
        <f t="shared" si="31"/>
        <v>Food: Coffee</v>
      </c>
      <c r="W106" t="s">
        <v>104</v>
      </c>
      <c r="X106" t="s">
        <v>91</v>
      </c>
      <c r="Y106" s="1">
        <v>431</v>
      </c>
      <c r="Z106" s="1" t="str">
        <f t="shared" si="32"/>
        <v>Food: $431.00</v>
      </c>
      <c r="AA106" s="1">
        <f>IF(Y106="","",ROUND(Y106*'Lookup Values'!$A$2,2))</f>
        <v>38.25</v>
      </c>
      <c r="AB106" s="12" t="str">
        <f t="shared" si="33"/>
        <v>Expense</v>
      </c>
      <c r="AC106" s="2" t="s">
        <v>267</v>
      </c>
      <c r="AD106" s="3">
        <f t="shared" si="34"/>
        <v>39320</v>
      </c>
      <c r="AE106" s="93" t="str">
        <f t="shared" si="35"/>
        <v>NO</v>
      </c>
      <c r="AF106" s="2" t="str">
        <f t="shared" si="36"/>
        <v>NO</v>
      </c>
      <c r="AG106" t="str">
        <f t="shared" si="37"/>
        <v>Awesome Transaction</v>
      </c>
    </row>
    <row r="107" spans="1:33" x14ac:dyDescent="0.25">
      <c r="A107" s="2">
        <v>106</v>
      </c>
      <c r="B107" s="3" t="str">
        <f t="shared" si="19"/>
        <v>100103-FO-CIT</v>
      </c>
      <c r="C107" s="3">
        <v>40181</v>
      </c>
      <c r="D107" s="3">
        <f t="shared" si="21"/>
        <v>40193</v>
      </c>
      <c r="E107" s="3">
        <f t="shared" si="22"/>
        <v>40240</v>
      </c>
      <c r="F107" s="3">
        <f t="shared" si="23"/>
        <v>40209</v>
      </c>
      <c r="G107" s="76">
        <f t="shared" si="24"/>
        <v>2010</v>
      </c>
      <c r="H107" s="76">
        <f t="shared" si="25"/>
        <v>1</v>
      </c>
      <c r="I107" s="76" t="str">
        <f>VLOOKUP(H107,'Lookup Values'!$C$2:$D$13,2,FALSE)</f>
        <v>JAN</v>
      </c>
      <c r="J107" s="76">
        <f t="shared" si="26"/>
        <v>3</v>
      </c>
      <c r="K107" s="76">
        <f t="shared" si="27"/>
        <v>1</v>
      </c>
      <c r="L107" s="76" t="str">
        <f>VLOOKUP(K107,'Lookup Values'!$F$2:$G$8,2,FALSE)</f>
        <v>Sunday</v>
      </c>
      <c r="M107" s="3">
        <v>40187</v>
      </c>
      <c r="N107" s="78">
        <f t="shared" si="20"/>
        <v>6</v>
      </c>
      <c r="O107" s="11">
        <v>0.17951027841966172</v>
      </c>
      <c r="P107" s="94">
        <f t="shared" si="28"/>
        <v>4</v>
      </c>
      <c r="Q107" s="94">
        <f t="shared" si="29"/>
        <v>18</v>
      </c>
      <c r="R107" s="94">
        <f t="shared" si="30"/>
        <v>30</v>
      </c>
      <c r="S107" s="94" t="str">
        <f>VLOOKUP(O107,'Lookup Values'!$I$2:$L$8,4,TRUE)</f>
        <v>Early Morning</v>
      </c>
      <c r="T107" t="s">
        <v>80</v>
      </c>
      <c r="U107" t="s">
        <v>105</v>
      </c>
      <c r="V107" t="str">
        <f t="shared" si="31"/>
        <v>Food: Coffee</v>
      </c>
      <c r="W107" t="s">
        <v>104</v>
      </c>
      <c r="X107" t="s">
        <v>91</v>
      </c>
      <c r="Y107" s="1">
        <v>358</v>
      </c>
      <c r="Z107" s="1" t="str">
        <f t="shared" si="32"/>
        <v>Food: $358.00</v>
      </c>
      <c r="AA107" s="1">
        <f>IF(Y107="","",ROUND(Y107*'Lookup Values'!$A$2,2))</f>
        <v>31.77</v>
      </c>
      <c r="AB107" s="12" t="str">
        <f t="shared" si="33"/>
        <v>Expense</v>
      </c>
      <c r="AC107" s="2" t="s">
        <v>268</v>
      </c>
      <c r="AD107" s="3">
        <f t="shared" si="34"/>
        <v>40181</v>
      </c>
      <c r="AE107" s="93" t="str">
        <f t="shared" si="35"/>
        <v>NO</v>
      </c>
      <c r="AF107" s="2" t="str">
        <f t="shared" si="36"/>
        <v>NO</v>
      </c>
      <c r="AG107" t="str">
        <f t="shared" si="37"/>
        <v>Late Transaction</v>
      </c>
    </row>
    <row r="108" spans="1:33" x14ac:dyDescent="0.25">
      <c r="A108" s="2">
        <v>107</v>
      </c>
      <c r="B108" s="3" t="str">
        <f t="shared" si="19"/>
        <v>120214-IN-EZE</v>
      </c>
      <c r="C108" s="3">
        <v>40953</v>
      </c>
      <c r="D108" s="3">
        <f t="shared" si="21"/>
        <v>40967</v>
      </c>
      <c r="E108" s="3">
        <f t="shared" si="22"/>
        <v>41013</v>
      </c>
      <c r="F108" s="3">
        <f t="shared" si="23"/>
        <v>40968</v>
      </c>
      <c r="G108" s="76">
        <f t="shared" si="24"/>
        <v>2012</v>
      </c>
      <c r="H108" s="76">
        <f t="shared" si="25"/>
        <v>2</v>
      </c>
      <c r="I108" s="76" t="str">
        <f>VLOOKUP(H108,'Lookup Values'!$C$2:$D$13,2,FALSE)</f>
        <v>FEB</v>
      </c>
      <c r="J108" s="76">
        <f t="shared" si="26"/>
        <v>14</v>
      </c>
      <c r="K108" s="76">
        <f t="shared" si="27"/>
        <v>3</v>
      </c>
      <c r="L108" s="76" t="str">
        <f>VLOOKUP(K108,'Lookup Values'!$F$2:$G$8,2,FALSE)</f>
        <v>Tuesday</v>
      </c>
      <c r="M108" s="3">
        <v>40963</v>
      </c>
      <c r="N108" s="78">
        <f t="shared" si="20"/>
        <v>10</v>
      </c>
      <c r="O108" s="11">
        <v>0.16724290110040962</v>
      </c>
      <c r="P108" s="94">
        <f t="shared" si="28"/>
        <v>4</v>
      </c>
      <c r="Q108" s="94">
        <f t="shared" si="29"/>
        <v>0</v>
      </c>
      <c r="R108" s="94">
        <f t="shared" si="30"/>
        <v>50</v>
      </c>
      <c r="S108" s="94" t="str">
        <f>VLOOKUP(O108,'Lookup Values'!$I$2:$L$8,4,TRUE)</f>
        <v>Early Morning</v>
      </c>
      <c r="T108" t="s">
        <v>158</v>
      </c>
      <c r="U108" t="s">
        <v>159</v>
      </c>
      <c r="V108" t="str">
        <f t="shared" si="31"/>
        <v>Income: Salary</v>
      </c>
      <c r="W108" t="s">
        <v>162</v>
      </c>
      <c r="X108" t="s">
        <v>91</v>
      </c>
      <c r="Y108" s="1">
        <v>32</v>
      </c>
      <c r="Z108" s="1" t="str">
        <f t="shared" si="32"/>
        <v>Income: $32.00</v>
      </c>
      <c r="AA108" s="1">
        <f>IF(Y108="","",ROUND(Y108*'Lookup Values'!$A$2,2))</f>
        <v>2.84</v>
      </c>
      <c r="AB108" s="12" t="str">
        <f t="shared" si="33"/>
        <v>Income</v>
      </c>
      <c r="AC108" s="2" t="s">
        <v>269</v>
      </c>
      <c r="AD108" s="3">
        <f t="shared" si="34"/>
        <v>40953</v>
      </c>
      <c r="AE108" s="93" t="str">
        <f t="shared" si="35"/>
        <v>NO</v>
      </c>
      <c r="AF108" s="2" t="str">
        <f t="shared" si="36"/>
        <v>NO</v>
      </c>
      <c r="AG108" t="str">
        <f t="shared" si="37"/>
        <v>CRAP Transaction</v>
      </c>
    </row>
    <row r="109" spans="1:33" x14ac:dyDescent="0.25">
      <c r="A109" s="2">
        <v>108</v>
      </c>
      <c r="B109" s="3" t="str">
        <f t="shared" si="19"/>
        <v>110314-EN-FAN</v>
      </c>
      <c r="C109" s="3">
        <v>40616</v>
      </c>
      <c r="D109" s="3">
        <f t="shared" si="21"/>
        <v>40630</v>
      </c>
      <c r="E109" s="3">
        <f t="shared" si="22"/>
        <v>40677</v>
      </c>
      <c r="F109" s="3">
        <f t="shared" si="23"/>
        <v>40633</v>
      </c>
      <c r="G109" s="76">
        <f t="shared" si="24"/>
        <v>2011</v>
      </c>
      <c r="H109" s="76">
        <f t="shared" si="25"/>
        <v>3</v>
      </c>
      <c r="I109" s="76" t="str">
        <f>VLOOKUP(H109,'Lookup Values'!$C$2:$D$13,2,FALSE)</f>
        <v>MAR</v>
      </c>
      <c r="J109" s="76">
        <f t="shared" si="26"/>
        <v>14</v>
      </c>
      <c r="K109" s="76">
        <f t="shared" si="27"/>
        <v>2</v>
      </c>
      <c r="L109" s="76" t="str">
        <f>VLOOKUP(K109,'Lookup Values'!$F$2:$G$8,2,FALSE)</f>
        <v>Monday</v>
      </c>
      <c r="M109" s="3">
        <v>40618</v>
      </c>
      <c r="N109" s="78">
        <f t="shared" si="20"/>
        <v>2</v>
      </c>
      <c r="O109" s="11">
        <v>0.22811667453690521</v>
      </c>
      <c r="P109" s="94">
        <f t="shared" si="28"/>
        <v>5</v>
      </c>
      <c r="Q109" s="94">
        <f t="shared" si="29"/>
        <v>28</v>
      </c>
      <c r="R109" s="94">
        <f t="shared" si="30"/>
        <v>29</v>
      </c>
      <c r="S109" s="94" t="str">
        <f>VLOOKUP(O109,'Lookup Values'!$I$2:$L$8,4,TRUE)</f>
        <v>Early Morning</v>
      </c>
      <c r="T109" t="s">
        <v>76</v>
      </c>
      <c r="U109" t="s">
        <v>90</v>
      </c>
      <c r="V109" t="str">
        <f t="shared" si="31"/>
        <v>Entertainment: Movies</v>
      </c>
      <c r="W109" t="s">
        <v>89</v>
      </c>
      <c r="X109" t="s">
        <v>88</v>
      </c>
      <c r="Y109" s="1">
        <v>333</v>
      </c>
      <c r="Z109" s="1" t="str">
        <f t="shared" si="32"/>
        <v>Entertainment: $333.00</v>
      </c>
      <c r="AA109" s="1">
        <f>IF(Y109="","",ROUND(Y109*'Lookup Values'!$A$2,2))</f>
        <v>29.55</v>
      </c>
      <c r="AB109" s="12" t="str">
        <f t="shared" si="33"/>
        <v>Expense</v>
      </c>
      <c r="AC109" s="2" t="s">
        <v>270</v>
      </c>
      <c r="AD109" s="3">
        <f t="shared" si="34"/>
        <v>40616</v>
      </c>
      <c r="AE109" s="93" t="str">
        <f t="shared" si="35"/>
        <v>NO</v>
      </c>
      <c r="AF109" s="2" t="str">
        <f t="shared" si="36"/>
        <v>NO</v>
      </c>
      <c r="AG109" t="str">
        <f t="shared" si="37"/>
        <v>CRAP Transaction</v>
      </c>
    </row>
    <row r="110" spans="1:33" x14ac:dyDescent="0.25">
      <c r="A110" s="2">
        <v>109</v>
      </c>
      <c r="B110" s="3" t="str">
        <f t="shared" si="19"/>
        <v>100223-EN-FAN</v>
      </c>
      <c r="C110" s="3">
        <v>40232</v>
      </c>
      <c r="D110" s="3">
        <f t="shared" si="21"/>
        <v>40246</v>
      </c>
      <c r="E110" s="3">
        <f t="shared" si="22"/>
        <v>40291</v>
      </c>
      <c r="F110" s="3">
        <f t="shared" si="23"/>
        <v>40237</v>
      </c>
      <c r="G110" s="76">
        <f t="shared" si="24"/>
        <v>2010</v>
      </c>
      <c r="H110" s="76">
        <f t="shared" si="25"/>
        <v>2</v>
      </c>
      <c r="I110" s="76" t="str">
        <f>VLOOKUP(H110,'Lookup Values'!$C$2:$D$13,2,FALSE)</f>
        <v>FEB</v>
      </c>
      <c r="J110" s="76">
        <f t="shared" si="26"/>
        <v>23</v>
      </c>
      <c r="K110" s="76">
        <f t="shared" si="27"/>
        <v>3</v>
      </c>
      <c r="L110" s="76" t="str">
        <f>VLOOKUP(K110,'Lookup Values'!$F$2:$G$8,2,FALSE)</f>
        <v>Tuesday</v>
      </c>
      <c r="M110" s="3">
        <v>40238</v>
      </c>
      <c r="N110" s="78">
        <f t="shared" si="20"/>
        <v>6</v>
      </c>
      <c r="O110" s="11">
        <v>0.608104015633955</v>
      </c>
      <c r="P110" s="94">
        <f t="shared" si="28"/>
        <v>14</v>
      </c>
      <c r="Q110" s="94">
        <f t="shared" si="29"/>
        <v>35</v>
      </c>
      <c r="R110" s="94">
        <f t="shared" si="30"/>
        <v>40</v>
      </c>
      <c r="S110" s="94" t="str">
        <f>VLOOKUP(O110,'Lookup Values'!$I$2:$L$8,4,TRUE)</f>
        <v>Afternoon</v>
      </c>
      <c r="T110" t="s">
        <v>76</v>
      </c>
      <c r="U110" t="s">
        <v>90</v>
      </c>
      <c r="V110" t="str">
        <f t="shared" si="31"/>
        <v>Entertainment: Movies</v>
      </c>
      <c r="W110" t="s">
        <v>89</v>
      </c>
      <c r="X110" t="s">
        <v>91</v>
      </c>
      <c r="Y110" s="1">
        <v>345</v>
      </c>
      <c r="Z110" s="1" t="str">
        <f t="shared" si="32"/>
        <v>Entertainment: $345.00</v>
      </c>
      <c r="AA110" s="1">
        <f>IF(Y110="","",ROUND(Y110*'Lookup Values'!$A$2,2))</f>
        <v>30.62</v>
      </c>
      <c r="AB110" s="12" t="str">
        <f t="shared" si="33"/>
        <v>Expense</v>
      </c>
      <c r="AC110" s="2" t="s">
        <v>271</v>
      </c>
      <c r="AD110" s="3">
        <f t="shared" si="34"/>
        <v>40232</v>
      </c>
      <c r="AE110" s="93" t="str">
        <f t="shared" si="35"/>
        <v>NO</v>
      </c>
      <c r="AF110" s="2" t="str">
        <f t="shared" si="36"/>
        <v>NO</v>
      </c>
      <c r="AG110" t="str">
        <f t="shared" si="37"/>
        <v>Late Transaction</v>
      </c>
    </row>
    <row r="111" spans="1:33" x14ac:dyDescent="0.25">
      <c r="A111" s="2">
        <v>110</v>
      </c>
      <c r="B111" s="3" t="str">
        <f t="shared" si="19"/>
        <v>110228-IN-LEG</v>
      </c>
      <c r="C111" s="3">
        <v>40602</v>
      </c>
      <c r="D111" s="3">
        <f t="shared" si="21"/>
        <v>40616</v>
      </c>
      <c r="E111" s="3">
        <f t="shared" si="22"/>
        <v>40661</v>
      </c>
      <c r="F111" s="3">
        <f t="shared" si="23"/>
        <v>40602</v>
      </c>
      <c r="G111" s="76">
        <f t="shared" si="24"/>
        <v>2011</v>
      </c>
      <c r="H111" s="76">
        <f t="shared" si="25"/>
        <v>2</v>
      </c>
      <c r="I111" s="76" t="str">
        <f>VLOOKUP(H111,'Lookup Values'!$C$2:$D$13,2,FALSE)</f>
        <v>FEB</v>
      </c>
      <c r="J111" s="76">
        <f t="shared" si="26"/>
        <v>28</v>
      </c>
      <c r="K111" s="76">
        <f t="shared" si="27"/>
        <v>2</v>
      </c>
      <c r="L111" s="76" t="str">
        <f>VLOOKUP(K111,'Lookup Values'!$F$2:$G$8,2,FALSE)</f>
        <v>Monday</v>
      </c>
      <c r="M111" s="3">
        <v>40609</v>
      </c>
      <c r="N111" s="78">
        <f t="shared" si="20"/>
        <v>7</v>
      </c>
      <c r="O111" s="11">
        <v>0.4172550395646446</v>
      </c>
      <c r="P111" s="94">
        <f t="shared" si="28"/>
        <v>10</v>
      </c>
      <c r="Q111" s="94">
        <f t="shared" si="29"/>
        <v>0</v>
      </c>
      <c r="R111" s="94">
        <f t="shared" si="30"/>
        <v>51</v>
      </c>
      <c r="S111" s="94" t="str">
        <f>VLOOKUP(O111,'Lookup Values'!$I$2:$L$8,4,TRUE)</f>
        <v>Late Morning</v>
      </c>
      <c r="T111" t="s">
        <v>158</v>
      </c>
      <c r="U111" t="s">
        <v>160</v>
      </c>
      <c r="V111" t="str">
        <f t="shared" si="31"/>
        <v>Income: Freelance Project</v>
      </c>
      <c r="W111" t="s">
        <v>163</v>
      </c>
      <c r="X111" t="s">
        <v>88</v>
      </c>
      <c r="Y111" s="1">
        <v>13</v>
      </c>
      <c r="Z111" s="1" t="str">
        <f t="shared" si="32"/>
        <v>Income: $13.00</v>
      </c>
      <c r="AA111" s="1">
        <f>IF(Y111="","",ROUND(Y111*'Lookup Values'!$A$2,2))</f>
        <v>1.1499999999999999</v>
      </c>
      <c r="AB111" s="12" t="str">
        <f t="shared" si="33"/>
        <v>Income</v>
      </c>
      <c r="AC111" s="2" t="s">
        <v>272</v>
      </c>
      <c r="AD111" s="3">
        <f t="shared" si="34"/>
        <v>40602</v>
      </c>
      <c r="AE111" s="93" t="str">
        <f t="shared" si="35"/>
        <v>NO</v>
      </c>
      <c r="AF111" s="2" t="str">
        <f t="shared" si="36"/>
        <v>NO</v>
      </c>
      <c r="AG111" t="str">
        <f t="shared" si="37"/>
        <v>CRAP Transaction</v>
      </c>
    </row>
    <row r="112" spans="1:33" x14ac:dyDescent="0.25">
      <c r="A112" s="2">
        <v>111</v>
      </c>
      <c r="B112" s="3" t="str">
        <f t="shared" si="19"/>
        <v>120316-IN-LEG</v>
      </c>
      <c r="C112" s="3">
        <v>40984</v>
      </c>
      <c r="D112" s="3">
        <f t="shared" si="21"/>
        <v>40998</v>
      </c>
      <c r="E112" s="3">
        <f t="shared" si="22"/>
        <v>41045</v>
      </c>
      <c r="F112" s="3">
        <f t="shared" si="23"/>
        <v>40999</v>
      </c>
      <c r="G112" s="76">
        <f t="shared" si="24"/>
        <v>2012</v>
      </c>
      <c r="H112" s="76">
        <f t="shared" si="25"/>
        <v>3</v>
      </c>
      <c r="I112" s="76" t="str">
        <f>VLOOKUP(H112,'Lookup Values'!$C$2:$D$13,2,FALSE)</f>
        <v>MAR</v>
      </c>
      <c r="J112" s="76">
        <f t="shared" si="26"/>
        <v>16</v>
      </c>
      <c r="K112" s="76">
        <f t="shared" si="27"/>
        <v>6</v>
      </c>
      <c r="L112" s="76" t="str">
        <f>VLOOKUP(K112,'Lookup Values'!$F$2:$G$8,2,FALSE)</f>
        <v>Friday</v>
      </c>
      <c r="M112" s="3">
        <v>40994</v>
      </c>
      <c r="N112" s="78">
        <f t="shared" si="20"/>
        <v>10</v>
      </c>
      <c r="O112" s="11">
        <v>0.25594233527352273</v>
      </c>
      <c r="P112" s="94">
        <f t="shared" si="28"/>
        <v>6</v>
      </c>
      <c r="Q112" s="94">
        <f t="shared" si="29"/>
        <v>8</v>
      </c>
      <c r="R112" s="94">
        <f t="shared" si="30"/>
        <v>33</v>
      </c>
      <c r="S112" s="94" t="str">
        <f>VLOOKUP(O112,'Lookup Values'!$I$2:$L$8,4,TRUE)</f>
        <v>Early Morning</v>
      </c>
      <c r="T112" t="s">
        <v>158</v>
      </c>
      <c r="U112" t="s">
        <v>160</v>
      </c>
      <c r="V112" t="str">
        <f t="shared" si="31"/>
        <v>Income: Freelance Project</v>
      </c>
      <c r="W112" t="s">
        <v>163</v>
      </c>
      <c r="X112" t="s">
        <v>91</v>
      </c>
      <c r="Y112" s="1">
        <v>499</v>
      </c>
      <c r="Z112" s="1" t="str">
        <f t="shared" si="32"/>
        <v>Income: $499.00</v>
      </c>
      <c r="AA112" s="1">
        <f>IF(Y112="","",ROUND(Y112*'Lookup Values'!$A$2,2))</f>
        <v>44.29</v>
      </c>
      <c r="AB112" s="12" t="str">
        <f t="shared" si="33"/>
        <v>Income</v>
      </c>
      <c r="AC112" s="2" t="s">
        <v>273</v>
      </c>
      <c r="AD112" s="3">
        <f t="shared" si="34"/>
        <v>40984</v>
      </c>
      <c r="AE112" s="93" t="str">
        <f t="shared" si="35"/>
        <v>NO</v>
      </c>
      <c r="AF112" s="2" t="str">
        <f t="shared" si="36"/>
        <v>NO</v>
      </c>
      <c r="AG112" t="str">
        <f t="shared" si="37"/>
        <v>CRAP Transaction</v>
      </c>
    </row>
    <row r="113" spans="1:33" x14ac:dyDescent="0.25">
      <c r="A113" s="2">
        <v>112</v>
      </c>
      <c r="B113" s="3" t="str">
        <f t="shared" si="19"/>
        <v>091221-SH-AMA</v>
      </c>
      <c r="C113" s="3">
        <v>40168</v>
      </c>
      <c r="D113" s="3">
        <f t="shared" si="21"/>
        <v>40182</v>
      </c>
      <c r="E113" s="3">
        <f t="shared" si="22"/>
        <v>40230</v>
      </c>
      <c r="F113" s="3">
        <f t="shared" si="23"/>
        <v>40178</v>
      </c>
      <c r="G113" s="76">
        <f t="shared" si="24"/>
        <v>2009</v>
      </c>
      <c r="H113" s="76">
        <f t="shared" si="25"/>
        <v>12</v>
      </c>
      <c r="I113" s="76" t="str">
        <f>VLOOKUP(H113,'Lookup Values'!$C$2:$D$13,2,FALSE)</f>
        <v>DEC</v>
      </c>
      <c r="J113" s="76">
        <f t="shared" si="26"/>
        <v>21</v>
      </c>
      <c r="K113" s="76">
        <f t="shared" si="27"/>
        <v>2</v>
      </c>
      <c r="L113" s="76" t="str">
        <f>VLOOKUP(K113,'Lookup Values'!$F$2:$G$8,2,FALSE)</f>
        <v>Monday</v>
      </c>
      <c r="M113" s="3">
        <v>40173</v>
      </c>
      <c r="N113" s="78">
        <f t="shared" si="20"/>
        <v>5</v>
      </c>
      <c r="O113" s="11">
        <v>0.19230255175156719</v>
      </c>
      <c r="P113" s="94">
        <f t="shared" si="28"/>
        <v>4</v>
      </c>
      <c r="Q113" s="94">
        <f t="shared" si="29"/>
        <v>36</v>
      </c>
      <c r="R113" s="94">
        <f t="shared" si="30"/>
        <v>55</v>
      </c>
      <c r="S113" s="94" t="str">
        <f>VLOOKUP(O113,'Lookup Values'!$I$2:$L$8,4,TRUE)</f>
        <v>Early Morning</v>
      </c>
      <c r="T113" t="s">
        <v>83</v>
      </c>
      <c r="U113" t="s">
        <v>84</v>
      </c>
      <c r="V113" t="str">
        <f t="shared" si="31"/>
        <v>Shopping: Electronics</v>
      </c>
      <c r="W113" t="s">
        <v>82</v>
      </c>
      <c r="X113" t="s">
        <v>78</v>
      </c>
      <c r="Y113" s="1">
        <v>327</v>
      </c>
      <c r="Z113" s="1" t="str">
        <f t="shared" si="32"/>
        <v>Shopping: $327.00</v>
      </c>
      <c r="AA113" s="1">
        <f>IF(Y113="","",ROUND(Y113*'Lookup Values'!$A$2,2))</f>
        <v>29.02</v>
      </c>
      <c r="AB113" s="12" t="str">
        <f t="shared" si="33"/>
        <v>Expense</v>
      </c>
      <c r="AC113" s="2" t="s">
        <v>274</v>
      </c>
      <c r="AD113" s="3">
        <f t="shared" si="34"/>
        <v>40168</v>
      </c>
      <c r="AE113" s="93" t="str">
        <f t="shared" si="35"/>
        <v>YES</v>
      </c>
      <c r="AF113" s="2" t="str">
        <f t="shared" si="36"/>
        <v>NO</v>
      </c>
      <c r="AG113" t="str">
        <f t="shared" si="37"/>
        <v>Awesome Transaction</v>
      </c>
    </row>
    <row r="114" spans="1:33" x14ac:dyDescent="0.25">
      <c r="A114" s="2">
        <v>113</v>
      </c>
      <c r="B114" s="3" t="str">
        <f t="shared" si="19"/>
        <v>110501-SH-AMA</v>
      </c>
      <c r="C114" s="3">
        <v>40664</v>
      </c>
      <c r="D114" s="3">
        <f t="shared" si="21"/>
        <v>40676</v>
      </c>
      <c r="E114" s="3">
        <f t="shared" si="22"/>
        <v>40725</v>
      </c>
      <c r="F114" s="3">
        <f t="shared" si="23"/>
        <v>40694</v>
      </c>
      <c r="G114" s="76">
        <f t="shared" si="24"/>
        <v>2011</v>
      </c>
      <c r="H114" s="76">
        <f t="shared" si="25"/>
        <v>5</v>
      </c>
      <c r="I114" s="76" t="str">
        <f>VLOOKUP(H114,'Lookup Values'!$C$2:$D$13,2,FALSE)</f>
        <v>MAY</v>
      </c>
      <c r="J114" s="76">
        <f t="shared" si="26"/>
        <v>1</v>
      </c>
      <c r="K114" s="76">
        <f t="shared" si="27"/>
        <v>1</v>
      </c>
      <c r="L114" s="76" t="str">
        <f>VLOOKUP(K114,'Lookup Values'!$F$2:$G$8,2,FALSE)</f>
        <v>Sunday</v>
      </c>
      <c r="M114" s="3">
        <v>40670</v>
      </c>
      <c r="N114" s="78">
        <f t="shared" si="20"/>
        <v>6</v>
      </c>
      <c r="O114" s="11">
        <v>0.30900670319487</v>
      </c>
      <c r="P114" s="94">
        <f t="shared" si="28"/>
        <v>7</v>
      </c>
      <c r="Q114" s="94">
        <f t="shared" si="29"/>
        <v>24</v>
      </c>
      <c r="R114" s="94">
        <f t="shared" si="30"/>
        <v>58</v>
      </c>
      <c r="S114" s="94" t="str">
        <f>VLOOKUP(O114,'Lookup Values'!$I$2:$L$8,4,TRUE)</f>
        <v>Morning</v>
      </c>
      <c r="T114" t="s">
        <v>83</v>
      </c>
      <c r="U114" t="s">
        <v>84</v>
      </c>
      <c r="V114" t="str">
        <f t="shared" si="31"/>
        <v>Shopping: Electronics</v>
      </c>
      <c r="W114" t="s">
        <v>82</v>
      </c>
      <c r="X114" t="s">
        <v>78</v>
      </c>
      <c r="Y114" s="1">
        <v>245</v>
      </c>
      <c r="Z114" s="1" t="str">
        <f t="shared" si="32"/>
        <v>Shopping: $245.00</v>
      </c>
      <c r="AA114" s="1">
        <f>IF(Y114="","",ROUND(Y114*'Lookup Values'!$A$2,2))</f>
        <v>21.74</v>
      </c>
      <c r="AB114" s="12" t="str">
        <f t="shared" si="33"/>
        <v>Expense</v>
      </c>
      <c r="AC114" s="2" t="s">
        <v>275</v>
      </c>
      <c r="AD114" s="3">
        <f t="shared" si="34"/>
        <v>40664</v>
      </c>
      <c r="AE114" s="93" t="str">
        <f t="shared" si="35"/>
        <v>YES</v>
      </c>
      <c r="AF114" s="2" t="str">
        <f t="shared" si="36"/>
        <v>NO</v>
      </c>
      <c r="AG114" t="str">
        <f t="shared" si="37"/>
        <v>CRAP Transaction</v>
      </c>
    </row>
    <row r="115" spans="1:33" x14ac:dyDescent="0.25">
      <c r="A115" s="2">
        <v>114</v>
      </c>
      <c r="B115" s="3" t="str">
        <f t="shared" si="19"/>
        <v>070709-EN-MOE</v>
      </c>
      <c r="C115" s="3">
        <v>39272</v>
      </c>
      <c r="D115" s="3">
        <f t="shared" si="21"/>
        <v>39286</v>
      </c>
      <c r="E115" s="3">
        <f t="shared" si="22"/>
        <v>39334</v>
      </c>
      <c r="F115" s="3">
        <f t="shared" si="23"/>
        <v>39294</v>
      </c>
      <c r="G115" s="76">
        <f t="shared" si="24"/>
        <v>2007</v>
      </c>
      <c r="H115" s="76">
        <f t="shared" si="25"/>
        <v>7</v>
      </c>
      <c r="I115" s="76" t="str">
        <f>VLOOKUP(H115,'Lookup Values'!$C$2:$D$13,2,FALSE)</f>
        <v>JUL</v>
      </c>
      <c r="J115" s="76">
        <f t="shared" si="26"/>
        <v>9</v>
      </c>
      <c r="K115" s="76">
        <f t="shared" si="27"/>
        <v>2</v>
      </c>
      <c r="L115" s="76" t="str">
        <f>VLOOKUP(K115,'Lookup Values'!$F$2:$G$8,2,FALSE)</f>
        <v>Monday</v>
      </c>
      <c r="M115" s="3">
        <v>39279</v>
      </c>
      <c r="N115" s="78">
        <f t="shared" si="20"/>
        <v>7</v>
      </c>
      <c r="O115" s="11">
        <v>0.49902885371584582</v>
      </c>
      <c r="P115" s="94">
        <f t="shared" si="28"/>
        <v>11</v>
      </c>
      <c r="Q115" s="94">
        <f t="shared" si="29"/>
        <v>58</v>
      </c>
      <c r="R115" s="94">
        <f t="shared" si="30"/>
        <v>36</v>
      </c>
      <c r="S115" s="94" t="str">
        <f>VLOOKUP(O115,'Lookup Values'!$I$2:$L$8,4,TRUE)</f>
        <v>Late Morning</v>
      </c>
      <c r="T115" t="s">
        <v>76</v>
      </c>
      <c r="U115" t="s">
        <v>77</v>
      </c>
      <c r="V115" t="str">
        <f t="shared" si="31"/>
        <v>Entertainment: Alcohol</v>
      </c>
      <c r="W115" t="s">
        <v>75</v>
      </c>
      <c r="X115" t="s">
        <v>88</v>
      </c>
      <c r="Y115" s="1">
        <v>23</v>
      </c>
      <c r="Z115" s="1" t="str">
        <f t="shared" si="32"/>
        <v>Entertainment: $23.00</v>
      </c>
      <c r="AA115" s="1">
        <f>IF(Y115="","",ROUND(Y115*'Lookup Values'!$A$2,2))</f>
        <v>2.04</v>
      </c>
      <c r="AB115" s="12" t="str">
        <f t="shared" si="33"/>
        <v>Expense</v>
      </c>
      <c r="AC115" s="2" t="s">
        <v>276</v>
      </c>
      <c r="AD115" s="3">
        <f t="shared" si="34"/>
        <v>39272</v>
      </c>
      <c r="AE115" s="93" t="str">
        <f t="shared" si="35"/>
        <v>NO</v>
      </c>
      <c r="AF115" s="2" t="str">
        <f t="shared" si="36"/>
        <v>NO</v>
      </c>
      <c r="AG115" t="str">
        <f t="shared" si="37"/>
        <v>Awesome Transaction</v>
      </c>
    </row>
    <row r="116" spans="1:33" x14ac:dyDescent="0.25">
      <c r="A116" s="2">
        <v>115</v>
      </c>
      <c r="B116" s="3" t="str">
        <f t="shared" si="19"/>
        <v>090806-EN-MOE</v>
      </c>
      <c r="C116" s="3">
        <v>40031</v>
      </c>
      <c r="D116" s="3">
        <f t="shared" si="21"/>
        <v>40045</v>
      </c>
      <c r="E116" s="3">
        <f t="shared" si="22"/>
        <v>40092</v>
      </c>
      <c r="F116" s="3">
        <f t="shared" si="23"/>
        <v>40056</v>
      </c>
      <c r="G116" s="76">
        <f t="shared" si="24"/>
        <v>2009</v>
      </c>
      <c r="H116" s="76">
        <f t="shared" si="25"/>
        <v>8</v>
      </c>
      <c r="I116" s="76" t="str">
        <f>VLOOKUP(H116,'Lookup Values'!$C$2:$D$13,2,FALSE)</f>
        <v>AUG</v>
      </c>
      <c r="J116" s="76">
        <f t="shared" si="26"/>
        <v>6</v>
      </c>
      <c r="K116" s="76">
        <f t="shared" si="27"/>
        <v>5</v>
      </c>
      <c r="L116" s="76" t="str">
        <f>VLOOKUP(K116,'Lookup Values'!$F$2:$G$8,2,FALSE)</f>
        <v>Thursday</v>
      </c>
      <c r="M116" s="3">
        <v>40032</v>
      </c>
      <c r="N116" s="78">
        <f t="shared" si="20"/>
        <v>1</v>
      </c>
      <c r="O116" s="11">
        <v>0.71048308998222265</v>
      </c>
      <c r="P116" s="94">
        <f t="shared" si="28"/>
        <v>17</v>
      </c>
      <c r="Q116" s="94">
        <f t="shared" si="29"/>
        <v>3</v>
      </c>
      <c r="R116" s="94">
        <f t="shared" si="30"/>
        <v>6</v>
      </c>
      <c r="S116" s="94" t="str">
        <f>VLOOKUP(O116,'Lookup Values'!$I$2:$L$8,4,TRUE)</f>
        <v>Evening</v>
      </c>
      <c r="T116" t="s">
        <v>76</v>
      </c>
      <c r="U116" t="s">
        <v>77</v>
      </c>
      <c r="V116" t="str">
        <f t="shared" si="31"/>
        <v>Entertainment: Alcohol</v>
      </c>
      <c r="W116" t="s">
        <v>75</v>
      </c>
      <c r="X116" t="s">
        <v>78</v>
      </c>
      <c r="Y116" s="1">
        <v>392</v>
      </c>
      <c r="Z116" s="1" t="str">
        <f t="shared" si="32"/>
        <v>Entertainment: $392.00</v>
      </c>
      <c r="AA116" s="1">
        <f>IF(Y116="","",ROUND(Y116*'Lookup Values'!$A$2,2))</f>
        <v>34.79</v>
      </c>
      <c r="AB116" s="12" t="str">
        <f t="shared" si="33"/>
        <v>Expense</v>
      </c>
      <c r="AC116" s="2" t="s">
        <v>231</v>
      </c>
      <c r="AD116" s="3">
        <f t="shared" si="34"/>
        <v>40031</v>
      </c>
      <c r="AE116" s="93" t="str">
        <f t="shared" si="35"/>
        <v>NO</v>
      </c>
      <c r="AF116" s="2" t="str">
        <f t="shared" si="36"/>
        <v>NO</v>
      </c>
      <c r="AG116" t="str">
        <f t="shared" si="37"/>
        <v>Awesome Transaction</v>
      </c>
    </row>
    <row r="117" spans="1:33" x14ac:dyDescent="0.25">
      <c r="A117" s="2">
        <v>116</v>
      </c>
      <c r="B117" s="3" t="str">
        <f t="shared" si="19"/>
        <v>120430-FO-TRA</v>
      </c>
      <c r="C117" s="3">
        <v>41029</v>
      </c>
      <c r="D117" s="3">
        <f t="shared" si="21"/>
        <v>41043</v>
      </c>
      <c r="E117" s="3">
        <f t="shared" si="22"/>
        <v>41090</v>
      </c>
      <c r="F117" s="3">
        <f t="shared" si="23"/>
        <v>41029</v>
      </c>
      <c r="G117" s="76">
        <f t="shared" si="24"/>
        <v>2012</v>
      </c>
      <c r="H117" s="76">
        <f t="shared" si="25"/>
        <v>4</v>
      </c>
      <c r="I117" s="76" t="str">
        <f>VLOOKUP(H117,'Lookup Values'!$C$2:$D$13,2,FALSE)</f>
        <v>APR</v>
      </c>
      <c r="J117" s="76">
        <f t="shared" si="26"/>
        <v>30</v>
      </c>
      <c r="K117" s="76">
        <f t="shared" si="27"/>
        <v>2</v>
      </c>
      <c r="L117" s="76" t="str">
        <f>VLOOKUP(K117,'Lookup Values'!$F$2:$G$8,2,FALSE)</f>
        <v>Monday</v>
      </c>
      <c r="M117" s="3">
        <v>41038</v>
      </c>
      <c r="N117" s="78">
        <f t="shared" si="20"/>
        <v>9</v>
      </c>
      <c r="O117" s="11">
        <v>0.56127433662677551</v>
      </c>
      <c r="P117" s="94">
        <f t="shared" si="28"/>
        <v>13</v>
      </c>
      <c r="Q117" s="94">
        <f t="shared" si="29"/>
        <v>28</v>
      </c>
      <c r="R117" s="94">
        <f t="shared" si="30"/>
        <v>14</v>
      </c>
      <c r="S117" s="94" t="str">
        <f>VLOOKUP(O117,'Lookup Values'!$I$2:$L$8,4,TRUE)</f>
        <v>Afternoon</v>
      </c>
      <c r="T117" t="s">
        <v>80</v>
      </c>
      <c r="U117" t="s">
        <v>93</v>
      </c>
      <c r="V117" t="str">
        <f t="shared" si="31"/>
        <v>Food: Groceries</v>
      </c>
      <c r="W117" t="s">
        <v>92</v>
      </c>
      <c r="X117" t="s">
        <v>91</v>
      </c>
      <c r="Y117" s="1">
        <v>81</v>
      </c>
      <c r="Z117" s="1" t="str">
        <f t="shared" si="32"/>
        <v>Food: $81.00</v>
      </c>
      <c r="AA117" s="1">
        <f>IF(Y117="","",ROUND(Y117*'Lookup Values'!$A$2,2))</f>
        <v>7.19</v>
      </c>
      <c r="AB117" s="12" t="str">
        <f t="shared" si="33"/>
        <v>Expense</v>
      </c>
      <c r="AC117" s="2" t="s">
        <v>277</v>
      </c>
      <c r="AD117" s="3">
        <f t="shared" si="34"/>
        <v>41029</v>
      </c>
      <c r="AE117" s="93" t="str">
        <f t="shared" si="35"/>
        <v>NO</v>
      </c>
      <c r="AF117" s="2" t="str">
        <f t="shared" si="36"/>
        <v>NO</v>
      </c>
      <c r="AG117" t="str">
        <f t="shared" si="37"/>
        <v>CRAP Transaction</v>
      </c>
    </row>
    <row r="118" spans="1:33" x14ac:dyDescent="0.25">
      <c r="A118" s="2">
        <v>117</v>
      </c>
      <c r="B118" s="3" t="str">
        <f t="shared" si="19"/>
        <v>081115-EN-MOE</v>
      </c>
      <c r="C118" s="3">
        <v>39767</v>
      </c>
      <c r="D118" s="3">
        <f t="shared" si="21"/>
        <v>39780</v>
      </c>
      <c r="E118" s="3">
        <f t="shared" si="22"/>
        <v>39828</v>
      </c>
      <c r="F118" s="3">
        <f t="shared" si="23"/>
        <v>39782</v>
      </c>
      <c r="G118" s="76">
        <f t="shared" si="24"/>
        <v>2008</v>
      </c>
      <c r="H118" s="76">
        <f t="shared" si="25"/>
        <v>11</v>
      </c>
      <c r="I118" s="76" t="str">
        <f>VLOOKUP(H118,'Lookup Values'!$C$2:$D$13,2,FALSE)</f>
        <v>NOV</v>
      </c>
      <c r="J118" s="76">
        <f t="shared" si="26"/>
        <v>15</v>
      </c>
      <c r="K118" s="76">
        <f t="shared" si="27"/>
        <v>7</v>
      </c>
      <c r="L118" s="76" t="str">
        <f>VLOOKUP(K118,'Lookup Values'!$F$2:$G$8,2,FALSE)</f>
        <v>Saturday</v>
      </c>
      <c r="M118" s="3">
        <v>39773</v>
      </c>
      <c r="N118" s="78">
        <f t="shared" si="20"/>
        <v>6</v>
      </c>
      <c r="O118" s="11">
        <v>0.68163493744137305</v>
      </c>
      <c r="P118" s="94">
        <f t="shared" si="28"/>
        <v>16</v>
      </c>
      <c r="Q118" s="94">
        <f t="shared" si="29"/>
        <v>21</v>
      </c>
      <c r="R118" s="94">
        <f t="shared" si="30"/>
        <v>33</v>
      </c>
      <c r="S118" s="94" t="str">
        <f>VLOOKUP(O118,'Lookup Values'!$I$2:$L$8,4,TRUE)</f>
        <v>Afternoon</v>
      </c>
      <c r="T118" t="s">
        <v>76</v>
      </c>
      <c r="U118" t="s">
        <v>77</v>
      </c>
      <c r="V118" t="str">
        <f t="shared" si="31"/>
        <v>Entertainment: Alcohol</v>
      </c>
      <c r="W118" t="s">
        <v>75</v>
      </c>
      <c r="X118" t="s">
        <v>88</v>
      </c>
      <c r="Y118" s="1">
        <v>484</v>
      </c>
      <c r="Z118" s="1" t="str">
        <f t="shared" si="32"/>
        <v>Entertainment: $484.00</v>
      </c>
      <c r="AA118" s="1">
        <f>IF(Y118="","",ROUND(Y118*'Lookup Values'!$A$2,2))</f>
        <v>42.96</v>
      </c>
      <c r="AB118" s="12" t="str">
        <f t="shared" si="33"/>
        <v>Expense</v>
      </c>
      <c r="AC118" s="2" t="s">
        <v>278</v>
      </c>
      <c r="AD118" s="3">
        <f t="shared" si="34"/>
        <v>39767</v>
      </c>
      <c r="AE118" s="93" t="str">
        <f t="shared" si="35"/>
        <v>NO</v>
      </c>
      <c r="AF118" s="2" t="str">
        <f t="shared" si="36"/>
        <v>NO</v>
      </c>
      <c r="AG118" t="str">
        <f t="shared" si="37"/>
        <v>Awesome Transaction</v>
      </c>
    </row>
    <row r="119" spans="1:33" x14ac:dyDescent="0.25">
      <c r="A119" s="2">
        <v>118</v>
      </c>
      <c r="B119" s="3" t="str">
        <f t="shared" si="19"/>
        <v>070413-BI-CON</v>
      </c>
      <c r="C119" s="3">
        <v>39185</v>
      </c>
      <c r="D119" s="3">
        <f t="shared" si="21"/>
        <v>39199</v>
      </c>
      <c r="E119" s="3">
        <f t="shared" si="22"/>
        <v>39246</v>
      </c>
      <c r="F119" s="3">
        <f t="shared" si="23"/>
        <v>39202</v>
      </c>
      <c r="G119" s="76">
        <f t="shared" si="24"/>
        <v>2007</v>
      </c>
      <c r="H119" s="76">
        <f t="shared" si="25"/>
        <v>4</v>
      </c>
      <c r="I119" s="76" t="str">
        <f>VLOOKUP(H119,'Lookup Values'!$C$2:$D$13,2,FALSE)</f>
        <v>APR</v>
      </c>
      <c r="J119" s="76">
        <f t="shared" si="26"/>
        <v>13</v>
      </c>
      <c r="K119" s="76">
        <f t="shared" si="27"/>
        <v>6</v>
      </c>
      <c r="L119" s="76" t="str">
        <f>VLOOKUP(K119,'Lookup Values'!$F$2:$G$8,2,FALSE)</f>
        <v>Friday</v>
      </c>
      <c r="M119" s="3">
        <v>39191</v>
      </c>
      <c r="N119" s="78">
        <f t="shared" si="20"/>
        <v>6</v>
      </c>
      <c r="O119" s="11">
        <v>0.15695401651246565</v>
      </c>
      <c r="P119" s="94">
        <f t="shared" si="28"/>
        <v>3</v>
      </c>
      <c r="Q119" s="94">
        <f t="shared" si="29"/>
        <v>46</v>
      </c>
      <c r="R119" s="94">
        <f t="shared" si="30"/>
        <v>1</v>
      </c>
      <c r="S119" s="94" t="str">
        <f>VLOOKUP(O119,'Lookup Values'!$I$2:$L$8,4,TRUE)</f>
        <v>Dead of Night</v>
      </c>
      <c r="T119" t="s">
        <v>110</v>
      </c>
      <c r="U119" t="s">
        <v>111</v>
      </c>
      <c r="V119" t="str">
        <f t="shared" si="31"/>
        <v>Bills: Utilities</v>
      </c>
      <c r="W119" t="s">
        <v>109</v>
      </c>
      <c r="X119" t="s">
        <v>91</v>
      </c>
      <c r="Y119" s="1">
        <v>387</v>
      </c>
      <c r="Z119" s="1" t="str">
        <f t="shared" si="32"/>
        <v>Bills: $387.00</v>
      </c>
      <c r="AA119" s="1">
        <f>IF(Y119="","",ROUND(Y119*'Lookup Values'!$A$2,2))</f>
        <v>34.35</v>
      </c>
      <c r="AB119" s="12" t="str">
        <f t="shared" si="33"/>
        <v>Expense</v>
      </c>
      <c r="AC119" s="2" t="s">
        <v>279</v>
      </c>
      <c r="AD119" s="3">
        <f t="shared" si="34"/>
        <v>39185</v>
      </c>
      <c r="AE119" s="93" t="str">
        <f t="shared" si="35"/>
        <v>NO</v>
      </c>
      <c r="AF119" s="2" t="str">
        <f t="shared" si="36"/>
        <v>NO</v>
      </c>
      <c r="AG119" t="str">
        <f t="shared" si="37"/>
        <v>Late Transaction</v>
      </c>
    </row>
    <row r="120" spans="1:33" x14ac:dyDescent="0.25">
      <c r="A120" s="2">
        <v>119</v>
      </c>
      <c r="B120" s="3" t="str">
        <f t="shared" si="19"/>
        <v>090516-HE-FRE</v>
      </c>
      <c r="C120" s="3">
        <v>39949</v>
      </c>
      <c r="D120" s="3">
        <f t="shared" si="21"/>
        <v>39962</v>
      </c>
      <c r="E120" s="3">
        <f t="shared" si="22"/>
        <v>40010</v>
      </c>
      <c r="F120" s="3">
        <f t="shared" si="23"/>
        <v>39964</v>
      </c>
      <c r="G120" s="76">
        <f t="shared" si="24"/>
        <v>2009</v>
      </c>
      <c r="H120" s="76">
        <f t="shared" si="25"/>
        <v>5</v>
      </c>
      <c r="I120" s="76" t="str">
        <f>VLOOKUP(H120,'Lookup Values'!$C$2:$D$13,2,FALSE)</f>
        <v>MAY</v>
      </c>
      <c r="J120" s="76">
        <f t="shared" si="26"/>
        <v>16</v>
      </c>
      <c r="K120" s="76">
        <f t="shared" si="27"/>
        <v>7</v>
      </c>
      <c r="L120" s="76" t="str">
        <f>VLOOKUP(K120,'Lookup Values'!$F$2:$G$8,2,FALSE)</f>
        <v>Saturday</v>
      </c>
      <c r="M120" s="3">
        <v>39958</v>
      </c>
      <c r="N120" s="78">
        <f t="shared" si="20"/>
        <v>9</v>
      </c>
      <c r="O120" s="11">
        <v>0.84872873829309048</v>
      </c>
      <c r="P120" s="94">
        <f t="shared" si="28"/>
        <v>20</v>
      </c>
      <c r="Q120" s="94">
        <f t="shared" si="29"/>
        <v>22</v>
      </c>
      <c r="R120" s="94">
        <f t="shared" si="30"/>
        <v>10</v>
      </c>
      <c r="S120" s="94" t="str">
        <f>VLOOKUP(O120,'Lookup Values'!$I$2:$L$8,4,TRUE)</f>
        <v>Evening</v>
      </c>
      <c r="T120" t="s">
        <v>107</v>
      </c>
      <c r="U120" t="s">
        <v>108</v>
      </c>
      <c r="V120" t="str">
        <f t="shared" si="31"/>
        <v>Health: Insurance Premium</v>
      </c>
      <c r="W120" t="s">
        <v>106</v>
      </c>
      <c r="X120" t="s">
        <v>78</v>
      </c>
      <c r="Y120" s="1">
        <v>488</v>
      </c>
      <c r="Z120" s="1" t="str">
        <f t="shared" si="32"/>
        <v>Health: $488.00</v>
      </c>
      <c r="AA120" s="1">
        <f>IF(Y120="","",ROUND(Y120*'Lookup Values'!$A$2,2))</f>
        <v>43.31</v>
      </c>
      <c r="AB120" s="12" t="str">
        <f t="shared" si="33"/>
        <v>Expense</v>
      </c>
      <c r="AC120" s="2" t="s">
        <v>280</v>
      </c>
      <c r="AD120" s="3">
        <f t="shared" si="34"/>
        <v>39949</v>
      </c>
      <c r="AE120" s="93" t="str">
        <f t="shared" si="35"/>
        <v>NO</v>
      </c>
      <c r="AF120" s="2" t="str">
        <f t="shared" si="36"/>
        <v>NO</v>
      </c>
      <c r="AG120" t="str">
        <f t="shared" si="37"/>
        <v>Late Transaction</v>
      </c>
    </row>
    <row r="121" spans="1:33" x14ac:dyDescent="0.25">
      <c r="A121" s="2">
        <v>120</v>
      </c>
      <c r="B121" s="3" t="str">
        <f t="shared" si="19"/>
        <v>120131-TR-MTA</v>
      </c>
      <c r="C121" s="3">
        <v>40939</v>
      </c>
      <c r="D121" s="3">
        <f t="shared" si="21"/>
        <v>40953</v>
      </c>
      <c r="E121" s="3">
        <f t="shared" si="22"/>
        <v>40999</v>
      </c>
      <c r="F121" s="3">
        <f t="shared" si="23"/>
        <v>40939</v>
      </c>
      <c r="G121" s="76">
        <f t="shared" si="24"/>
        <v>2012</v>
      </c>
      <c r="H121" s="76">
        <f t="shared" si="25"/>
        <v>1</v>
      </c>
      <c r="I121" s="76" t="str">
        <f>VLOOKUP(H121,'Lookup Values'!$C$2:$D$13,2,FALSE)</f>
        <v>JAN</v>
      </c>
      <c r="J121" s="76">
        <f t="shared" si="26"/>
        <v>31</v>
      </c>
      <c r="K121" s="76">
        <f t="shared" si="27"/>
        <v>3</v>
      </c>
      <c r="L121" s="76" t="str">
        <f>VLOOKUP(K121,'Lookup Values'!$F$2:$G$8,2,FALSE)</f>
        <v>Tuesday</v>
      </c>
      <c r="M121" s="3">
        <v>40949</v>
      </c>
      <c r="N121" s="78">
        <f t="shared" si="20"/>
        <v>10</v>
      </c>
      <c r="O121" s="11">
        <v>0.75562680961072159</v>
      </c>
      <c r="P121" s="94">
        <f t="shared" si="28"/>
        <v>18</v>
      </c>
      <c r="Q121" s="94">
        <f t="shared" si="29"/>
        <v>8</v>
      </c>
      <c r="R121" s="94">
        <f t="shared" si="30"/>
        <v>6</v>
      </c>
      <c r="S121" s="94" t="str">
        <f>VLOOKUP(O121,'Lookup Values'!$I$2:$L$8,4,TRUE)</f>
        <v>Evening</v>
      </c>
      <c r="T121" t="s">
        <v>95</v>
      </c>
      <c r="U121" t="s">
        <v>96</v>
      </c>
      <c r="V121" t="str">
        <f t="shared" si="31"/>
        <v>Transportation: Subway</v>
      </c>
      <c r="W121" t="s">
        <v>94</v>
      </c>
      <c r="X121" t="s">
        <v>91</v>
      </c>
      <c r="Y121" s="1">
        <v>58</v>
      </c>
      <c r="Z121" s="1" t="str">
        <f t="shared" si="32"/>
        <v>Transportation: $58.00</v>
      </c>
      <c r="AA121" s="1">
        <f>IF(Y121="","",ROUND(Y121*'Lookup Values'!$A$2,2))</f>
        <v>5.15</v>
      </c>
      <c r="AB121" s="12" t="str">
        <f t="shared" si="33"/>
        <v>Expense</v>
      </c>
      <c r="AC121" s="2" t="s">
        <v>281</v>
      </c>
      <c r="AD121" s="3">
        <f t="shared" si="34"/>
        <v>40939</v>
      </c>
      <c r="AE121" s="93" t="str">
        <f t="shared" si="35"/>
        <v>YES</v>
      </c>
      <c r="AF121" s="2" t="str">
        <f t="shared" si="36"/>
        <v>NO</v>
      </c>
      <c r="AG121" t="str">
        <f t="shared" si="37"/>
        <v>CRAP Transaction</v>
      </c>
    </row>
    <row r="122" spans="1:33" x14ac:dyDescent="0.25">
      <c r="A122" s="2">
        <v>121</v>
      </c>
      <c r="B122" s="3" t="str">
        <f t="shared" si="19"/>
        <v>090209-HE-FRE</v>
      </c>
      <c r="C122" s="3">
        <v>39853</v>
      </c>
      <c r="D122" s="3">
        <f t="shared" si="21"/>
        <v>39867</v>
      </c>
      <c r="E122" s="3">
        <f t="shared" si="22"/>
        <v>39912</v>
      </c>
      <c r="F122" s="3">
        <f t="shared" si="23"/>
        <v>39872</v>
      </c>
      <c r="G122" s="76">
        <f t="shared" si="24"/>
        <v>2009</v>
      </c>
      <c r="H122" s="76">
        <f t="shared" si="25"/>
        <v>2</v>
      </c>
      <c r="I122" s="76" t="str">
        <f>VLOOKUP(H122,'Lookup Values'!$C$2:$D$13,2,FALSE)</f>
        <v>FEB</v>
      </c>
      <c r="J122" s="76">
        <f t="shared" si="26"/>
        <v>9</v>
      </c>
      <c r="K122" s="76">
        <f t="shared" si="27"/>
        <v>2</v>
      </c>
      <c r="L122" s="76" t="str">
        <f>VLOOKUP(K122,'Lookup Values'!$F$2:$G$8,2,FALSE)</f>
        <v>Monday</v>
      </c>
      <c r="M122" s="3">
        <v>39860</v>
      </c>
      <c r="N122" s="78">
        <f t="shared" si="20"/>
        <v>7</v>
      </c>
      <c r="O122" s="11">
        <v>2.5654590445679748E-2</v>
      </c>
      <c r="P122" s="94">
        <f t="shared" si="28"/>
        <v>0</v>
      </c>
      <c r="Q122" s="94">
        <f t="shared" si="29"/>
        <v>36</v>
      </c>
      <c r="R122" s="94">
        <f t="shared" si="30"/>
        <v>57</v>
      </c>
      <c r="S122" s="94" t="str">
        <f>VLOOKUP(O122,'Lookup Values'!$I$2:$L$8,4,TRUE)</f>
        <v>Dead of Night</v>
      </c>
      <c r="T122" t="s">
        <v>107</v>
      </c>
      <c r="U122" t="s">
        <v>108</v>
      </c>
      <c r="V122" t="str">
        <f t="shared" si="31"/>
        <v>Health: Insurance Premium</v>
      </c>
      <c r="W122" t="s">
        <v>106</v>
      </c>
      <c r="X122" t="s">
        <v>78</v>
      </c>
      <c r="Y122" s="1">
        <v>373</v>
      </c>
      <c r="Z122" s="1" t="str">
        <f t="shared" si="32"/>
        <v>Health: $373.00</v>
      </c>
      <c r="AA122" s="1">
        <f>IF(Y122="","",ROUND(Y122*'Lookup Values'!$A$2,2))</f>
        <v>33.1</v>
      </c>
      <c r="AB122" s="12" t="str">
        <f t="shared" si="33"/>
        <v>Expense</v>
      </c>
      <c r="AC122" s="2" t="s">
        <v>282</v>
      </c>
      <c r="AD122" s="3">
        <f t="shared" si="34"/>
        <v>39853</v>
      </c>
      <c r="AE122" s="93" t="str">
        <f t="shared" si="35"/>
        <v>NO</v>
      </c>
      <c r="AF122" s="2" t="str">
        <f t="shared" si="36"/>
        <v>NO</v>
      </c>
      <c r="AG122" t="str">
        <f t="shared" si="37"/>
        <v>Late Transaction</v>
      </c>
    </row>
    <row r="123" spans="1:33" x14ac:dyDescent="0.25">
      <c r="A123" s="2">
        <v>122</v>
      </c>
      <c r="B123" s="3" t="str">
        <f t="shared" si="19"/>
        <v>071101-IN-EZE</v>
      </c>
      <c r="C123" s="3">
        <v>39387</v>
      </c>
      <c r="D123" s="3">
        <f t="shared" si="21"/>
        <v>39401</v>
      </c>
      <c r="E123" s="3">
        <f t="shared" si="22"/>
        <v>39448</v>
      </c>
      <c r="F123" s="3">
        <f t="shared" si="23"/>
        <v>39416</v>
      </c>
      <c r="G123" s="76">
        <f t="shared" si="24"/>
        <v>2007</v>
      </c>
      <c r="H123" s="76">
        <f t="shared" si="25"/>
        <v>11</v>
      </c>
      <c r="I123" s="76" t="str">
        <f>VLOOKUP(H123,'Lookup Values'!$C$2:$D$13,2,FALSE)</f>
        <v>NOV</v>
      </c>
      <c r="J123" s="76">
        <f t="shared" si="26"/>
        <v>1</v>
      </c>
      <c r="K123" s="76">
        <f t="shared" si="27"/>
        <v>5</v>
      </c>
      <c r="L123" s="76" t="str">
        <f>VLOOKUP(K123,'Lookup Values'!$F$2:$G$8,2,FALSE)</f>
        <v>Thursday</v>
      </c>
      <c r="M123" s="3">
        <v>39391</v>
      </c>
      <c r="N123" s="78">
        <f t="shared" si="20"/>
        <v>4</v>
      </c>
      <c r="O123" s="11">
        <v>0.70590552547308594</v>
      </c>
      <c r="P123" s="94">
        <f t="shared" si="28"/>
        <v>16</v>
      </c>
      <c r="Q123" s="94">
        <f t="shared" si="29"/>
        <v>56</v>
      </c>
      <c r="R123" s="94">
        <f t="shared" si="30"/>
        <v>30</v>
      </c>
      <c r="S123" s="94" t="str">
        <f>VLOOKUP(O123,'Lookup Values'!$I$2:$L$8,4,TRUE)</f>
        <v>Afternoon</v>
      </c>
      <c r="T123" t="s">
        <v>158</v>
      </c>
      <c r="U123" t="s">
        <v>159</v>
      </c>
      <c r="V123" t="str">
        <f t="shared" si="31"/>
        <v>Income: Salary</v>
      </c>
      <c r="W123" t="s">
        <v>162</v>
      </c>
      <c r="X123" t="s">
        <v>91</v>
      </c>
      <c r="Y123" s="1">
        <v>499</v>
      </c>
      <c r="Z123" s="1" t="str">
        <f t="shared" si="32"/>
        <v>Income: $499.00</v>
      </c>
      <c r="AA123" s="1">
        <f>IF(Y123="","",ROUND(Y123*'Lookup Values'!$A$2,2))</f>
        <v>44.29</v>
      </c>
      <c r="AB123" s="12" t="str">
        <f t="shared" si="33"/>
        <v>Income</v>
      </c>
      <c r="AC123" s="2" t="s">
        <v>283</v>
      </c>
      <c r="AD123" s="3">
        <f t="shared" si="34"/>
        <v>39387</v>
      </c>
      <c r="AE123" s="93" t="str">
        <f t="shared" si="35"/>
        <v>NO</v>
      </c>
      <c r="AF123" s="2" t="str">
        <f t="shared" si="36"/>
        <v>NO</v>
      </c>
      <c r="AG123" t="str">
        <f t="shared" si="37"/>
        <v>Late Transaction</v>
      </c>
    </row>
    <row r="124" spans="1:33" x14ac:dyDescent="0.25">
      <c r="A124" s="2">
        <v>123</v>
      </c>
      <c r="B124" s="3" t="str">
        <f t="shared" si="19"/>
        <v>090201-IN-LEG</v>
      </c>
      <c r="C124" s="3">
        <v>39845</v>
      </c>
      <c r="D124" s="3">
        <f t="shared" si="21"/>
        <v>39857</v>
      </c>
      <c r="E124" s="3">
        <f t="shared" si="22"/>
        <v>39904</v>
      </c>
      <c r="F124" s="3">
        <f t="shared" si="23"/>
        <v>39872</v>
      </c>
      <c r="G124" s="76">
        <f t="shared" si="24"/>
        <v>2009</v>
      </c>
      <c r="H124" s="76">
        <f t="shared" si="25"/>
        <v>2</v>
      </c>
      <c r="I124" s="76" t="str">
        <f>VLOOKUP(H124,'Lookup Values'!$C$2:$D$13,2,FALSE)</f>
        <v>FEB</v>
      </c>
      <c r="J124" s="76">
        <f t="shared" si="26"/>
        <v>1</v>
      </c>
      <c r="K124" s="76">
        <f t="shared" si="27"/>
        <v>1</v>
      </c>
      <c r="L124" s="76" t="str">
        <f>VLOOKUP(K124,'Lookup Values'!$F$2:$G$8,2,FALSE)</f>
        <v>Sunday</v>
      </c>
      <c r="M124" s="3">
        <v>39849</v>
      </c>
      <c r="N124" s="78">
        <f t="shared" si="20"/>
        <v>4</v>
      </c>
      <c r="O124" s="11">
        <v>0.79627329745630215</v>
      </c>
      <c r="P124" s="94">
        <f t="shared" si="28"/>
        <v>19</v>
      </c>
      <c r="Q124" s="94">
        <f t="shared" si="29"/>
        <v>6</v>
      </c>
      <c r="R124" s="94">
        <f t="shared" si="30"/>
        <v>38</v>
      </c>
      <c r="S124" s="94" t="str">
        <f>VLOOKUP(O124,'Lookup Values'!$I$2:$L$8,4,TRUE)</f>
        <v>Evening</v>
      </c>
      <c r="T124" t="s">
        <v>158</v>
      </c>
      <c r="U124" t="s">
        <v>160</v>
      </c>
      <c r="V124" t="str">
        <f t="shared" si="31"/>
        <v>Income: Freelance Project</v>
      </c>
      <c r="W124" t="s">
        <v>163</v>
      </c>
      <c r="X124" t="s">
        <v>78</v>
      </c>
      <c r="Y124" s="1">
        <v>407</v>
      </c>
      <c r="Z124" s="1" t="str">
        <f t="shared" si="32"/>
        <v>Income: $407.00</v>
      </c>
      <c r="AA124" s="1">
        <f>IF(Y124="","",ROUND(Y124*'Lookup Values'!$A$2,2))</f>
        <v>36.119999999999997</v>
      </c>
      <c r="AB124" s="12" t="str">
        <f t="shared" si="33"/>
        <v>Income</v>
      </c>
      <c r="AC124" s="2" t="s">
        <v>284</v>
      </c>
      <c r="AD124" s="3">
        <f t="shared" si="34"/>
        <v>39845</v>
      </c>
      <c r="AE124" s="93" t="str">
        <f t="shared" si="35"/>
        <v>NO</v>
      </c>
      <c r="AF124" s="2" t="str">
        <f t="shared" si="36"/>
        <v>NO</v>
      </c>
      <c r="AG124" t="str">
        <f t="shared" si="37"/>
        <v>Late Transaction</v>
      </c>
    </row>
    <row r="125" spans="1:33" x14ac:dyDescent="0.25">
      <c r="A125" s="2">
        <v>124</v>
      </c>
      <c r="B125" s="3" t="str">
        <f t="shared" si="19"/>
        <v>080421-FO-CIT</v>
      </c>
      <c r="C125" s="3">
        <v>39559</v>
      </c>
      <c r="D125" s="3">
        <f t="shared" si="21"/>
        <v>39573</v>
      </c>
      <c r="E125" s="3">
        <f t="shared" si="22"/>
        <v>39620</v>
      </c>
      <c r="F125" s="3">
        <f t="shared" si="23"/>
        <v>39568</v>
      </c>
      <c r="G125" s="76">
        <f t="shared" si="24"/>
        <v>2008</v>
      </c>
      <c r="H125" s="76">
        <f t="shared" si="25"/>
        <v>4</v>
      </c>
      <c r="I125" s="76" t="str">
        <f>VLOOKUP(H125,'Lookup Values'!$C$2:$D$13,2,FALSE)</f>
        <v>APR</v>
      </c>
      <c r="J125" s="76">
        <f t="shared" si="26"/>
        <v>21</v>
      </c>
      <c r="K125" s="76">
        <f t="shared" si="27"/>
        <v>2</v>
      </c>
      <c r="L125" s="76" t="str">
        <f>VLOOKUP(K125,'Lookup Values'!$F$2:$G$8,2,FALSE)</f>
        <v>Monday</v>
      </c>
      <c r="M125" s="3">
        <v>39564</v>
      </c>
      <c r="N125" s="78">
        <f t="shared" si="20"/>
        <v>5</v>
      </c>
      <c r="O125" s="11">
        <v>0.31596184714235231</v>
      </c>
      <c r="P125" s="94">
        <f t="shared" si="28"/>
        <v>7</v>
      </c>
      <c r="Q125" s="94">
        <f t="shared" si="29"/>
        <v>34</v>
      </c>
      <c r="R125" s="94">
        <f t="shared" si="30"/>
        <v>59</v>
      </c>
      <c r="S125" s="94" t="str">
        <f>VLOOKUP(O125,'Lookup Values'!$I$2:$L$8,4,TRUE)</f>
        <v>Morning</v>
      </c>
      <c r="T125" t="s">
        <v>80</v>
      </c>
      <c r="U125" t="s">
        <v>105</v>
      </c>
      <c r="V125" t="str">
        <f t="shared" si="31"/>
        <v>Food: Coffee</v>
      </c>
      <c r="W125" t="s">
        <v>104</v>
      </c>
      <c r="X125" t="s">
        <v>78</v>
      </c>
      <c r="Y125" s="1">
        <v>29</v>
      </c>
      <c r="Z125" s="1" t="str">
        <f t="shared" si="32"/>
        <v>Food: $29.00</v>
      </c>
      <c r="AA125" s="1">
        <f>IF(Y125="","",ROUND(Y125*'Lookup Values'!$A$2,2))</f>
        <v>2.57</v>
      </c>
      <c r="AB125" s="12" t="str">
        <f t="shared" si="33"/>
        <v>Expense</v>
      </c>
      <c r="AC125" s="2" t="s">
        <v>285</v>
      </c>
      <c r="AD125" s="3">
        <f t="shared" si="34"/>
        <v>39559</v>
      </c>
      <c r="AE125" s="93" t="str">
        <f t="shared" si="35"/>
        <v>NO</v>
      </c>
      <c r="AF125" s="2" t="str">
        <f t="shared" si="36"/>
        <v>NO</v>
      </c>
      <c r="AG125" t="str">
        <f t="shared" si="37"/>
        <v>Awesome Transaction</v>
      </c>
    </row>
    <row r="126" spans="1:33" x14ac:dyDescent="0.25">
      <c r="A126" s="2">
        <v>125</v>
      </c>
      <c r="B126" s="3" t="str">
        <f t="shared" si="19"/>
        <v>110220-EN-MOE</v>
      </c>
      <c r="C126" s="3">
        <v>40594</v>
      </c>
      <c r="D126" s="3">
        <f t="shared" si="21"/>
        <v>40606</v>
      </c>
      <c r="E126" s="3">
        <f t="shared" si="22"/>
        <v>40653</v>
      </c>
      <c r="F126" s="3">
        <f t="shared" si="23"/>
        <v>40602</v>
      </c>
      <c r="G126" s="76">
        <f t="shared" si="24"/>
        <v>2011</v>
      </c>
      <c r="H126" s="76">
        <f t="shared" si="25"/>
        <v>2</v>
      </c>
      <c r="I126" s="76" t="str">
        <f>VLOOKUP(H126,'Lookup Values'!$C$2:$D$13,2,FALSE)</f>
        <v>FEB</v>
      </c>
      <c r="J126" s="76">
        <f t="shared" si="26"/>
        <v>20</v>
      </c>
      <c r="K126" s="76">
        <f t="shared" si="27"/>
        <v>1</v>
      </c>
      <c r="L126" s="76" t="str">
        <f>VLOOKUP(K126,'Lookup Values'!$F$2:$G$8,2,FALSE)</f>
        <v>Sunday</v>
      </c>
      <c r="M126" s="3">
        <v>40603</v>
      </c>
      <c r="N126" s="78">
        <f t="shared" si="20"/>
        <v>9</v>
      </c>
      <c r="O126" s="11">
        <v>0.18402967573221385</v>
      </c>
      <c r="P126" s="94">
        <f t="shared" si="28"/>
        <v>4</v>
      </c>
      <c r="Q126" s="94">
        <f t="shared" si="29"/>
        <v>25</v>
      </c>
      <c r="R126" s="94">
        <f t="shared" si="30"/>
        <v>0</v>
      </c>
      <c r="S126" s="94" t="str">
        <f>VLOOKUP(O126,'Lookup Values'!$I$2:$L$8,4,TRUE)</f>
        <v>Early Morning</v>
      </c>
      <c r="T126" t="s">
        <v>76</v>
      </c>
      <c r="U126" t="s">
        <v>77</v>
      </c>
      <c r="V126" t="str">
        <f t="shared" si="31"/>
        <v>Entertainment: Alcohol</v>
      </c>
      <c r="W126" t="s">
        <v>75</v>
      </c>
      <c r="X126" t="s">
        <v>91</v>
      </c>
      <c r="Y126" s="1">
        <v>331</v>
      </c>
      <c r="Z126" s="1" t="str">
        <f t="shared" si="32"/>
        <v>Entertainment: $331.00</v>
      </c>
      <c r="AA126" s="1">
        <f>IF(Y126="","",ROUND(Y126*'Lookup Values'!$A$2,2))</f>
        <v>29.38</v>
      </c>
      <c r="AB126" s="12" t="str">
        <f t="shared" si="33"/>
        <v>Expense</v>
      </c>
      <c r="AC126" s="2" t="s">
        <v>286</v>
      </c>
      <c r="AD126" s="3">
        <f t="shared" si="34"/>
        <v>40594</v>
      </c>
      <c r="AE126" s="93" t="str">
        <f t="shared" si="35"/>
        <v>NO</v>
      </c>
      <c r="AF126" s="2" t="str">
        <f t="shared" si="36"/>
        <v>NO</v>
      </c>
      <c r="AG126" t="str">
        <f t="shared" si="37"/>
        <v>CRAP Transaction</v>
      </c>
    </row>
    <row r="127" spans="1:33" x14ac:dyDescent="0.25">
      <c r="A127" s="2">
        <v>126</v>
      </c>
      <c r="B127" s="3" t="str">
        <f t="shared" si="19"/>
        <v>080303-ED-SKI</v>
      </c>
      <c r="C127" s="3">
        <v>39510</v>
      </c>
      <c r="D127" s="3">
        <f t="shared" si="21"/>
        <v>39524</v>
      </c>
      <c r="E127" s="3">
        <f t="shared" si="22"/>
        <v>39571</v>
      </c>
      <c r="F127" s="3">
        <f t="shared" si="23"/>
        <v>39538</v>
      </c>
      <c r="G127" s="76">
        <f t="shared" si="24"/>
        <v>2008</v>
      </c>
      <c r="H127" s="76">
        <f t="shared" si="25"/>
        <v>3</v>
      </c>
      <c r="I127" s="76" t="str">
        <f>VLOOKUP(H127,'Lookup Values'!$C$2:$D$13,2,FALSE)</f>
        <v>MAR</v>
      </c>
      <c r="J127" s="76">
        <f t="shared" si="26"/>
        <v>3</v>
      </c>
      <c r="K127" s="76">
        <f t="shared" si="27"/>
        <v>2</v>
      </c>
      <c r="L127" s="76" t="str">
        <f>VLOOKUP(K127,'Lookup Values'!$F$2:$G$8,2,FALSE)</f>
        <v>Monday</v>
      </c>
      <c r="M127" s="3">
        <v>39518</v>
      </c>
      <c r="N127" s="78">
        <f t="shared" si="20"/>
        <v>8</v>
      </c>
      <c r="O127" s="11">
        <v>0.90296894356357749</v>
      </c>
      <c r="P127" s="94">
        <f t="shared" si="28"/>
        <v>21</v>
      </c>
      <c r="Q127" s="94">
        <f t="shared" si="29"/>
        <v>40</v>
      </c>
      <c r="R127" s="94">
        <f t="shared" si="30"/>
        <v>17</v>
      </c>
      <c r="S127" s="94" t="str">
        <f>VLOOKUP(O127,'Lookup Values'!$I$2:$L$8,4,TRUE)</f>
        <v>Late Evening</v>
      </c>
      <c r="T127" t="s">
        <v>86</v>
      </c>
      <c r="U127" t="s">
        <v>98</v>
      </c>
      <c r="V127" t="str">
        <f t="shared" si="31"/>
        <v>Education: Professional Development</v>
      </c>
      <c r="W127" t="s">
        <v>97</v>
      </c>
      <c r="X127" t="s">
        <v>91</v>
      </c>
      <c r="Y127" s="1">
        <v>466</v>
      </c>
      <c r="Z127" s="1" t="str">
        <f t="shared" si="32"/>
        <v>Education: $466.00</v>
      </c>
      <c r="AA127" s="1">
        <f>IF(Y127="","",ROUND(Y127*'Lookup Values'!$A$2,2))</f>
        <v>41.36</v>
      </c>
      <c r="AB127" s="12" t="str">
        <f t="shared" si="33"/>
        <v>Expense</v>
      </c>
      <c r="AC127" s="2" t="s">
        <v>287</v>
      </c>
      <c r="AD127" s="3">
        <f t="shared" si="34"/>
        <v>39510</v>
      </c>
      <c r="AE127" s="93" t="str">
        <f t="shared" si="35"/>
        <v>YES</v>
      </c>
      <c r="AF127" s="2" t="str">
        <f t="shared" si="36"/>
        <v>YES</v>
      </c>
      <c r="AG127" t="str">
        <f t="shared" si="37"/>
        <v>Late Transaction</v>
      </c>
    </row>
    <row r="128" spans="1:33" x14ac:dyDescent="0.25">
      <c r="A128" s="2">
        <v>127</v>
      </c>
      <c r="B128" s="3" t="str">
        <f t="shared" si="19"/>
        <v>080824-ED-SKI</v>
      </c>
      <c r="C128" s="3">
        <v>39684</v>
      </c>
      <c r="D128" s="3">
        <f t="shared" si="21"/>
        <v>39696</v>
      </c>
      <c r="E128" s="3">
        <f t="shared" si="22"/>
        <v>39745</v>
      </c>
      <c r="F128" s="3">
        <f t="shared" si="23"/>
        <v>39691</v>
      </c>
      <c r="G128" s="76">
        <f t="shared" si="24"/>
        <v>2008</v>
      </c>
      <c r="H128" s="76">
        <f t="shared" si="25"/>
        <v>8</v>
      </c>
      <c r="I128" s="76" t="str">
        <f>VLOOKUP(H128,'Lookup Values'!$C$2:$D$13,2,FALSE)</f>
        <v>AUG</v>
      </c>
      <c r="J128" s="76">
        <f t="shared" si="26"/>
        <v>24</v>
      </c>
      <c r="K128" s="76">
        <f t="shared" si="27"/>
        <v>1</v>
      </c>
      <c r="L128" s="76" t="str">
        <f>VLOOKUP(K128,'Lookup Values'!$F$2:$G$8,2,FALSE)</f>
        <v>Sunday</v>
      </c>
      <c r="M128" s="3">
        <v>39687</v>
      </c>
      <c r="N128" s="78">
        <f t="shared" si="20"/>
        <v>3</v>
      </c>
      <c r="O128" s="11">
        <v>4.8016930582604811E-2</v>
      </c>
      <c r="P128" s="94">
        <f t="shared" si="28"/>
        <v>1</v>
      </c>
      <c r="Q128" s="94">
        <f t="shared" si="29"/>
        <v>9</v>
      </c>
      <c r="R128" s="94">
        <f t="shared" si="30"/>
        <v>9</v>
      </c>
      <c r="S128" s="94" t="str">
        <f>VLOOKUP(O128,'Lookup Values'!$I$2:$L$8,4,TRUE)</f>
        <v>Dead of Night</v>
      </c>
      <c r="T128" t="s">
        <v>86</v>
      </c>
      <c r="U128" t="s">
        <v>98</v>
      </c>
      <c r="V128" t="str">
        <f t="shared" si="31"/>
        <v>Education: Professional Development</v>
      </c>
      <c r="W128" t="s">
        <v>97</v>
      </c>
      <c r="X128" t="s">
        <v>91</v>
      </c>
      <c r="Y128" s="1">
        <v>499</v>
      </c>
      <c r="Z128" s="1" t="str">
        <f t="shared" si="32"/>
        <v>Education: $499.00</v>
      </c>
      <c r="AA128" s="1">
        <f>IF(Y128="","",ROUND(Y128*'Lookup Values'!$A$2,2))</f>
        <v>44.29</v>
      </c>
      <c r="AB128" s="12" t="str">
        <f t="shared" si="33"/>
        <v>Expense</v>
      </c>
      <c r="AC128" s="2" t="s">
        <v>288</v>
      </c>
      <c r="AD128" s="3">
        <f t="shared" si="34"/>
        <v>39684</v>
      </c>
      <c r="AE128" s="93" t="str">
        <f t="shared" si="35"/>
        <v>YES</v>
      </c>
      <c r="AF128" s="2" t="str">
        <f t="shared" si="36"/>
        <v>YES</v>
      </c>
      <c r="AG128" t="str">
        <f t="shared" si="37"/>
        <v>Late Transaction</v>
      </c>
    </row>
    <row r="129" spans="1:33" x14ac:dyDescent="0.25">
      <c r="A129" s="2">
        <v>128</v>
      </c>
      <c r="B129" s="3" t="str">
        <f t="shared" si="19"/>
        <v>090929-ED-SKI</v>
      </c>
      <c r="C129" s="3">
        <v>40085</v>
      </c>
      <c r="D129" s="3">
        <f t="shared" si="21"/>
        <v>40099</v>
      </c>
      <c r="E129" s="3">
        <f t="shared" si="22"/>
        <v>40146</v>
      </c>
      <c r="F129" s="3">
        <f t="shared" si="23"/>
        <v>40086</v>
      </c>
      <c r="G129" s="76">
        <f t="shared" si="24"/>
        <v>2009</v>
      </c>
      <c r="H129" s="76">
        <f t="shared" si="25"/>
        <v>9</v>
      </c>
      <c r="I129" s="76" t="str">
        <f>VLOOKUP(H129,'Lookup Values'!$C$2:$D$13,2,FALSE)</f>
        <v>SEP</v>
      </c>
      <c r="J129" s="76">
        <f t="shared" si="26"/>
        <v>29</v>
      </c>
      <c r="K129" s="76">
        <f t="shared" si="27"/>
        <v>3</v>
      </c>
      <c r="L129" s="76" t="str">
        <f>VLOOKUP(K129,'Lookup Values'!$F$2:$G$8,2,FALSE)</f>
        <v>Tuesday</v>
      </c>
      <c r="M129" s="3">
        <v>40091</v>
      </c>
      <c r="N129" s="78">
        <f t="shared" si="20"/>
        <v>6</v>
      </c>
      <c r="O129" s="11">
        <v>0.78794021999913977</v>
      </c>
      <c r="P129" s="94">
        <f t="shared" si="28"/>
        <v>18</v>
      </c>
      <c r="Q129" s="94">
        <f t="shared" si="29"/>
        <v>54</v>
      </c>
      <c r="R129" s="94">
        <f t="shared" si="30"/>
        <v>38</v>
      </c>
      <c r="S129" s="94" t="str">
        <f>VLOOKUP(O129,'Lookup Values'!$I$2:$L$8,4,TRUE)</f>
        <v>Evening</v>
      </c>
      <c r="T129" t="s">
        <v>86</v>
      </c>
      <c r="U129" t="s">
        <v>98</v>
      </c>
      <c r="V129" t="str">
        <f t="shared" si="31"/>
        <v>Education: Professional Development</v>
      </c>
      <c r="W129" t="s">
        <v>97</v>
      </c>
      <c r="X129" t="s">
        <v>91</v>
      </c>
      <c r="Y129" s="1">
        <v>363</v>
      </c>
      <c r="Z129" s="1" t="str">
        <f t="shared" si="32"/>
        <v>Education: $363.00</v>
      </c>
      <c r="AA129" s="1">
        <f>IF(Y129="","",ROUND(Y129*'Lookup Values'!$A$2,2))</f>
        <v>32.22</v>
      </c>
      <c r="AB129" s="12" t="str">
        <f t="shared" si="33"/>
        <v>Expense</v>
      </c>
      <c r="AC129" s="2" t="s">
        <v>289</v>
      </c>
      <c r="AD129" s="3">
        <f t="shared" si="34"/>
        <v>40085</v>
      </c>
      <c r="AE129" s="93" t="str">
        <f t="shared" si="35"/>
        <v>YES</v>
      </c>
      <c r="AF129" s="2" t="str">
        <f t="shared" si="36"/>
        <v>NO</v>
      </c>
      <c r="AG129" t="str">
        <f t="shared" si="37"/>
        <v>Late Transaction</v>
      </c>
    </row>
    <row r="130" spans="1:33" x14ac:dyDescent="0.25">
      <c r="A130" s="2">
        <v>129</v>
      </c>
      <c r="B130" s="3" t="str">
        <f t="shared" ref="B130:B193" si="38">TEXT(C130,"yymmdd") &amp; "-" &amp; UPPER(LEFT(T130,2)) &amp; "-" &amp; UPPER(LEFT(W130,3))</f>
        <v>110121-IN-EZE</v>
      </c>
      <c r="C130" s="3">
        <v>40564</v>
      </c>
      <c r="D130" s="3">
        <f t="shared" si="21"/>
        <v>40578</v>
      </c>
      <c r="E130" s="3">
        <f t="shared" si="22"/>
        <v>40623</v>
      </c>
      <c r="F130" s="3">
        <f t="shared" si="23"/>
        <v>40574</v>
      </c>
      <c r="G130" s="76">
        <f t="shared" si="24"/>
        <v>2011</v>
      </c>
      <c r="H130" s="76">
        <f t="shared" si="25"/>
        <v>1</v>
      </c>
      <c r="I130" s="76" t="str">
        <f>VLOOKUP(H130,'Lookup Values'!$C$2:$D$13,2,FALSE)</f>
        <v>JAN</v>
      </c>
      <c r="J130" s="76">
        <f t="shared" si="26"/>
        <v>21</v>
      </c>
      <c r="K130" s="76">
        <f t="shared" si="27"/>
        <v>6</v>
      </c>
      <c r="L130" s="76" t="str">
        <f>VLOOKUP(K130,'Lookup Values'!$F$2:$G$8,2,FALSE)</f>
        <v>Friday</v>
      </c>
      <c r="M130" s="3">
        <v>40574</v>
      </c>
      <c r="N130" s="78">
        <f t="shared" ref="N130:N193" si="39">M130-C130</f>
        <v>10</v>
      </c>
      <c r="O130" s="11">
        <v>0.72916533610184475</v>
      </c>
      <c r="P130" s="94">
        <f t="shared" si="28"/>
        <v>17</v>
      </c>
      <c r="Q130" s="94">
        <f t="shared" si="29"/>
        <v>30</v>
      </c>
      <c r="R130" s="94">
        <f t="shared" si="30"/>
        <v>0</v>
      </c>
      <c r="S130" s="94" t="str">
        <f>VLOOKUP(O130,'Lookup Values'!$I$2:$L$8,4,TRUE)</f>
        <v>Evening</v>
      </c>
      <c r="T130" t="s">
        <v>158</v>
      </c>
      <c r="U130" t="s">
        <v>159</v>
      </c>
      <c r="V130" t="str">
        <f t="shared" si="31"/>
        <v>Income: Salary</v>
      </c>
      <c r="W130" t="s">
        <v>162</v>
      </c>
      <c r="X130" t="s">
        <v>88</v>
      </c>
      <c r="Y130" s="1">
        <v>428</v>
      </c>
      <c r="Z130" s="1" t="str">
        <f t="shared" si="32"/>
        <v>Income: $428.00</v>
      </c>
      <c r="AA130" s="1">
        <f>IF(Y130="","",ROUND(Y130*'Lookup Values'!$A$2,2))</f>
        <v>37.99</v>
      </c>
      <c r="AB130" s="12" t="str">
        <f t="shared" si="33"/>
        <v>Income</v>
      </c>
      <c r="AC130" s="2" t="s">
        <v>290</v>
      </c>
      <c r="AD130" s="3">
        <f t="shared" si="34"/>
        <v>40564</v>
      </c>
      <c r="AE130" s="93" t="str">
        <f t="shared" si="35"/>
        <v>NO</v>
      </c>
      <c r="AF130" s="2" t="str">
        <f t="shared" si="36"/>
        <v>NO</v>
      </c>
      <c r="AG130" t="str">
        <f t="shared" si="37"/>
        <v>CRAP Transaction</v>
      </c>
    </row>
    <row r="131" spans="1:33" x14ac:dyDescent="0.25">
      <c r="A131" s="2">
        <v>130</v>
      </c>
      <c r="B131" s="3" t="str">
        <f t="shared" si="38"/>
        <v>070831-TR-MTA</v>
      </c>
      <c r="C131" s="3">
        <v>39325</v>
      </c>
      <c r="D131" s="3">
        <f t="shared" ref="D131:D194" si="40">WORKDAY(C131,10)</f>
        <v>39339</v>
      </c>
      <c r="E131" s="3">
        <f t="shared" ref="E131:E194" si="41">EDATE(C131,2)</f>
        <v>39386</v>
      </c>
      <c r="F131" s="3">
        <f t="shared" ref="F131:F194" si="42">EOMONTH(C131,0)</f>
        <v>39325</v>
      </c>
      <c r="G131" s="76">
        <f t="shared" ref="G131:G194" si="43">YEAR(C131)</f>
        <v>2007</v>
      </c>
      <c r="H131" s="76">
        <f t="shared" ref="H131:H194" si="44">MONTH(C131)</f>
        <v>8</v>
      </c>
      <c r="I131" s="76" t="str">
        <f>VLOOKUP(H131,'Lookup Values'!$C$2:$D$13,2,FALSE)</f>
        <v>AUG</v>
      </c>
      <c r="J131" s="76">
        <f t="shared" ref="J131:J194" si="45">DAY(C131)</f>
        <v>31</v>
      </c>
      <c r="K131" s="76">
        <f t="shared" ref="K131:K194" si="46">WEEKDAY(C131)</f>
        <v>6</v>
      </c>
      <c r="L131" s="76" t="str">
        <f>VLOOKUP(K131,'Lookup Values'!$F$2:$G$8,2,FALSE)</f>
        <v>Friday</v>
      </c>
      <c r="M131" s="3">
        <v>39329</v>
      </c>
      <c r="N131" s="78">
        <f t="shared" si="39"/>
        <v>4</v>
      </c>
      <c r="O131" s="11">
        <v>5.2210463792060624E-3</v>
      </c>
      <c r="P131" s="94">
        <f t="shared" ref="P131:P194" si="47">HOUR(O131)</f>
        <v>0</v>
      </c>
      <c r="Q131" s="94">
        <f t="shared" ref="Q131:Q194" si="48">MINUTE(O131)</f>
        <v>7</v>
      </c>
      <c r="R131" s="94">
        <f t="shared" ref="R131:R194" si="49">SECOND(O131)</f>
        <v>31</v>
      </c>
      <c r="S131" s="94" t="str">
        <f>VLOOKUP(O131,'Lookup Values'!$I$2:$L$8,4,TRUE)</f>
        <v>Dead of Night</v>
      </c>
      <c r="T131" t="s">
        <v>95</v>
      </c>
      <c r="U131" t="s">
        <v>96</v>
      </c>
      <c r="V131" t="str">
        <f t="shared" ref="V131:V194" si="50">T131 &amp; ": " &amp; U131</f>
        <v>Transportation: Subway</v>
      </c>
      <c r="W131" t="s">
        <v>94</v>
      </c>
      <c r="X131" t="s">
        <v>88</v>
      </c>
      <c r="Y131" s="1">
        <v>23</v>
      </c>
      <c r="Z131" s="1" t="str">
        <f t="shared" ref="Z131:Z194" si="51">T131 &amp; ": " &amp; TEXT(Y131,"$#,###.00")</f>
        <v>Transportation: $23.00</v>
      </c>
      <c r="AA131" s="1">
        <f>IF(Y131="","",ROUND(Y131*'Lookup Values'!$A$2,2))</f>
        <v>2.04</v>
      </c>
      <c r="AB131" s="12" t="str">
        <f t="shared" ref="AB131:AB194" si="52">IF(T131="Income","Income","Expense")</f>
        <v>Expense</v>
      </c>
      <c r="AC131" s="2" t="s">
        <v>291</v>
      </c>
      <c r="AD131" s="3">
        <f t="shared" ref="AD131:AD194" si="53">VALUE(SUBSTITUTE(AC131,".","/"))</f>
        <v>39325</v>
      </c>
      <c r="AE131" s="93" t="str">
        <f t="shared" ref="AE131:AE194" si="54">IF(OR(T131="Transportation",U131="Professional Development",U131="Electronics"),"YES","NO")</f>
        <v>YES</v>
      </c>
      <c r="AF131" s="2" t="str">
        <f t="shared" ref="AF131:AF194" si="55">IF(AND(AE131="YES",Y131&gt;=400),"YES","NO")</f>
        <v>NO</v>
      </c>
      <c r="AG131" t="str">
        <f t="shared" ref="AG131:AG194" si="56">IF(AND(AND(G131&gt;=2007,G131&lt;=2009),OR(W131&lt;&gt;"MTA",W131&lt;&gt;"Fandango"),OR(T131="Food",T131="Shopping",T131="Entertainment")),"Awesome Transaction",IF(AND(G131&lt;=2010,U131&lt;&gt;"Alcohol"),"Late Transaction",IF(G131=2006,"Early Transaction","CRAP Transaction")))</f>
        <v>Late Transaction</v>
      </c>
    </row>
    <row r="132" spans="1:33" x14ac:dyDescent="0.25">
      <c r="A132" s="2">
        <v>131</v>
      </c>
      <c r="B132" s="3" t="str">
        <f t="shared" si="38"/>
        <v>110828-SH-AMA</v>
      </c>
      <c r="C132" s="3">
        <v>40783</v>
      </c>
      <c r="D132" s="3">
        <f t="shared" si="40"/>
        <v>40795</v>
      </c>
      <c r="E132" s="3">
        <f t="shared" si="41"/>
        <v>40844</v>
      </c>
      <c r="F132" s="3">
        <f t="shared" si="42"/>
        <v>40786</v>
      </c>
      <c r="G132" s="76">
        <f t="shared" si="43"/>
        <v>2011</v>
      </c>
      <c r="H132" s="76">
        <f t="shared" si="44"/>
        <v>8</v>
      </c>
      <c r="I132" s="76" t="str">
        <f>VLOOKUP(H132,'Lookup Values'!$C$2:$D$13,2,FALSE)</f>
        <v>AUG</v>
      </c>
      <c r="J132" s="76">
        <f t="shared" si="45"/>
        <v>28</v>
      </c>
      <c r="K132" s="76">
        <f t="shared" si="46"/>
        <v>1</v>
      </c>
      <c r="L132" s="76" t="str">
        <f>VLOOKUP(K132,'Lookup Values'!$F$2:$G$8,2,FALSE)</f>
        <v>Sunday</v>
      </c>
      <c r="M132" s="3">
        <v>40786</v>
      </c>
      <c r="N132" s="78">
        <f t="shared" si="39"/>
        <v>3</v>
      </c>
      <c r="O132" s="11">
        <v>0.98607435726802894</v>
      </c>
      <c r="P132" s="94">
        <f t="shared" si="47"/>
        <v>23</v>
      </c>
      <c r="Q132" s="94">
        <f t="shared" si="48"/>
        <v>39</v>
      </c>
      <c r="R132" s="94">
        <f t="shared" si="49"/>
        <v>57</v>
      </c>
      <c r="S132" s="94" t="str">
        <f>VLOOKUP(O132,'Lookup Values'!$I$2:$L$8,4,TRUE)</f>
        <v>Late Evening</v>
      </c>
      <c r="T132" t="s">
        <v>83</v>
      </c>
      <c r="U132" t="s">
        <v>84</v>
      </c>
      <c r="V132" t="str">
        <f t="shared" si="50"/>
        <v>Shopping: Electronics</v>
      </c>
      <c r="W132" t="s">
        <v>82</v>
      </c>
      <c r="X132" t="s">
        <v>78</v>
      </c>
      <c r="Y132" s="1">
        <v>496</v>
      </c>
      <c r="Z132" s="1" t="str">
        <f t="shared" si="51"/>
        <v>Shopping: $496.00</v>
      </c>
      <c r="AA132" s="1">
        <f>IF(Y132="","",ROUND(Y132*'Lookup Values'!$A$2,2))</f>
        <v>44.02</v>
      </c>
      <c r="AB132" s="12" t="str">
        <f t="shared" si="52"/>
        <v>Expense</v>
      </c>
      <c r="AC132" s="2" t="s">
        <v>292</v>
      </c>
      <c r="AD132" s="3">
        <f t="shared" si="53"/>
        <v>40783</v>
      </c>
      <c r="AE132" s="93" t="str">
        <f t="shared" si="54"/>
        <v>YES</v>
      </c>
      <c r="AF132" s="2" t="str">
        <f t="shared" si="55"/>
        <v>YES</v>
      </c>
      <c r="AG132" t="str">
        <f t="shared" si="56"/>
        <v>CRAP Transaction</v>
      </c>
    </row>
    <row r="133" spans="1:33" x14ac:dyDescent="0.25">
      <c r="A133" s="2">
        <v>132</v>
      </c>
      <c r="B133" s="3" t="str">
        <f t="shared" si="38"/>
        <v>110719-HO-BED</v>
      </c>
      <c r="C133" s="3">
        <v>40743</v>
      </c>
      <c r="D133" s="3">
        <f t="shared" si="40"/>
        <v>40757</v>
      </c>
      <c r="E133" s="3">
        <f t="shared" si="41"/>
        <v>40805</v>
      </c>
      <c r="F133" s="3">
        <f t="shared" si="42"/>
        <v>40755</v>
      </c>
      <c r="G133" s="76">
        <f t="shared" si="43"/>
        <v>2011</v>
      </c>
      <c r="H133" s="76">
        <f t="shared" si="44"/>
        <v>7</v>
      </c>
      <c r="I133" s="76" t="str">
        <f>VLOOKUP(H133,'Lookup Values'!$C$2:$D$13,2,FALSE)</f>
        <v>JUL</v>
      </c>
      <c r="J133" s="76">
        <f t="shared" si="45"/>
        <v>19</v>
      </c>
      <c r="K133" s="76">
        <f t="shared" si="46"/>
        <v>3</v>
      </c>
      <c r="L133" s="76" t="str">
        <f>VLOOKUP(K133,'Lookup Values'!$F$2:$G$8,2,FALSE)</f>
        <v>Tuesday</v>
      </c>
      <c r="M133" s="3">
        <v>40751</v>
      </c>
      <c r="N133" s="78">
        <f t="shared" si="39"/>
        <v>8</v>
      </c>
      <c r="O133" s="11">
        <v>0.57452644992620672</v>
      </c>
      <c r="P133" s="94">
        <f t="shared" si="47"/>
        <v>13</v>
      </c>
      <c r="Q133" s="94">
        <f t="shared" si="48"/>
        <v>47</v>
      </c>
      <c r="R133" s="94">
        <f t="shared" si="49"/>
        <v>19</v>
      </c>
      <c r="S133" s="94" t="str">
        <f>VLOOKUP(O133,'Lookup Values'!$I$2:$L$8,4,TRUE)</f>
        <v>Afternoon</v>
      </c>
      <c r="T133" t="s">
        <v>100</v>
      </c>
      <c r="U133" t="s">
        <v>101</v>
      </c>
      <c r="V133" t="str">
        <f t="shared" si="50"/>
        <v>Home: Cleaning Supplies</v>
      </c>
      <c r="W133" t="s">
        <v>99</v>
      </c>
      <c r="X133" t="s">
        <v>78</v>
      </c>
      <c r="Y133" s="1">
        <v>435</v>
      </c>
      <c r="Z133" s="1" t="str">
        <f t="shared" si="51"/>
        <v>Home: $435.00</v>
      </c>
      <c r="AA133" s="1">
        <f>IF(Y133="","",ROUND(Y133*'Lookup Values'!$A$2,2))</f>
        <v>38.61</v>
      </c>
      <c r="AB133" s="12" t="str">
        <f t="shared" si="52"/>
        <v>Expense</v>
      </c>
      <c r="AC133" s="2" t="s">
        <v>167</v>
      </c>
      <c r="AD133" s="3">
        <f t="shared" si="53"/>
        <v>40743</v>
      </c>
      <c r="AE133" s="93" t="str">
        <f t="shared" si="54"/>
        <v>NO</v>
      </c>
      <c r="AF133" s="2" t="str">
        <f t="shared" si="55"/>
        <v>NO</v>
      </c>
      <c r="AG133" t="str">
        <f t="shared" si="56"/>
        <v>CRAP Transaction</v>
      </c>
    </row>
    <row r="134" spans="1:33" x14ac:dyDescent="0.25">
      <c r="A134" s="2">
        <v>133</v>
      </c>
      <c r="B134" s="3" t="str">
        <f t="shared" si="38"/>
        <v>091017-HE-FRE</v>
      </c>
      <c r="C134" s="3">
        <v>40103</v>
      </c>
      <c r="D134" s="3">
        <f t="shared" si="40"/>
        <v>40116</v>
      </c>
      <c r="E134" s="3">
        <f t="shared" si="41"/>
        <v>40164</v>
      </c>
      <c r="F134" s="3">
        <f t="shared" si="42"/>
        <v>40117</v>
      </c>
      <c r="G134" s="76">
        <f t="shared" si="43"/>
        <v>2009</v>
      </c>
      <c r="H134" s="76">
        <f t="shared" si="44"/>
        <v>10</v>
      </c>
      <c r="I134" s="76" t="str">
        <f>VLOOKUP(H134,'Lookup Values'!$C$2:$D$13,2,FALSE)</f>
        <v>OCT</v>
      </c>
      <c r="J134" s="76">
        <f t="shared" si="45"/>
        <v>17</v>
      </c>
      <c r="K134" s="76">
        <f t="shared" si="46"/>
        <v>7</v>
      </c>
      <c r="L134" s="76" t="str">
        <f>VLOOKUP(K134,'Lookup Values'!$F$2:$G$8,2,FALSE)</f>
        <v>Saturday</v>
      </c>
      <c r="M134" s="3">
        <v>40111</v>
      </c>
      <c r="N134" s="78">
        <f t="shared" si="39"/>
        <v>8</v>
      </c>
      <c r="O134" s="11">
        <v>0.90573204716125255</v>
      </c>
      <c r="P134" s="94">
        <f t="shared" si="47"/>
        <v>21</v>
      </c>
      <c r="Q134" s="94">
        <f t="shared" si="48"/>
        <v>44</v>
      </c>
      <c r="R134" s="94">
        <f t="shared" si="49"/>
        <v>15</v>
      </c>
      <c r="S134" s="94" t="str">
        <f>VLOOKUP(O134,'Lookup Values'!$I$2:$L$8,4,TRUE)</f>
        <v>Late Evening</v>
      </c>
      <c r="T134" t="s">
        <v>107</v>
      </c>
      <c r="U134" t="s">
        <v>108</v>
      </c>
      <c r="V134" t="str">
        <f t="shared" si="50"/>
        <v>Health: Insurance Premium</v>
      </c>
      <c r="W134" t="s">
        <v>106</v>
      </c>
      <c r="X134" t="s">
        <v>78</v>
      </c>
      <c r="Y134" s="1">
        <v>318</v>
      </c>
      <c r="Z134" s="1" t="str">
        <f t="shared" si="51"/>
        <v>Health: $318.00</v>
      </c>
      <c r="AA134" s="1">
        <f>IF(Y134="","",ROUND(Y134*'Lookup Values'!$A$2,2))</f>
        <v>28.22</v>
      </c>
      <c r="AB134" s="12" t="str">
        <f t="shared" si="52"/>
        <v>Expense</v>
      </c>
      <c r="AC134" s="2" t="s">
        <v>293</v>
      </c>
      <c r="AD134" s="3">
        <f t="shared" si="53"/>
        <v>40103</v>
      </c>
      <c r="AE134" s="93" t="str">
        <f t="shared" si="54"/>
        <v>NO</v>
      </c>
      <c r="AF134" s="2" t="str">
        <f t="shared" si="55"/>
        <v>NO</v>
      </c>
      <c r="AG134" t="str">
        <f t="shared" si="56"/>
        <v>Late Transaction</v>
      </c>
    </row>
    <row r="135" spans="1:33" x14ac:dyDescent="0.25">
      <c r="A135" s="2">
        <v>134</v>
      </c>
      <c r="B135" s="3" t="str">
        <f t="shared" si="38"/>
        <v>101203-IN-LEG</v>
      </c>
      <c r="C135" s="3">
        <v>40515</v>
      </c>
      <c r="D135" s="3">
        <f t="shared" si="40"/>
        <v>40529</v>
      </c>
      <c r="E135" s="3">
        <f t="shared" si="41"/>
        <v>40577</v>
      </c>
      <c r="F135" s="3">
        <f t="shared" si="42"/>
        <v>40543</v>
      </c>
      <c r="G135" s="76">
        <f t="shared" si="43"/>
        <v>2010</v>
      </c>
      <c r="H135" s="76">
        <f t="shared" si="44"/>
        <v>12</v>
      </c>
      <c r="I135" s="76" t="str">
        <f>VLOOKUP(H135,'Lookup Values'!$C$2:$D$13,2,FALSE)</f>
        <v>DEC</v>
      </c>
      <c r="J135" s="76">
        <f t="shared" si="45"/>
        <v>3</v>
      </c>
      <c r="K135" s="76">
        <f t="shared" si="46"/>
        <v>6</v>
      </c>
      <c r="L135" s="76" t="str">
        <f>VLOOKUP(K135,'Lookup Values'!$F$2:$G$8,2,FALSE)</f>
        <v>Friday</v>
      </c>
      <c r="M135" s="3">
        <v>40517</v>
      </c>
      <c r="N135" s="78">
        <f t="shared" si="39"/>
        <v>2</v>
      </c>
      <c r="O135" s="11">
        <v>0.43203454550110465</v>
      </c>
      <c r="P135" s="94">
        <f t="shared" si="47"/>
        <v>10</v>
      </c>
      <c r="Q135" s="94">
        <f t="shared" si="48"/>
        <v>22</v>
      </c>
      <c r="R135" s="94">
        <f t="shared" si="49"/>
        <v>8</v>
      </c>
      <c r="S135" s="94" t="str">
        <f>VLOOKUP(O135,'Lookup Values'!$I$2:$L$8,4,TRUE)</f>
        <v>Late Morning</v>
      </c>
      <c r="T135" t="s">
        <v>158</v>
      </c>
      <c r="U135" t="s">
        <v>160</v>
      </c>
      <c r="V135" t="str">
        <f t="shared" si="50"/>
        <v>Income: Freelance Project</v>
      </c>
      <c r="W135" t="s">
        <v>163</v>
      </c>
      <c r="X135" t="s">
        <v>78</v>
      </c>
      <c r="Y135" s="1">
        <v>150</v>
      </c>
      <c r="Z135" s="1" t="str">
        <f t="shared" si="51"/>
        <v>Income: $150.00</v>
      </c>
      <c r="AA135" s="1">
        <f>IF(Y135="","",ROUND(Y135*'Lookup Values'!$A$2,2))</f>
        <v>13.31</v>
      </c>
      <c r="AB135" s="12" t="str">
        <f t="shared" si="52"/>
        <v>Income</v>
      </c>
      <c r="AC135" s="2" t="s">
        <v>294</v>
      </c>
      <c r="AD135" s="3">
        <f t="shared" si="53"/>
        <v>40515</v>
      </c>
      <c r="AE135" s="93" t="str">
        <f t="shared" si="54"/>
        <v>NO</v>
      </c>
      <c r="AF135" s="2" t="str">
        <f t="shared" si="55"/>
        <v>NO</v>
      </c>
      <c r="AG135" t="str">
        <f t="shared" si="56"/>
        <v>Late Transaction</v>
      </c>
    </row>
    <row r="136" spans="1:33" x14ac:dyDescent="0.25">
      <c r="A136" s="2">
        <v>135</v>
      </c>
      <c r="B136" s="3" t="str">
        <f t="shared" si="38"/>
        <v>101004-IN-EZE</v>
      </c>
      <c r="C136" s="3">
        <v>40455</v>
      </c>
      <c r="D136" s="3">
        <f t="shared" si="40"/>
        <v>40469</v>
      </c>
      <c r="E136" s="3">
        <f t="shared" si="41"/>
        <v>40516</v>
      </c>
      <c r="F136" s="3">
        <f t="shared" si="42"/>
        <v>40482</v>
      </c>
      <c r="G136" s="76">
        <f t="shared" si="43"/>
        <v>2010</v>
      </c>
      <c r="H136" s="76">
        <f t="shared" si="44"/>
        <v>10</v>
      </c>
      <c r="I136" s="76" t="str">
        <f>VLOOKUP(H136,'Lookup Values'!$C$2:$D$13,2,FALSE)</f>
        <v>OCT</v>
      </c>
      <c r="J136" s="76">
        <f t="shared" si="45"/>
        <v>4</v>
      </c>
      <c r="K136" s="76">
        <f t="shared" si="46"/>
        <v>2</v>
      </c>
      <c r="L136" s="76" t="str">
        <f>VLOOKUP(K136,'Lookup Values'!$F$2:$G$8,2,FALSE)</f>
        <v>Monday</v>
      </c>
      <c r="M136" s="3">
        <v>40465</v>
      </c>
      <c r="N136" s="78">
        <f t="shared" si="39"/>
        <v>10</v>
      </c>
      <c r="O136" s="11">
        <v>0.15295112333348959</v>
      </c>
      <c r="P136" s="94">
        <f t="shared" si="47"/>
        <v>3</v>
      </c>
      <c r="Q136" s="94">
        <f t="shared" si="48"/>
        <v>40</v>
      </c>
      <c r="R136" s="94">
        <f t="shared" si="49"/>
        <v>15</v>
      </c>
      <c r="S136" s="94" t="str">
        <f>VLOOKUP(O136,'Lookup Values'!$I$2:$L$8,4,TRUE)</f>
        <v>Dead of Night</v>
      </c>
      <c r="T136" t="s">
        <v>158</v>
      </c>
      <c r="U136" t="s">
        <v>159</v>
      </c>
      <c r="V136" t="str">
        <f t="shared" si="50"/>
        <v>Income: Salary</v>
      </c>
      <c r="W136" t="s">
        <v>162</v>
      </c>
      <c r="X136" t="s">
        <v>91</v>
      </c>
      <c r="Y136" s="1">
        <v>181</v>
      </c>
      <c r="Z136" s="1" t="str">
        <f t="shared" si="51"/>
        <v>Income: $181.00</v>
      </c>
      <c r="AA136" s="1">
        <f>IF(Y136="","",ROUND(Y136*'Lookup Values'!$A$2,2))</f>
        <v>16.059999999999999</v>
      </c>
      <c r="AB136" s="12" t="str">
        <f t="shared" si="52"/>
        <v>Income</v>
      </c>
      <c r="AC136" s="2" t="s">
        <v>295</v>
      </c>
      <c r="AD136" s="3">
        <f t="shared" si="53"/>
        <v>40455</v>
      </c>
      <c r="AE136" s="93" t="str">
        <f t="shared" si="54"/>
        <v>NO</v>
      </c>
      <c r="AF136" s="2" t="str">
        <f t="shared" si="55"/>
        <v>NO</v>
      </c>
      <c r="AG136" t="str">
        <f t="shared" si="56"/>
        <v>Late Transaction</v>
      </c>
    </row>
    <row r="137" spans="1:33" x14ac:dyDescent="0.25">
      <c r="A137" s="2">
        <v>136</v>
      </c>
      <c r="B137" s="3" t="str">
        <f t="shared" si="38"/>
        <v>100313-EN-MOE</v>
      </c>
      <c r="C137" s="3">
        <v>40250</v>
      </c>
      <c r="D137" s="3">
        <f t="shared" si="40"/>
        <v>40263</v>
      </c>
      <c r="E137" s="3">
        <f t="shared" si="41"/>
        <v>40311</v>
      </c>
      <c r="F137" s="3">
        <f t="shared" si="42"/>
        <v>40268</v>
      </c>
      <c r="G137" s="76">
        <f t="shared" si="43"/>
        <v>2010</v>
      </c>
      <c r="H137" s="76">
        <f t="shared" si="44"/>
        <v>3</v>
      </c>
      <c r="I137" s="76" t="str">
        <f>VLOOKUP(H137,'Lookup Values'!$C$2:$D$13,2,FALSE)</f>
        <v>MAR</v>
      </c>
      <c r="J137" s="76">
        <f t="shared" si="45"/>
        <v>13</v>
      </c>
      <c r="K137" s="76">
        <f t="shared" si="46"/>
        <v>7</v>
      </c>
      <c r="L137" s="76" t="str">
        <f>VLOOKUP(K137,'Lookup Values'!$F$2:$G$8,2,FALSE)</f>
        <v>Saturday</v>
      </c>
      <c r="M137" s="3">
        <v>40255</v>
      </c>
      <c r="N137" s="78">
        <f t="shared" si="39"/>
        <v>5</v>
      </c>
      <c r="O137" s="11">
        <v>0.12678803951147843</v>
      </c>
      <c r="P137" s="94">
        <f t="shared" si="47"/>
        <v>3</v>
      </c>
      <c r="Q137" s="94">
        <f t="shared" si="48"/>
        <v>2</v>
      </c>
      <c r="R137" s="94">
        <f t="shared" si="49"/>
        <v>34</v>
      </c>
      <c r="S137" s="94" t="str">
        <f>VLOOKUP(O137,'Lookup Values'!$I$2:$L$8,4,TRUE)</f>
        <v>Dead of Night</v>
      </c>
      <c r="T137" t="s">
        <v>76</v>
      </c>
      <c r="U137" t="s">
        <v>77</v>
      </c>
      <c r="V137" t="str">
        <f t="shared" si="50"/>
        <v>Entertainment: Alcohol</v>
      </c>
      <c r="W137" t="s">
        <v>75</v>
      </c>
      <c r="X137" t="s">
        <v>88</v>
      </c>
      <c r="Y137" s="1">
        <v>260</v>
      </c>
      <c r="Z137" s="1" t="str">
        <f t="shared" si="51"/>
        <v>Entertainment: $260.00</v>
      </c>
      <c r="AA137" s="1">
        <f>IF(Y137="","",ROUND(Y137*'Lookup Values'!$A$2,2))</f>
        <v>23.08</v>
      </c>
      <c r="AB137" s="12" t="str">
        <f t="shared" si="52"/>
        <v>Expense</v>
      </c>
      <c r="AC137" s="2" t="s">
        <v>296</v>
      </c>
      <c r="AD137" s="3">
        <f t="shared" si="53"/>
        <v>40250</v>
      </c>
      <c r="AE137" s="93" t="str">
        <f t="shared" si="54"/>
        <v>NO</v>
      </c>
      <c r="AF137" s="2" t="str">
        <f t="shared" si="55"/>
        <v>NO</v>
      </c>
      <c r="AG137" t="str">
        <f t="shared" si="56"/>
        <v>CRAP Transaction</v>
      </c>
    </row>
    <row r="138" spans="1:33" x14ac:dyDescent="0.25">
      <c r="A138" s="2">
        <v>137</v>
      </c>
      <c r="B138" s="3" t="str">
        <f t="shared" si="38"/>
        <v>081105-SH-EXP</v>
      </c>
      <c r="C138" s="3">
        <v>39757</v>
      </c>
      <c r="D138" s="3">
        <f t="shared" si="40"/>
        <v>39771</v>
      </c>
      <c r="E138" s="3">
        <f t="shared" si="41"/>
        <v>39818</v>
      </c>
      <c r="F138" s="3">
        <f t="shared" si="42"/>
        <v>39782</v>
      </c>
      <c r="G138" s="76">
        <f t="shared" si="43"/>
        <v>2008</v>
      </c>
      <c r="H138" s="76">
        <f t="shared" si="44"/>
        <v>11</v>
      </c>
      <c r="I138" s="76" t="str">
        <f>VLOOKUP(H138,'Lookup Values'!$C$2:$D$13,2,FALSE)</f>
        <v>NOV</v>
      </c>
      <c r="J138" s="76">
        <f t="shared" si="45"/>
        <v>5</v>
      </c>
      <c r="K138" s="76">
        <f t="shared" si="46"/>
        <v>4</v>
      </c>
      <c r="L138" s="76" t="str">
        <f>VLOOKUP(K138,'Lookup Values'!$F$2:$G$8,2,FALSE)</f>
        <v>Wednesday</v>
      </c>
      <c r="M138" s="3">
        <v>39762</v>
      </c>
      <c r="N138" s="78">
        <f t="shared" si="39"/>
        <v>5</v>
      </c>
      <c r="O138" s="11">
        <v>0.72609475502638376</v>
      </c>
      <c r="P138" s="94">
        <f t="shared" si="47"/>
        <v>17</v>
      </c>
      <c r="Q138" s="94">
        <f t="shared" si="48"/>
        <v>25</v>
      </c>
      <c r="R138" s="94">
        <f t="shared" si="49"/>
        <v>35</v>
      </c>
      <c r="S138" s="94" t="str">
        <f>VLOOKUP(O138,'Lookup Values'!$I$2:$L$8,4,TRUE)</f>
        <v>Evening</v>
      </c>
      <c r="T138" t="s">
        <v>83</v>
      </c>
      <c r="U138" t="s">
        <v>103</v>
      </c>
      <c r="V138" t="str">
        <f t="shared" si="50"/>
        <v>Shopping: Clothing</v>
      </c>
      <c r="W138" t="s">
        <v>102</v>
      </c>
      <c r="X138" t="s">
        <v>88</v>
      </c>
      <c r="Y138" s="1">
        <v>274</v>
      </c>
      <c r="Z138" s="1" t="str">
        <f t="shared" si="51"/>
        <v>Shopping: $274.00</v>
      </c>
      <c r="AA138" s="1">
        <f>IF(Y138="","",ROUND(Y138*'Lookup Values'!$A$2,2))</f>
        <v>24.32</v>
      </c>
      <c r="AB138" s="12" t="str">
        <f t="shared" si="52"/>
        <v>Expense</v>
      </c>
      <c r="AC138" s="2" t="s">
        <v>297</v>
      </c>
      <c r="AD138" s="3">
        <f t="shared" si="53"/>
        <v>39757</v>
      </c>
      <c r="AE138" s="93" t="str">
        <f t="shared" si="54"/>
        <v>NO</v>
      </c>
      <c r="AF138" s="2" t="str">
        <f t="shared" si="55"/>
        <v>NO</v>
      </c>
      <c r="AG138" t="str">
        <f t="shared" si="56"/>
        <v>Awesome Transaction</v>
      </c>
    </row>
    <row r="139" spans="1:33" x14ac:dyDescent="0.25">
      <c r="A139" s="2">
        <v>138</v>
      </c>
      <c r="B139" s="3" t="str">
        <f t="shared" si="38"/>
        <v>071110-TR-MTA</v>
      </c>
      <c r="C139" s="3">
        <v>39396</v>
      </c>
      <c r="D139" s="3">
        <f t="shared" si="40"/>
        <v>39409</v>
      </c>
      <c r="E139" s="3">
        <f t="shared" si="41"/>
        <v>39457</v>
      </c>
      <c r="F139" s="3">
        <f t="shared" si="42"/>
        <v>39416</v>
      </c>
      <c r="G139" s="76">
        <f t="shared" si="43"/>
        <v>2007</v>
      </c>
      <c r="H139" s="76">
        <f t="shared" si="44"/>
        <v>11</v>
      </c>
      <c r="I139" s="76" t="str">
        <f>VLOOKUP(H139,'Lookup Values'!$C$2:$D$13,2,FALSE)</f>
        <v>NOV</v>
      </c>
      <c r="J139" s="76">
        <f t="shared" si="45"/>
        <v>10</v>
      </c>
      <c r="K139" s="76">
        <f t="shared" si="46"/>
        <v>7</v>
      </c>
      <c r="L139" s="76" t="str">
        <f>VLOOKUP(K139,'Lookup Values'!$F$2:$G$8,2,FALSE)</f>
        <v>Saturday</v>
      </c>
      <c r="M139" s="3">
        <v>39402</v>
      </c>
      <c r="N139" s="78">
        <f t="shared" si="39"/>
        <v>6</v>
      </c>
      <c r="O139" s="11">
        <v>0.19086685210454046</v>
      </c>
      <c r="P139" s="94">
        <f t="shared" si="47"/>
        <v>4</v>
      </c>
      <c r="Q139" s="94">
        <f t="shared" si="48"/>
        <v>34</v>
      </c>
      <c r="R139" s="94">
        <f t="shared" si="49"/>
        <v>51</v>
      </c>
      <c r="S139" s="94" t="str">
        <f>VLOOKUP(O139,'Lookup Values'!$I$2:$L$8,4,TRUE)</f>
        <v>Early Morning</v>
      </c>
      <c r="T139" t="s">
        <v>95</v>
      </c>
      <c r="U139" t="s">
        <v>96</v>
      </c>
      <c r="V139" t="str">
        <f t="shared" si="50"/>
        <v>Transportation: Subway</v>
      </c>
      <c r="W139" t="s">
        <v>94</v>
      </c>
      <c r="X139" t="s">
        <v>78</v>
      </c>
      <c r="Y139" s="1">
        <v>9</v>
      </c>
      <c r="Z139" s="1" t="str">
        <f t="shared" si="51"/>
        <v>Transportation: $9.00</v>
      </c>
      <c r="AA139" s="1">
        <f>IF(Y139="","",ROUND(Y139*'Lookup Values'!$A$2,2))</f>
        <v>0.8</v>
      </c>
      <c r="AB139" s="12" t="str">
        <f t="shared" si="52"/>
        <v>Expense</v>
      </c>
      <c r="AC139" s="2" t="s">
        <v>298</v>
      </c>
      <c r="AD139" s="3">
        <f t="shared" si="53"/>
        <v>39396</v>
      </c>
      <c r="AE139" s="93" t="str">
        <f t="shared" si="54"/>
        <v>YES</v>
      </c>
      <c r="AF139" s="2" t="str">
        <f t="shared" si="55"/>
        <v>NO</v>
      </c>
      <c r="AG139" t="str">
        <f t="shared" si="56"/>
        <v>Late Transaction</v>
      </c>
    </row>
    <row r="140" spans="1:33" x14ac:dyDescent="0.25">
      <c r="A140" s="2">
        <v>139</v>
      </c>
      <c r="B140" s="3" t="str">
        <f t="shared" si="38"/>
        <v>080322-FO-BAN</v>
      </c>
      <c r="C140" s="3">
        <v>39529</v>
      </c>
      <c r="D140" s="3">
        <f t="shared" si="40"/>
        <v>39542</v>
      </c>
      <c r="E140" s="3">
        <f t="shared" si="41"/>
        <v>39590</v>
      </c>
      <c r="F140" s="3">
        <f t="shared" si="42"/>
        <v>39538</v>
      </c>
      <c r="G140" s="76">
        <f t="shared" si="43"/>
        <v>2008</v>
      </c>
      <c r="H140" s="76">
        <f t="shared" si="44"/>
        <v>3</v>
      </c>
      <c r="I140" s="76" t="str">
        <f>VLOOKUP(H140,'Lookup Values'!$C$2:$D$13,2,FALSE)</f>
        <v>MAR</v>
      </c>
      <c r="J140" s="76">
        <f t="shared" si="45"/>
        <v>22</v>
      </c>
      <c r="K140" s="76">
        <f t="shared" si="46"/>
        <v>7</v>
      </c>
      <c r="L140" s="76" t="str">
        <f>VLOOKUP(K140,'Lookup Values'!$F$2:$G$8,2,FALSE)</f>
        <v>Saturday</v>
      </c>
      <c r="M140" s="3">
        <v>39538</v>
      </c>
      <c r="N140" s="78">
        <f t="shared" si="39"/>
        <v>9</v>
      </c>
      <c r="O140" s="11">
        <v>0.6990972800714006</v>
      </c>
      <c r="P140" s="94">
        <f t="shared" si="47"/>
        <v>16</v>
      </c>
      <c r="Q140" s="94">
        <f t="shared" si="48"/>
        <v>46</v>
      </c>
      <c r="R140" s="94">
        <f t="shared" si="49"/>
        <v>42</v>
      </c>
      <c r="S140" s="94" t="str">
        <f>VLOOKUP(O140,'Lookup Values'!$I$2:$L$8,4,TRUE)</f>
        <v>Afternoon</v>
      </c>
      <c r="T140" t="s">
        <v>80</v>
      </c>
      <c r="U140" t="s">
        <v>81</v>
      </c>
      <c r="V140" t="str">
        <f t="shared" si="50"/>
        <v>Food: Restaurants</v>
      </c>
      <c r="W140" t="s">
        <v>79</v>
      </c>
      <c r="X140" t="s">
        <v>91</v>
      </c>
      <c r="Y140" s="1">
        <v>148</v>
      </c>
      <c r="Z140" s="1" t="str">
        <f t="shared" si="51"/>
        <v>Food: $148.00</v>
      </c>
      <c r="AA140" s="1">
        <f>IF(Y140="","",ROUND(Y140*'Lookup Values'!$A$2,2))</f>
        <v>13.14</v>
      </c>
      <c r="AB140" s="12" t="str">
        <f t="shared" si="52"/>
        <v>Expense</v>
      </c>
      <c r="AC140" s="2" t="s">
        <v>299</v>
      </c>
      <c r="AD140" s="3">
        <f t="shared" si="53"/>
        <v>39529</v>
      </c>
      <c r="AE140" s="93" t="str">
        <f t="shared" si="54"/>
        <v>NO</v>
      </c>
      <c r="AF140" s="2" t="str">
        <f t="shared" si="55"/>
        <v>NO</v>
      </c>
      <c r="AG140" t="str">
        <f t="shared" si="56"/>
        <v>Awesome Transaction</v>
      </c>
    </row>
    <row r="141" spans="1:33" x14ac:dyDescent="0.25">
      <c r="A141" s="2">
        <v>140</v>
      </c>
      <c r="B141" s="3" t="str">
        <f t="shared" si="38"/>
        <v>080118-IN-LEG</v>
      </c>
      <c r="C141" s="3">
        <v>39465</v>
      </c>
      <c r="D141" s="3">
        <f t="shared" si="40"/>
        <v>39479</v>
      </c>
      <c r="E141" s="3">
        <f t="shared" si="41"/>
        <v>39525</v>
      </c>
      <c r="F141" s="3">
        <f t="shared" si="42"/>
        <v>39478</v>
      </c>
      <c r="G141" s="76">
        <f t="shared" si="43"/>
        <v>2008</v>
      </c>
      <c r="H141" s="76">
        <f t="shared" si="44"/>
        <v>1</v>
      </c>
      <c r="I141" s="76" t="str">
        <f>VLOOKUP(H141,'Lookup Values'!$C$2:$D$13,2,FALSE)</f>
        <v>JAN</v>
      </c>
      <c r="J141" s="76">
        <f t="shared" si="45"/>
        <v>18</v>
      </c>
      <c r="K141" s="76">
        <f t="shared" si="46"/>
        <v>6</v>
      </c>
      <c r="L141" s="76" t="str">
        <f>VLOOKUP(K141,'Lookup Values'!$F$2:$G$8,2,FALSE)</f>
        <v>Friday</v>
      </c>
      <c r="M141" s="3">
        <v>39471</v>
      </c>
      <c r="N141" s="78">
        <f t="shared" si="39"/>
        <v>6</v>
      </c>
      <c r="O141" s="11">
        <v>0.45496413738656016</v>
      </c>
      <c r="P141" s="94">
        <f t="shared" si="47"/>
        <v>10</v>
      </c>
      <c r="Q141" s="94">
        <f t="shared" si="48"/>
        <v>55</v>
      </c>
      <c r="R141" s="94">
        <f t="shared" si="49"/>
        <v>9</v>
      </c>
      <c r="S141" s="94" t="str">
        <f>VLOOKUP(O141,'Lookup Values'!$I$2:$L$8,4,TRUE)</f>
        <v>Late Morning</v>
      </c>
      <c r="T141" t="s">
        <v>158</v>
      </c>
      <c r="U141" t="s">
        <v>160</v>
      </c>
      <c r="V141" t="str">
        <f t="shared" si="50"/>
        <v>Income: Freelance Project</v>
      </c>
      <c r="W141" t="s">
        <v>163</v>
      </c>
      <c r="X141" t="s">
        <v>78</v>
      </c>
      <c r="Y141" s="1">
        <v>435</v>
      </c>
      <c r="Z141" s="1" t="str">
        <f t="shared" si="51"/>
        <v>Income: $435.00</v>
      </c>
      <c r="AA141" s="1">
        <f>IF(Y141="","",ROUND(Y141*'Lookup Values'!$A$2,2))</f>
        <v>38.61</v>
      </c>
      <c r="AB141" s="12" t="str">
        <f t="shared" si="52"/>
        <v>Income</v>
      </c>
      <c r="AC141" s="2" t="s">
        <v>300</v>
      </c>
      <c r="AD141" s="3">
        <f t="shared" si="53"/>
        <v>39465</v>
      </c>
      <c r="AE141" s="93" t="str">
        <f t="shared" si="54"/>
        <v>NO</v>
      </c>
      <c r="AF141" s="2" t="str">
        <f t="shared" si="55"/>
        <v>NO</v>
      </c>
      <c r="AG141" t="str">
        <f t="shared" si="56"/>
        <v>Late Transaction</v>
      </c>
    </row>
    <row r="142" spans="1:33" x14ac:dyDescent="0.25">
      <c r="A142" s="2">
        <v>141</v>
      </c>
      <c r="B142" s="3" t="str">
        <f t="shared" si="38"/>
        <v>090406-FO-TRA</v>
      </c>
      <c r="C142" s="3">
        <v>39909</v>
      </c>
      <c r="D142" s="3">
        <f t="shared" si="40"/>
        <v>39923</v>
      </c>
      <c r="E142" s="3">
        <f t="shared" si="41"/>
        <v>39970</v>
      </c>
      <c r="F142" s="3">
        <f t="shared" si="42"/>
        <v>39933</v>
      </c>
      <c r="G142" s="76">
        <f t="shared" si="43"/>
        <v>2009</v>
      </c>
      <c r="H142" s="76">
        <f t="shared" si="44"/>
        <v>4</v>
      </c>
      <c r="I142" s="76" t="str">
        <f>VLOOKUP(H142,'Lookup Values'!$C$2:$D$13,2,FALSE)</f>
        <v>APR</v>
      </c>
      <c r="J142" s="76">
        <f t="shared" si="45"/>
        <v>6</v>
      </c>
      <c r="K142" s="76">
        <f t="shared" si="46"/>
        <v>2</v>
      </c>
      <c r="L142" s="76" t="str">
        <f>VLOOKUP(K142,'Lookup Values'!$F$2:$G$8,2,FALSE)</f>
        <v>Monday</v>
      </c>
      <c r="M142" s="3">
        <v>39917</v>
      </c>
      <c r="N142" s="78">
        <f t="shared" si="39"/>
        <v>8</v>
      </c>
      <c r="O142" s="11">
        <v>0.45254835392131343</v>
      </c>
      <c r="P142" s="94">
        <f t="shared" si="47"/>
        <v>10</v>
      </c>
      <c r="Q142" s="94">
        <f t="shared" si="48"/>
        <v>51</v>
      </c>
      <c r="R142" s="94">
        <f t="shared" si="49"/>
        <v>40</v>
      </c>
      <c r="S142" s="94" t="str">
        <f>VLOOKUP(O142,'Lookup Values'!$I$2:$L$8,4,TRUE)</f>
        <v>Late Morning</v>
      </c>
      <c r="T142" t="s">
        <v>80</v>
      </c>
      <c r="U142" t="s">
        <v>93</v>
      </c>
      <c r="V142" t="str">
        <f t="shared" si="50"/>
        <v>Food: Groceries</v>
      </c>
      <c r="W142" t="s">
        <v>92</v>
      </c>
      <c r="X142" t="s">
        <v>78</v>
      </c>
      <c r="Y142" s="1">
        <v>487</v>
      </c>
      <c r="Z142" s="1" t="str">
        <f t="shared" si="51"/>
        <v>Food: $487.00</v>
      </c>
      <c r="AA142" s="1">
        <f>IF(Y142="","",ROUND(Y142*'Lookup Values'!$A$2,2))</f>
        <v>43.22</v>
      </c>
      <c r="AB142" s="12" t="str">
        <f t="shared" si="52"/>
        <v>Expense</v>
      </c>
      <c r="AC142" s="2" t="s">
        <v>301</v>
      </c>
      <c r="AD142" s="3">
        <f t="shared" si="53"/>
        <v>39909</v>
      </c>
      <c r="AE142" s="93" t="str">
        <f t="shared" si="54"/>
        <v>NO</v>
      </c>
      <c r="AF142" s="2" t="str">
        <f t="shared" si="55"/>
        <v>NO</v>
      </c>
      <c r="AG142" t="str">
        <f t="shared" si="56"/>
        <v>Awesome Transaction</v>
      </c>
    </row>
    <row r="143" spans="1:33" x14ac:dyDescent="0.25">
      <c r="A143" s="2">
        <v>142</v>
      </c>
      <c r="B143" s="3" t="str">
        <f t="shared" si="38"/>
        <v>120206-FO-CIT</v>
      </c>
      <c r="C143" s="3">
        <v>40945</v>
      </c>
      <c r="D143" s="3">
        <f t="shared" si="40"/>
        <v>40959</v>
      </c>
      <c r="E143" s="3">
        <f t="shared" si="41"/>
        <v>41005</v>
      </c>
      <c r="F143" s="3">
        <f t="shared" si="42"/>
        <v>40968</v>
      </c>
      <c r="G143" s="76">
        <f t="shared" si="43"/>
        <v>2012</v>
      </c>
      <c r="H143" s="76">
        <f t="shared" si="44"/>
        <v>2</v>
      </c>
      <c r="I143" s="76" t="str">
        <f>VLOOKUP(H143,'Lookup Values'!$C$2:$D$13,2,FALSE)</f>
        <v>FEB</v>
      </c>
      <c r="J143" s="76">
        <f t="shared" si="45"/>
        <v>6</v>
      </c>
      <c r="K143" s="76">
        <f t="shared" si="46"/>
        <v>2</v>
      </c>
      <c r="L143" s="76" t="str">
        <f>VLOOKUP(K143,'Lookup Values'!$F$2:$G$8,2,FALSE)</f>
        <v>Monday</v>
      </c>
      <c r="M143" s="3">
        <v>40953</v>
      </c>
      <c r="N143" s="78">
        <f t="shared" si="39"/>
        <v>8</v>
      </c>
      <c r="O143" s="11">
        <v>0.4499471389546229</v>
      </c>
      <c r="P143" s="94">
        <f t="shared" si="47"/>
        <v>10</v>
      </c>
      <c r="Q143" s="94">
        <f t="shared" si="48"/>
        <v>47</v>
      </c>
      <c r="R143" s="94">
        <f t="shared" si="49"/>
        <v>55</v>
      </c>
      <c r="S143" s="94" t="str">
        <f>VLOOKUP(O143,'Lookup Values'!$I$2:$L$8,4,TRUE)</f>
        <v>Late Morning</v>
      </c>
      <c r="T143" t="s">
        <v>80</v>
      </c>
      <c r="U143" t="s">
        <v>105</v>
      </c>
      <c r="V143" t="str">
        <f t="shared" si="50"/>
        <v>Food: Coffee</v>
      </c>
      <c r="W143" t="s">
        <v>104</v>
      </c>
      <c r="X143" t="s">
        <v>91</v>
      </c>
      <c r="Y143" s="1">
        <v>104</v>
      </c>
      <c r="Z143" s="1" t="str">
        <f t="shared" si="51"/>
        <v>Food: $104.00</v>
      </c>
      <c r="AA143" s="1">
        <f>IF(Y143="","",ROUND(Y143*'Lookup Values'!$A$2,2))</f>
        <v>9.23</v>
      </c>
      <c r="AB143" s="12" t="str">
        <f t="shared" si="52"/>
        <v>Expense</v>
      </c>
      <c r="AC143" s="2" t="s">
        <v>302</v>
      </c>
      <c r="AD143" s="3">
        <f t="shared" si="53"/>
        <v>40945</v>
      </c>
      <c r="AE143" s="93" t="str">
        <f t="shared" si="54"/>
        <v>NO</v>
      </c>
      <c r="AF143" s="2" t="str">
        <f t="shared" si="55"/>
        <v>NO</v>
      </c>
      <c r="AG143" t="str">
        <f t="shared" si="56"/>
        <v>CRAP Transaction</v>
      </c>
    </row>
    <row r="144" spans="1:33" x14ac:dyDescent="0.25">
      <c r="A144" s="2">
        <v>143</v>
      </c>
      <c r="B144" s="3" t="str">
        <f t="shared" si="38"/>
        <v>110419-FO-CIT</v>
      </c>
      <c r="C144" s="3">
        <v>40652</v>
      </c>
      <c r="D144" s="3">
        <f t="shared" si="40"/>
        <v>40666</v>
      </c>
      <c r="E144" s="3">
        <f t="shared" si="41"/>
        <v>40713</v>
      </c>
      <c r="F144" s="3">
        <f t="shared" si="42"/>
        <v>40663</v>
      </c>
      <c r="G144" s="76">
        <f t="shared" si="43"/>
        <v>2011</v>
      </c>
      <c r="H144" s="76">
        <f t="shared" si="44"/>
        <v>4</v>
      </c>
      <c r="I144" s="76" t="str">
        <f>VLOOKUP(H144,'Lookup Values'!$C$2:$D$13,2,FALSE)</f>
        <v>APR</v>
      </c>
      <c r="J144" s="76">
        <f t="shared" si="45"/>
        <v>19</v>
      </c>
      <c r="K144" s="76">
        <f t="shared" si="46"/>
        <v>3</v>
      </c>
      <c r="L144" s="76" t="str">
        <f>VLOOKUP(K144,'Lookup Values'!$F$2:$G$8,2,FALSE)</f>
        <v>Tuesday</v>
      </c>
      <c r="M144" s="3">
        <v>40655</v>
      </c>
      <c r="N144" s="78">
        <f t="shared" si="39"/>
        <v>3</v>
      </c>
      <c r="O144" s="11">
        <v>0.12176073963876233</v>
      </c>
      <c r="P144" s="94">
        <f t="shared" si="47"/>
        <v>2</v>
      </c>
      <c r="Q144" s="94">
        <f t="shared" si="48"/>
        <v>55</v>
      </c>
      <c r="R144" s="94">
        <f t="shared" si="49"/>
        <v>20</v>
      </c>
      <c r="S144" s="94" t="str">
        <f>VLOOKUP(O144,'Lookup Values'!$I$2:$L$8,4,TRUE)</f>
        <v>Dead of Night</v>
      </c>
      <c r="T144" t="s">
        <v>80</v>
      </c>
      <c r="U144" t="s">
        <v>105</v>
      </c>
      <c r="V144" t="str">
        <f t="shared" si="50"/>
        <v>Food: Coffee</v>
      </c>
      <c r="W144" t="s">
        <v>104</v>
      </c>
      <c r="X144" t="s">
        <v>78</v>
      </c>
      <c r="Y144" s="1">
        <v>401</v>
      </c>
      <c r="Z144" s="1" t="str">
        <f t="shared" si="51"/>
        <v>Food: $401.00</v>
      </c>
      <c r="AA144" s="1">
        <f>IF(Y144="","",ROUND(Y144*'Lookup Values'!$A$2,2))</f>
        <v>35.590000000000003</v>
      </c>
      <c r="AB144" s="12" t="str">
        <f t="shared" si="52"/>
        <v>Expense</v>
      </c>
      <c r="AC144" s="2" t="s">
        <v>303</v>
      </c>
      <c r="AD144" s="3">
        <f t="shared" si="53"/>
        <v>40652</v>
      </c>
      <c r="AE144" s="93" t="str">
        <f t="shared" si="54"/>
        <v>NO</v>
      </c>
      <c r="AF144" s="2" t="str">
        <f t="shared" si="55"/>
        <v>NO</v>
      </c>
      <c r="AG144" t="str">
        <f t="shared" si="56"/>
        <v>CRAP Transaction</v>
      </c>
    </row>
    <row r="145" spans="1:33" x14ac:dyDescent="0.25">
      <c r="A145" s="2">
        <v>144</v>
      </c>
      <c r="B145" s="3" t="str">
        <f t="shared" si="38"/>
        <v>070504-TR-MTA</v>
      </c>
      <c r="C145" s="3">
        <v>39206</v>
      </c>
      <c r="D145" s="3">
        <f t="shared" si="40"/>
        <v>39220</v>
      </c>
      <c r="E145" s="3">
        <f t="shared" si="41"/>
        <v>39267</v>
      </c>
      <c r="F145" s="3">
        <f t="shared" si="42"/>
        <v>39233</v>
      </c>
      <c r="G145" s="76">
        <f t="shared" si="43"/>
        <v>2007</v>
      </c>
      <c r="H145" s="76">
        <f t="shared" si="44"/>
        <v>5</v>
      </c>
      <c r="I145" s="76" t="str">
        <f>VLOOKUP(H145,'Lookup Values'!$C$2:$D$13,2,FALSE)</f>
        <v>MAY</v>
      </c>
      <c r="J145" s="76">
        <f t="shared" si="45"/>
        <v>4</v>
      </c>
      <c r="K145" s="76">
        <f t="shared" si="46"/>
        <v>6</v>
      </c>
      <c r="L145" s="76" t="str">
        <f>VLOOKUP(K145,'Lookup Values'!$F$2:$G$8,2,FALSE)</f>
        <v>Friday</v>
      </c>
      <c r="M145" s="3">
        <v>39207</v>
      </c>
      <c r="N145" s="78">
        <f t="shared" si="39"/>
        <v>1</v>
      </c>
      <c r="O145" s="11">
        <v>5.9476413275806106E-2</v>
      </c>
      <c r="P145" s="94">
        <f t="shared" si="47"/>
        <v>1</v>
      </c>
      <c r="Q145" s="94">
        <f t="shared" si="48"/>
        <v>25</v>
      </c>
      <c r="R145" s="94">
        <f t="shared" si="49"/>
        <v>39</v>
      </c>
      <c r="S145" s="94" t="str">
        <f>VLOOKUP(O145,'Lookup Values'!$I$2:$L$8,4,TRUE)</f>
        <v>Dead of Night</v>
      </c>
      <c r="T145" t="s">
        <v>95</v>
      </c>
      <c r="U145" t="s">
        <v>96</v>
      </c>
      <c r="V145" t="str">
        <f t="shared" si="50"/>
        <v>Transportation: Subway</v>
      </c>
      <c r="W145" t="s">
        <v>94</v>
      </c>
      <c r="X145" t="s">
        <v>78</v>
      </c>
      <c r="Y145" s="1">
        <v>218</v>
      </c>
      <c r="Z145" s="1" t="str">
        <f t="shared" si="51"/>
        <v>Transportation: $218.00</v>
      </c>
      <c r="AA145" s="1">
        <f>IF(Y145="","",ROUND(Y145*'Lookup Values'!$A$2,2))</f>
        <v>19.350000000000001</v>
      </c>
      <c r="AB145" s="12" t="str">
        <f t="shared" si="52"/>
        <v>Expense</v>
      </c>
      <c r="AC145" s="2" t="s">
        <v>216</v>
      </c>
      <c r="AD145" s="3">
        <f t="shared" si="53"/>
        <v>39206</v>
      </c>
      <c r="AE145" s="93" t="str">
        <f t="shared" si="54"/>
        <v>YES</v>
      </c>
      <c r="AF145" s="2" t="str">
        <f t="shared" si="55"/>
        <v>NO</v>
      </c>
      <c r="AG145" t="str">
        <f t="shared" si="56"/>
        <v>Late Transaction</v>
      </c>
    </row>
    <row r="146" spans="1:33" x14ac:dyDescent="0.25">
      <c r="A146" s="2">
        <v>145</v>
      </c>
      <c r="B146" s="3" t="str">
        <f t="shared" si="38"/>
        <v>100503-HE-FRE</v>
      </c>
      <c r="C146" s="3">
        <v>40301</v>
      </c>
      <c r="D146" s="3">
        <f t="shared" si="40"/>
        <v>40315</v>
      </c>
      <c r="E146" s="3">
        <f t="shared" si="41"/>
        <v>40362</v>
      </c>
      <c r="F146" s="3">
        <f t="shared" si="42"/>
        <v>40329</v>
      </c>
      <c r="G146" s="76">
        <f t="shared" si="43"/>
        <v>2010</v>
      </c>
      <c r="H146" s="76">
        <f t="shared" si="44"/>
        <v>5</v>
      </c>
      <c r="I146" s="76" t="str">
        <f>VLOOKUP(H146,'Lookup Values'!$C$2:$D$13,2,FALSE)</f>
        <v>MAY</v>
      </c>
      <c r="J146" s="76">
        <f t="shared" si="45"/>
        <v>3</v>
      </c>
      <c r="K146" s="76">
        <f t="shared" si="46"/>
        <v>2</v>
      </c>
      <c r="L146" s="76" t="str">
        <f>VLOOKUP(K146,'Lookup Values'!$F$2:$G$8,2,FALSE)</f>
        <v>Monday</v>
      </c>
      <c r="M146" s="3">
        <v>40307</v>
      </c>
      <c r="N146" s="78">
        <f t="shared" si="39"/>
        <v>6</v>
      </c>
      <c r="O146" s="11">
        <v>0.72339283074052485</v>
      </c>
      <c r="P146" s="94">
        <f t="shared" si="47"/>
        <v>17</v>
      </c>
      <c r="Q146" s="94">
        <f t="shared" si="48"/>
        <v>21</v>
      </c>
      <c r="R146" s="94">
        <f t="shared" si="49"/>
        <v>41</v>
      </c>
      <c r="S146" s="94" t="str">
        <f>VLOOKUP(O146,'Lookup Values'!$I$2:$L$8,4,TRUE)</f>
        <v>Evening</v>
      </c>
      <c r="T146" t="s">
        <v>107</v>
      </c>
      <c r="U146" t="s">
        <v>108</v>
      </c>
      <c r="V146" t="str">
        <f t="shared" si="50"/>
        <v>Health: Insurance Premium</v>
      </c>
      <c r="W146" t="s">
        <v>106</v>
      </c>
      <c r="X146" t="s">
        <v>88</v>
      </c>
      <c r="Y146" s="1">
        <v>248</v>
      </c>
      <c r="Z146" s="1" t="str">
        <f t="shared" si="51"/>
        <v>Health: $248.00</v>
      </c>
      <c r="AA146" s="1">
        <f>IF(Y146="","",ROUND(Y146*'Lookup Values'!$A$2,2))</f>
        <v>22.01</v>
      </c>
      <c r="AB146" s="12" t="str">
        <f t="shared" si="52"/>
        <v>Expense</v>
      </c>
      <c r="AC146" s="2" t="s">
        <v>304</v>
      </c>
      <c r="AD146" s="3">
        <f t="shared" si="53"/>
        <v>40301</v>
      </c>
      <c r="AE146" s="93" t="str">
        <f t="shared" si="54"/>
        <v>NO</v>
      </c>
      <c r="AF146" s="2" t="str">
        <f t="shared" si="55"/>
        <v>NO</v>
      </c>
      <c r="AG146" t="str">
        <f t="shared" si="56"/>
        <v>Late Transaction</v>
      </c>
    </row>
    <row r="147" spans="1:33" x14ac:dyDescent="0.25">
      <c r="A147" s="2">
        <v>146</v>
      </c>
      <c r="B147" s="3" t="str">
        <f t="shared" si="38"/>
        <v>120624-BI-CON</v>
      </c>
      <c r="C147" s="3">
        <v>41084</v>
      </c>
      <c r="D147" s="3">
        <f t="shared" si="40"/>
        <v>41096</v>
      </c>
      <c r="E147" s="3">
        <f t="shared" si="41"/>
        <v>41145</v>
      </c>
      <c r="F147" s="3">
        <f t="shared" si="42"/>
        <v>41090</v>
      </c>
      <c r="G147" s="76">
        <f t="shared" si="43"/>
        <v>2012</v>
      </c>
      <c r="H147" s="76">
        <f t="shared" si="44"/>
        <v>6</v>
      </c>
      <c r="I147" s="76" t="str">
        <f>VLOOKUP(H147,'Lookup Values'!$C$2:$D$13,2,FALSE)</f>
        <v>JUN</v>
      </c>
      <c r="J147" s="76">
        <f t="shared" si="45"/>
        <v>24</v>
      </c>
      <c r="K147" s="76">
        <f t="shared" si="46"/>
        <v>1</v>
      </c>
      <c r="L147" s="76" t="str">
        <f>VLOOKUP(K147,'Lookup Values'!$F$2:$G$8,2,FALSE)</f>
        <v>Sunday</v>
      </c>
      <c r="M147" s="3">
        <v>41093</v>
      </c>
      <c r="N147" s="78">
        <f t="shared" si="39"/>
        <v>9</v>
      </c>
      <c r="O147" s="11">
        <v>0.77625060719850481</v>
      </c>
      <c r="P147" s="94">
        <f t="shared" si="47"/>
        <v>18</v>
      </c>
      <c r="Q147" s="94">
        <f t="shared" si="48"/>
        <v>37</v>
      </c>
      <c r="R147" s="94">
        <f t="shared" si="49"/>
        <v>48</v>
      </c>
      <c r="S147" s="94" t="str">
        <f>VLOOKUP(O147,'Lookup Values'!$I$2:$L$8,4,TRUE)</f>
        <v>Evening</v>
      </c>
      <c r="T147" t="s">
        <v>110</v>
      </c>
      <c r="U147" t="s">
        <v>111</v>
      </c>
      <c r="V147" t="str">
        <f t="shared" si="50"/>
        <v>Bills: Utilities</v>
      </c>
      <c r="W147" t="s">
        <v>109</v>
      </c>
      <c r="X147" t="s">
        <v>91</v>
      </c>
      <c r="Y147" s="1">
        <v>248</v>
      </c>
      <c r="Z147" s="1" t="str">
        <f t="shared" si="51"/>
        <v>Bills: $248.00</v>
      </c>
      <c r="AA147" s="1">
        <f>IF(Y147="","",ROUND(Y147*'Lookup Values'!$A$2,2))</f>
        <v>22.01</v>
      </c>
      <c r="AB147" s="12" t="str">
        <f t="shared" si="52"/>
        <v>Expense</v>
      </c>
      <c r="AC147" s="2" t="s">
        <v>305</v>
      </c>
      <c r="AD147" s="3">
        <f t="shared" si="53"/>
        <v>41084</v>
      </c>
      <c r="AE147" s="93" t="str">
        <f t="shared" si="54"/>
        <v>NO</v>
      </c>
      <c r="AF147" s="2" t="str">
        <f t="shared" si="55"/>
        <v>NO</v>
      </c>
      <c r="AG147" t="str">
        <f t="shared" si="56"/>
        <v>CRAP Transaction</v>
      </c>
    </row>
    <row r="148" spans="1:33" x14ac:dyDescent="0.25">
      <c r="A148" s="2">
        <v>147</v>
      </c>
      <c r="B148" s="3" t="str">
        <f t="shared" si="38"/>
        <v>080324-HE-FRE</v>
      </c>
      <c r="C148" s="3">
        <v>39531</v>
      </c>
      <c r="D148" s="3">
        <f t="shared" si="40"/>
        <v>39545</v>
      </c>
      <c r="E148" s="3">
        <f t="shared" si="41"/>
        <v>39592</v>
      </c>
      <c r="F148" s="3">
        <f t="shared" si="42"/>
        <v>39538</v>
      </c>
      <c r="G148" s="76">
        <f t="shared" si="43"/>
        <v>2008</v>
      </c>
      <c r="H148" s="76">
        <f t="shared" si="44"/>
        <v>3</v>
      </c>
      <c r="I148" s="76" t="str">
        <f>VLOOKUP(H148,'Lookup Values'!$C$2:$D$13,2,FALSE)</f>
        <v>MAR</v>
      </c>
      <c r="J148" s="76">
        <f t="shared" si="45"/>
        <v>24</v>
      </c>
      <c r="K148" s="76">
        <f t="shared" si="46"/>
        <v>2</v>
      </c>
      <c r="L148" s="76" t="str">
        <f>VLOOKUP(K148,'Lookup Values'!$F$2:$G$8,2,FALSE)</f>
        <v>Monday</v>
      </c>
      <c r="M148" s="3">
        <v>39532</v>
      </c>
      <c r="N148" s="78">
        <f t="shared" si="39"/>
        <v>1</v>
      </c>
      <c r="O148" s="11">
        <v>0.27136338067542753</v>
      </c>
      <c r="P148" s="94">
        <f t="shared" si="47"/>
        <v>6</v>
      </c>
      <c r="Q148" s="94">
        <f t="shared" si="48"/>
        <v>30</v>
      </c>
      <c r="R148" s="94">
        <f t="shared" si="49"/>
        <v>46</v>
      </c>
      <c r="S148" s="94" t="str">
        <f>VLOOKUP(O148,'Lookup Values'!$I$2:$L$8,4,TRUE)</f>
        <v>Early Morning</v>
      </c>
      <c r="T148" t="s">
        <v>107</v>
      </c>
      <c r="U148" t="s">
        <v>108</v>
      </c>
      <c r="V148" t="str">
        <f t="shared" si="50"/>
        <v>Health: Insurance Premium</v>
      </c>
      <c r="W148" t="s">
        <v>106</v>
      </c>
      <c r="X148" t="s">
        <v>78</v>
      </c>
      <c r="Y148" s="1">
        <v>187</v>
      </c>
      <c r="Z148" s="1" t="str">
        <f t="shared" si="51"/>
        <v>Health: $187.00</v>
      </c>
      <c r="AA148" s="1">
        <f>IF(Y148="","",ROUND(Y148*'Lookup Values'!$A$2,2))</f>
        <v>16.600000000000001</v>
      </c>
      <c r="AB148" s="12" t="str">
        <f t="shared" si="52"/>
        <v>Expense</v>
      </c>
      <c r="AC148" s="2" t="s">
        <v>306</v>
      </c>
      <c r="AD148" s="3">
        <f t="shared" si="53"/>
        <v>39531</v>
      </c>
      <c r="AE148" s="93" t="str">
        <f t="shared" si="54"/>
        <v>NO</v>
      </c>
      <c r="AF148" s="2" t="str">
        <f t="shared" si="55"/>
        <v>NO</v>
      </c>
      <c r="AG148" t="str">
        <f t="shared" si="56"/>
        <v>Late Transaction</v>
      </c>
    </row>
    <row r="149" spans="1:33" x14ac:dyDescent="0.25">
      <c r="A149" s="2">
        <v>148</v>
      </c>
      <c r="B149" s="3" t="str">
        <f t="shared" si="38"/>
        <v>110426-FO-TRA</v>
      </c>
      <c r="C149" s="3">
        <v>40659</v>
      </c>
      <c r="D149" s="3">
        <f t="shared" si="40"/>
        <v>40673</v>
      </c>
      <c r="E149" s="3">
        <f t="shared" si="41"/>
        <v>40720</v>
      </c>
      <c r="F149" s="3">
        <f t="shared" si="42"/>
        <v>40663</v>
      </c>
      <c r="G149" s="76">
        <f t="shared" si="43"/>
        <v>2011</v>
      </c>
      <c r="H149" s="76">
        <f t="shared" si="44"/>
        <v>4</v>
      </c>
      <c r="I149" s="76" t="str">
        <f>VLOOKUP(H149,'Lookup Values'!$C$2:$D$13,2,FALSE)</f>
        <v>APR</v>
      </c>
      <c r="J149" s="76">
        <f t="shared" si="45"/>
        <v>26</v>
      </c>
      <c r="K149" s="76">
        <f t="shared" si="46"/>
        <v>3</v>
      </c>
      <c r="L149" s="76" t="str">
        <f>VLOOKUP(K149,'Lookup Values'!$F$2:$G$8,2,FALSE)</f>
        <v>Tuesday</v>
      </c>
      <c r="M149" s="3">
        <v>40668</v>
      </c>
      <c r="N149" s="78">
        <f t="shared" si="39"/>
        <v>9</v>
      </c>
      <c r="O149" s="11">
        <v>0.93028042190550331</v>
      </c>
      <c r="P149" s="94">
        <f t="shared" si="47"/>
        <v>22</v>
      </c>
      <c r="Q149" s="94">
        <f t="shared" si="48"/>
        <v>19</v>
      </c>
      <c r="R149" s="94">
        <f t="shared" si="49"/>
        <v>36</v>
      </c>
      <c r="S149" s="94" t="str">
        <f>VLOOKUP(O149,'Lookup Values'!$I$2:$L$8,4,TRUE)</f>
        <v>Late Evening</v>
      </c>
      <c r="T149" t="s">
        <v>80</v>
      </c>
      <c r="U149" t="s">
        <v>93</v>
      </c>
      <c r="V149" t="str">
        <f t="shared" si="50"/>
        <v>Food: Groceries</v>
      </c>
      <c r="W149" t="s">
        <v>92</v>
      </c>
      <c r="X149" t="s">
        <v>88</v>
      </c>
      <c r="Y149" s="1">
        <v>349</v>
      </c>
      <c r="Z149" s="1" t="str">
        <f t="shared" si="51"/>
        <v>Food: $349.00</v>
      </c>
      <c r="AA149" s="1">
        <f>IF(Y149="","",ROUND(Y149*'Lookup Values'!$A$2,2))</f>
        <v>30.97</v>
      </c>
      <c r="AB149" s="12" t="str">
        <f t="shared" si="52"/>
        <v>Expense</v>
      </c>
      <c r="AC149" s="2" t="s">
        <v>307</v>
      </c>
      <c r="AD149" s="3">
        <f t="shared" si="53"/>
        <v>40659</v>
      </c>
      <c r="AE149" s="93" t="str">
        <f t="shared" si="54"/>
        <v>NO</v>
      </c>
      <c r="AF149" s="2" t="str">
        <f t="shared" si="55"/>
        <v>NO</v>
      </c>
      <c r="AG149" t="str">
        <f t="shared" si="56"/>
        <v>CRAP Transaction</v>
      </c>
    </row>
    <row r="150" spans="1:33" x14ac:dyDescent="0.25">
      <c r="A150" s="2">
        <v>149</v>
      </c>
      <c r="B150" s="3" t="str">
        <f t="shared" si="38"/>
        <v>090613-ED-SKI</v>
      </c>
      <c r="C150" s="3">
        <v>39977</v>
      </c>
      <c r="D150" s="3">
        <f t="shared" si="40"/>
        <v>39990</v>
      </c>
      <c r="E150" s="3">
        <f t="shared" si="41"/>
        <v>40038</v>
      </c>
      <c r="F150" s="3">
        <f t="shared" si="42"/>
        <v>39994</v>
      </c>
      <c r="G150" s="76">
        <f t="shared" si="43"/>
        <v>2009</v>
      </c>
      <c r="H150" s="76">
        <f t="shared" si="44"/>
        <v>6</v>
      </c>
      <c r="I150" s="76" t="str">
        <f>VLOOKUP(H150,'Lookup Values'!$C$2:$D$13,2,FALSE)</f>
        <v>JUN</v>
      </c>
      <c r="J150" s="76">
        <f t="shared" si="45"/>
        <v>13</v>
      </c>
      <c r="K150" s="76">
        <f t="shared" si="46"/>
        <v>7</v>
      </c>
      <c r="L150" s="76" t="str">
        <f>VLOOKUP(K150,'Lookup Values'!$F$2:$G$8,2,FALSE)</f>
        <v>Saturday</v>
      </c>
      <c r="M150" s="3">
        <v>39986</v>
      </c>
      <c r="N150" s="78">
        <f t="shared" si="39"/>
        <v>9</v>
      </c>
      <c r="O150" s="11">
        <v>0.83213331777925736</v>
      </c>
      <c r="P150" s="94">
        <f t="shared" si="47"/>
        <v>19</v>
      </c>
      <c r="Q150" s="94">
        <f t="shared" si="48"/>
        <v>58</v>
      </c>
      <c r="R150" s="94">
        <f t="shared" si="49"/>
        <v>16</v>
      </c>
      <c r="S150" s="94" t="str">
        <f>VLOOKUP(O150,'Lookup Values'!$I$2:$L$8,4,TRUE)</f>
        <v>Evening</v>
      </c>
      <c r="T150" t="s">
        <v>86</v>
      </c>
      <c r="U150" t="s">
        <v>98</v>
      </c>
      <c r="V150" t="str">
        <f t="shared" si="50"/>
        <v>Education: Professional Development</v>
      </c>
      <c r="W150" t="s">
        <v>97</v>
      </c>
      <c r="X150" t="s">
        <v>78</v>
      </c>
      <c r="Y150" s="1">
        <v>164</v>
      </c>
      <c r="Z150" s="1" t="str">
        <f t="shared" si="51"/>
        <v>Education: $164.00</v>
      </c>
      <c r="AA150" s="1">
        <f>IF(Y150="","",ROUND(Y150*'Lookup Values'!$A$2,2))</f>
        <v>14.56</v>
      </c>
      <c r="AB150" s="12" t="str">
        <f t="shared" si="52"/>
        <v>Expense</v>
      </c>
      <c r="AC150" s="2" t="s">
        <v>308</v>
      </c>
      <c r="AD150" s="3">
        <f t="shared" si="53"/>
        <v>39977</v>
      </c>
      <c r="AE150" s="93" t="str">
        <f t="shared" si="54"/>
        <v>YES</v>
      </c>
      <c r="AF150" s="2" t="str">
        <f t="shared" si="55"/>
        <v>NO</v>
      </c>
      <c r="AG150" t="str">
        <f t="shared" si="56"/>
        <v>Late Transaction</v>
      </c>
    </row>
    <row r="151" spans="1:33" x14ac:dyDescent="0.25">
      <c r="A151" s="2">
        <v>150</v>
      </c>
      <c r="B151" s="3" t="str">
        <f t="shared" si="38"/>
        <v>070118-BI-CON</v>
      </c>
      <c r="C151" s="3">
        <v>39100</v>
      </c>
      <c r="D151" s="3">
        <f t="shared" si="40"/>
        <v>39114</v>
      </c>
      <c r="E151" s="3">
        <f t="shared" si="41"/>
        <v>39159</v>
      </c>
      <c r="F151" s="3">
        <f t="shared" si="42"/>
        <v>39113</v>
      </c>
      <c r="G151" s="76">
        <f t="shared" si="43"/>
        <v>2007</v>
      </c>
      <c r="H151" s="76">
        <f t="shared" si="44"/>
        <v>1</v>
      </c>
      <c r="I151" s="76" t="str">
        <f>VLOOKUP(H151,'Lookup Values'!$C$2:$D$13,2,FALSE)</f>
        <v>JAN</v>
      </c>
      <c r="J151" s="76">
        <f t="shared" si="45"/>
        <v>18</v>
      </c>
      <c r="K151" s="76">
        <f t="shared" si="46"/>
        <v>5</v>
      </c>
      <c r="L151" s="76" t="str">
        <f>VLOOKUP(K151,'Lookup Values'!$F$2:$G$8,2,FALSE)</f>
        <v>Thursday</v>
      </c>
      <c r="M151" s="3">
        <v>39103</v>
      </c>
      <c r="N151" s="78">
        <f t="shared" si="39"/>
        <v>3</v>
      </c>
      <c r="O151" s="11">
        <v>0.12165543746984742</v>
      </c>
      <c r="P151" s="94">
        <f t="shared" si="47"/>
        <v>2</v>
      </c>
      <c r="Q151" s="94">
        <f t="shared" si="48"/>
        <v>55</v>
      </c>
      <c r="R151" s="94">
        <f t="shared" si="49"/>
        <v>11</v>
      </c>
      <c r="S151" s="94" t="str">
        <f>VLOOKUP(O151,'Lookup Values'!$I$2:$L$8,4,TRUE)</f>
        <v>Dead of Night</v>
      </c>
      <c r="T151" t="s">
        <v>110</v>
      </c>
      <c r="U151" t="s">
        <v>111</v>
      </c>
      <c r="V151" t="str">
        <f t="shared" si="50"/>
        <v>Bills: Utilities</v>
      </c>
      <c r="W151" t="s">
        <v>109</v>
      </c>
      <c r="X151" t="s">
        <v>78</v>
      </c>
      <c r="Y151" s="1">
        <v>458</v>
      </c>
      <c r="Z151" s="1" t="str">
        <f t="shared" si="51"/>
        <v>Bills: $458.00</v>
      </c>
      <c r="AA151" s="1">
        <f>IF(Y151="","",ROUND(Y151*'Lookup Values'!$A$2,2))</f>
        <v>40.65</v>
      </c>
      <c r="AB151" s="12" t="str">
        <f t="shared" si="52"/>
        <v>Expense</v>
      </c>
      <c r="AC151" s="2" t="s">
        <v>261</v>
      </c>
      <c r="AD151" s="3">
        <f t="shared" si="53"/>
        <v>39100</v>
      </c>
      <c r="AE151" s="93" t="str">
        <f t="shared" si="54"/>
        <v>NO</v>
      </c>
      <c r="AF151" s="2" t="str">
        <f t="shared" si="55"/>
        <v>NO</v>
      </c>
      <c r="AG151" t="str">
        <f t="shared" si="56"/>
        <v>Late Transaction</v>
      </c>
    </row>
    <row r="152" spans="1:33" x14ac:dyDescent="0.25">
      <c r="A152" s="2">
        <v>151</v>
      </c>
      <c r="B152" s="3" t="str">
        <f t="shared" si="38"/>
        <v>100125-TR-MTA</v>
      </c>
      <c r="C152" s="3">
        <v>40203</v>
      </c>
      <c r="D152" s="3">
        <f t="shared" si="40"/>
        <v>40217</v>
      </c>
      <c r="E152" s="3">
        <f t="shared" si="41"/>
        <v>40262</v>
      </c>
      <c r="F152" s="3">
        <f t="shared" si="42"/>
        <v>40209</v>
      </c>
      <c r="G152" s="76">
        <f t="shared" si="43"/>
        <v>2010</v>
      </c>
      <c r="H152" s="76">
        <f t="shared" si="44"/>
        <v>1</v>
      </c>
      <c r="I152" s="76" t="str">
        <f>VLOOKUP(H152,'Lookup Values'!$C$2:$D$13,2,FALSE)</f>
        <v>JAN</v>
      </c>
      <c r="J152" s="76">
        <f t="shared" si="45"/>
        <v>25</v>
      </c>
      <c r="K152" s="76">
        <f t="shared" si="46"/>
        <v>2</v>
      </c>
      <c r="L152" s="76" t="str">
        <f>VLOOKUP(K152,'Lookup Values'!$F$2:$G$8,2,FALSE)</f>
        <v>Monday</v>
      </c>
      <c r="M152" s="3">
        <v>40211</v>
      </c>
      <c r="N152" s="78">
        <f t="shared" si="39"/>
        <v>8</v>
      </c>
      <c r="O152" s="11">
        <v>0.71386854190554649</v>
      </c>
      <c r="P152" s="94">
        <f t="shared" si="47"/>
        <v>17</v>
      </c>
      <c r="Q152" s="94">
        <f t="shared" si="48"/>
        <v>7</v>
      </c>
      <c r="R152" s="94">
        <f t="shared" si="49"/>
        <v>58</v>
      </c>
      <c r="S152" s="94" t="str">
        <f>VLOOKUP(O152,'Lookup Values'!$I$2:$L$8,4,TRUE)</f>
        <v>Evening</v>
      </c>
      <c r="T152" t="s">
        <v>95</v>
      </c>
      <c r="U152" t="s">
        <v>96</v>
      </c>
      <c r="V152" t="str">
        <f t="shared" si="50"/>
        <v>Transportation: Subway</v>
      </c>
      <c r="W152" t="s">
        <v>94</v>
      </c>
      <c r="X152" t="s">
        <v>88</v>
      </c>
      <c r="Y152" s="1">
        <v>439</v>
      </c>
      <c r="Z152" s="1" t="str">
        <f t="shared" si="51"/>
        <v>Transportation: $439.00</v>
      </c>
      <c r="AA152" s="1">
        <f>IF(Y152="","",ROUND(Y152*'Lookup Values'!$A$2,2))</f>
        <v>38.96</v>
      </c>
      <c r="AB152" s="12" t="str">
        <f t="shared" si="52"/>
        <v>Expense</v>
      </c>
      <c r="AC152" s="2" t="s">
        <v>309</v>
      </c>
      <c r="AD152" s="3">
        <f t="shared" si="53"/>
        <v>40203</v>
      </c>
      <c r="AE152" s="93" t="str">
        <f t="shared" si="54"/>
        <v>YES</v>
      </c>
      <c r="AF152" s="2" t="str">
        <f t="shared" si="55"/>
        <v>YES</v>
      </c>
      <c r="AG152" t="str">
        <f t="shared" si="56"/>
        <v>Late Transaction</v>
      </c>
    </row>
    <row r="153" spans="1:33" x14ac:dyDescent="0.25">
      <c r="A153" s="2">
        <v>152</v>
      </c>
      <c r="B153" s="3" t="str">
        <f t="shared" si="38"/>
        <v>091229-TR-MTA</v>
      </c>
      <c r="C153" s="3">
        <v>40176</v>
      </c>
      <c r="D153" s="3">
        <f t="shared" si="40"/>
        <v>40190</v>
      </c>
      <c r="E153" s="3">
        <f t="shared" si="41"/>
        <v>40237</v>
      </c>
      <c r="F153" s="3">
        <f t="shared" si="42"/>
        <v>40178</v>
      </c>
      <c r="G153" s="76">
        <f t="shared" si="43"/>
        <v>2009</v>
      </c>
      <c r="H153" s="76">
        <f t="shared" si="44"/>
        <v>12</v>
      </c>
      <c r="I153" s="76" t="str">
        <f>VLOOKUP(H153,'Lookup Values'!$C$2:$D$13,2,FALSE)</f>
        <v>DEC</v>
      </c>
      <c r="J153" s="76">
        <f t="shared" si="45"/>
        <v>29</v>
      </c>
      <c r="K153" s="76">
        <f t="shared" si="46"/>
        <v>3</v>
      </c>
      <c r="L153" s="76" t="str">
        <f>VLOOKUP(K153,'Lookup Values'!$F$2:$G$8,2,FALSE)</f>
        <v>Tuesday</v>
      </c>
      <c r="M153" s="3">
        <v>40182</v>
      </c>
      <c r="N153" s="78">
        <f t="shared" si="39"/>
        <v>6</v>
      </c>
      <c r="O153" s="11">
        <v>0.25013315573450878</v>
      </c>
      <c r="P153" s="94">
        <f t="shared" si="47"/>
        <v>6</v>
      </c>
      <c r="Q153" s="94">
        <f t="shared" si="48"/>
        <v>0</v>
      </c>
      <c r="R153" s="94">
        <f t="shared" si="49"/>
        <v>12</v>
      </c>
      <c r="S153" s="94" t="str">
        <f>VLOOKUP(O153,'Lookup Values'!$I$2:$L$8,4,TRUE)</f>
        <v>Early Morning</v>
      </c>
      <c r="T153" t="s">
        <v>95</v>
      </c>
      <c r="U153" t="s">
        <v>96</v>
      </c>
      <c r="V153" t="str">
        <f t="shared" si="50"/>
        <v>Transportation: Subway</v>
      </c>
      <c r="W153" t="s">
        <v>94</v>
      </c>
      <c r="X153" t="s">
        <v>91</v>
      </c>
      <c r="Y153" s="1">
        <v>297</v>
      </c>
      <c r="Z153" s="1" t="str">
        <f t="shared" si="51"/>
        <v>Transportation: $297.00</v>
      </c>
      <c r="AA153" s="1">
        <f>IF(Y153="","",ROUND(Y153*'Lookup Values'!$A$2,2))</f>
        <v>26.36</v>
      </c>
      <c r="AB153" s="12" t="str">
        <f t="shared" si="52"/>
        <v>Expense</v>
      </c>
      <c r="AC153" s="2" t="s">
        <v>310</v>
      </c>
      <c r="AD153" s="3">
        <f t="shared" si="53"/>
        <v>40176</v>
      </c>
      <c r="AE153" s="93" t="str">
        <f t="shared" si="54"/>
        <v>YES</v>
      </c>
      <c r="AF153" s="2" t="str">
        <f t="shared" si="55"/>
        <v>NO</v>
      </c>
      <c r="AG153" t="str">
        <f t="shared" si="56"/>
        <v>Late Transaction</v>
      </c>
    </row>
    <row r="154" spans="1:33" x14ac:dyDescent="0.25">
      <c r="A154" s="2">
        <v>153</v>
      </c>
      <c r="B154" s="3" t="str">
        <f t="shared" si="38"/>
        <v>120622-IN-LEG</v>
      </c>
      <c r="C154" s="3">
        <v>41082</v>
      </c>
      <c r="D154" s="3">
        <f t="shared" si="40"/>
        <v>41096</v>
      </c>
      <c r="E154" s="3">
        <f t="shared" si="41"/>
        <v>41143</v>
      </c>
      <c r="F154" s="3">
        <f t="shared" si="42"/>
        <v>41090</v>
      </c>
      <c r="G154" s="76">
        <f t="shared" si="43"/>
        <v>2012</v>
      </c>
      <c r="H154" s="76">
        <f t="shared" si="44"/>
        <v>6</v>
      </c>
      <c r="I154" s="76" t="str">
        <f>VLOOKUP(H154,'Lookup Values'!$C$2:$D$13,2,FALSE)</f>
        <v>JUN</v>
      </c>
      <c r="J154" s="76">
        <f t="shared" si="45"/>
        <v>22</v>
      </c>
      <c r="K154" s="76">
        <f t="shared" si="46"/>
        <v>6</v>
      </c>
      <c r="L154" s="76" t="str">
        <f>VLOOKUP(K154,'Lookup Values'!$F$2:$G$8,2,FALSE)</f>
        <v>Friday</v>
      </c>
      <c r="M154" s="3">
        <v>41085</v>
      </c>
      <c r="N154" s="78">
        <f t="shared" si="39"/>
        <v>3</v>
      </c>
      <c r="O154" s="11">
        <v>0.22643839836843271</v>
      </c>
      <c r="P154" s="94">
        <f t="shared" si="47"/>
        <v>5</v>
      </c>
      <c r="Q154" s="94">
        <f t="shared" si="48"/>
        <v>26</v>
      </c>
      <c r="R154" s="94">
        <f t="shared" si="49"/>
        <v>4</v>
      </c>
      <c r="S154" s="94" t="str">
        <f>VLOOKUP(O154,'Lookup Values'!$I$2:$L$8,4,TRUE)</f>
        <v>Early Morning</v>
      </c>
      <c r="T154" t="s">
        <v>158</v>
      </c>
      <c r="U154" t="s">
        <v>160</v>
      </c>
      <c r="V154" t="str">
        <f t="shared" si="50"/>
        <v>Income: Freelance Project</v>
      </c>
      <c r="W154" t="s">
        <v>163</v>
      </c>
      <c r="X154" t="s">
        <v>91</v>
      </c>
      <c r="Y154" s="1">
        <v>184</v>
      </c>
      <c r="Z154" s="1" t="str">
        <f t="shared" si="51"/>
        <v>Income: $184.00</v>
      </c>
      <c r="AA154" s="1">
        <f>IF(Y154="","",ROUND(Y154*'Lookup Values'!$A$2,2))</f>
        <v>16.329999999999998</v>
      </c>
      <c r="AB154" s="12" t="str">
        <f t="shared" si="52"/>
        <v>Income</v>
      </c>
      <c r="AC154" s="2" t="s">
        <v>311</v>
      </c>
      <c r="AD154" s="3">
        <f t="shared" si="53"/>
        <v>41082</v>
      </c>
      <c r="AE154" s="93" t="str">
        <f t="shared" si="54"/>
        <v>NO</v>
      </c>
      <c r="AF154" s="2" t="str">
        <f t="shared" si="55"/>
        <v>NO</v>
      </c>
      <c r="AG154" t="str">
        <f t="shared" si="56"/>
        <v>CRAP Transaction</v>
      </c>
    </row>
    <row r="155" spans="1:33" x14ac:dyDescent="0.25">
      <c r="A155" s="2">
        <v>154</v>
      </c>
      <c r="B155" s="3" t="str">
        <f t="shared" si="38"/>
        <v>080117-BI-CON</v>
      </c>
      <c r="C155" s="3">
        <v>39464</v>
      </c>
      <c r="D155" s="3">
        <f t="shared" si="40"/>
        <v>39478</v>
      </c>
      <c r="E155" s="3">
        <f t="shared" si="41"/>
        <v>39524</v>
      </c>
      <c r="F155" s="3">
        <f t="shared" si="42"/>
        <v>39478</v>
      </c>
      <c r="G155" s="76">
        <f t="shared" si="43"/>
        <v>2008</v>
      </c>
      <c r="H155" s="76">
        <f t="shared" si="44"/>
        <v>1</v>
      </c>
      <c r="I155" s="76" t="str">
        <f>VLOOKUP(H155,'Lookup Values'!$C$2:$D$13,2,FALSE)</f>
        <v>JAN</v>
      </c>
      <c r="J155" s="76">
        <f t="shared" si="45"/>
        <v>17</v>
      </c>
      <c r="K155" s="76">
        <f t="shared" si="46"/>
        <v>5</v>
      </c>
      <c r="L155" s="76" t="str">
        <f>VLOOKUP(K155,'Lookup Values'!$F$2:$G$8,2,FALSE)</f>
        <v>Thursday</v>
      </c>
      <c r="M155" s="3">
        <v>39470</v>
      </c>
      <c r="N155" s="78">
        <f t="shared" si="39"/>
        <v>6</v>
      </c>
      <c r="O155" s="11">
        <v>0.22946252077950835</v>
      </c>
      <c r="P155" s="94">
        <f t="shared" si="47"/>
        <v>5</v>
      </c>
      <c r="Q155" s="94">
        <f t="shared" si="48"/>
        <v>30</v>
      </c>
      <c r="R155" s="94">
        <f t="shared" si="49"/>
        <v>26</v>
      </c>
      <c r="S155" s="94" t="str">
        <f>VLOOKUP(O155,'Lookup Values'!$I$2:$L$8,4,TRUE)</f>
        <v>Early Morning</v>
      </c>
      <c r="T155" t="s">
        <v>110</v>
      </c>
      <c r="U155" t="s">
        <v>111</v>
      </c>
      <c r="V155" t="str">
        <f t="shared" si="50"/>
        <v>Bills: Utilities</v>
      </c>
      <c r="W155" t="s">
        <v>109</v>
      </c>
      <c r="X155" t="s">
        <v>88</v>
      </c>
      <c r="Y155" s="1">
        <v>467</v>
      </c>
      <c r="Z155" s="1" t="str">
        <f t="shared" si="51"/>
        <v>Bills: $467.00</v>
      </c>
      <c r="AA155" s="1">
        <f>IF(Y155="","",ROUND(Y155*'Lookup Values'!$A$2,2))</f>
        <v>41.45</v>
      </c>
      <c r="AB155" s="12" t="str">
        <f t="shared" si="52"/>
        <v>Expense</v>
      </c>
      <c r="AC155" s="2" t="s">
        <v>312</v>
      </c>
      <c r="AD155" s="3">
        <f t="shared" si="53"/>
        <v>39464</v>
      </c>
      <c r="AE155" s="93" t="str">
        <f t="shared" si="54"/>
        <v>NO</v>
      </c>
      <c r="AF155" s="2" t="str">
        <f t="shared" si="55"/>
        <v>NO</v>
      </c>
      <c r="AG155" t="str">
        <f t="shared" si="56"/>
        <v>Late Transaction</v>
      </c>
    </row>
    <row r="156" spans="1:33" x14ac:dyDescent="0.25">
      <c r="A156" s="2">
        <v>155</v>
      </c>
      <c r="B156" s="3" t="str">
        <f t="shared" si="38"/>
        <v>090703-IN-AUN</v>
      </c>
      <c r="C156" s="3">
        <v>39997</v>
      </c>
      <c r="D156" s="3">
        <f t="shared" si="40"/>
        <v>40011</v>
      </c>
      <c r="E156" s="3">
        <f t="shared" si="41"/>
        <v>40059</v>
      </c>
      <c r="F156" s="3">
        <f t="shared" si="42"/>
        <v>40025</v>
      </c>
      <c r="G156" s="76">
        <f t="shared" si="43"/>
        <v>2009</v>
      </c>
      <c r="H156" s="76">
        <f t="shared" si="44"/>
        <v>7</v>
      </c>
      <c r="I156" s="76" t="str">
        <f>VLOOKUP(H156,'Lookup Values'!$C$2:$D$13,2,FALSE)</f>
        <v>JUL</v>
      </c>
      <c r="J156" s="76">
        <f t="shared" si="45"/>
        <v>3</v>
      </c>
      <c r="K156" s="76">
        <f t="shared" si="46"/>
        <v>6</v>
      </c>
      <c r="L156" s="76" t="str">
        <f>VLOOKUP(K156,'Lookup Values'!$F$2:$G$8,2,FALSE)</f>
        <v>Friday</v>
      </c>
      <c r="M156" s="3">
        <v>40000</v>
      </c>
      <c r="N156" s="78">
        <f t="shared" si="39"/>
        <v>3</v>
      </c>
      <c r="O156" s="11">
        <v>0.44390519493753955</v>
      </c>
      <c r="P156" s="94">
        <f t="shared" si="47"/>
        <v>10</v>
      </c>
      <c r="Q156" s="94">
        <f t="shared" si="48"/>
        <v>39</v>
      </c>
      <c r="R156" s="94">
        <f t="shared" si="49"/>
        <v>13</v>
      </c>
      <c r="S156" s="94" t="str">
        <f>VLOOKUP(O156,'Lookup Values'!$I$2:$L$8,4,TRUE)</f>
        <v>Late Morning</v>
      </c>
      <c r="T156" t="s">
        <v>158</v>
      </c>
      <c r="U156" t="s">
        <v>161</v>
      </c>
      <c r="V156" t="str">
        <f t="shared" si="50"/>
        <v>Income: Gift Received</v>
      </c>
      <c r="W156" t="s">
        <v>164</v>
      </c>
      <c r="X156" t="s">
        <v>91</v>
      </c>
      <c r="Y156" s="1">
        <v>492</v>
      </c>
      <c r="Z156" s="1" t="str">
        <f t="shared" si="51"/>
        <v>Income: $492.00</v>
      </c>
      <c r="AA156" s="1">
        <f>IF(Y156="","",ROUND(Y156*'Lookup Values'!$A$2,2))</f>
        <v>43.67</v>
      </c>
      <c r="AB156" s="12" t="str">
        <f t="shared" si="52"/>
        <v>Income</v>
      </c>
      <c r="AC156" s="2" t="s">
        <v>313</v>
      </c>
      <c r="AD156" s="3">
        <f t="shared" si="53"/>
        <v>39997</v>
      </c>
      <c r="AE156" s="93" t="str">
        <f t="shared" si="54"/>
        <v>NO</v>
      </c>
      <c r="AF156" s="2" t="str">
        <f t="shared" si="55"/>
        <v>NO</v>
      </c>
      <c r="AG156" t="str">
        <f t="shared" si="56"/>
        <v>Late Transaction</v>
      </c>
    </row>
    <row r="157" spans="1:33" x14ac:dyDescent="0.25">
      <c r="A157" s="2">
        <v>156</v>
      </c>
      <c r="B157" s="3" t="str">
        <f t="shared" si="38"/>
        <v>080407-BI-CON</v>
      </c>
      <c r="C157" s="3">
        <v>39545</v>
      </c>
      <c r="D157" s="3">
        <f t="shared" si="40"/>
        <v>39559</v>
      </c>
      <c r="E157" s="3">
        <f t="shared" si="41"/>
        <v>39606</v>
      </c>
      <c r="F157" s="3">
        <f t="shared" si="42"/>
        <v>39568</v>
      </c>
      <c r="G157" s="76">
        <f t="shared" si="43"/>
        <v>2008</v>
      </c>
      <c r="H157" s="76">
        <f t="shared" si="44"/>
        <v>4</v>
      </c>
      <c r="I157" s="76" t="str">
        <f>VLOOKUP(H157,'Lookup Values'!$C$2:$D$13,2,FALSE)</f>
        <v>APR</v>
      </c>
      <c r="J157" s="76">
        <f t="shared" si="45"/>
        <v>7</v>
      </c>
      <c r="K157" s="76">
        <f t="shared" si="46"/>
        <v>2</v>
      </c>
      <c r="L157" s="76" t="str">
        <f>VLOOKUP(K157,'Lookup Values'!$F$2:$G$8,2,FALSE)</f>
        <v>Monday</v>
      </c>
      <c r="M157" s="3">
        <v>39547</v>
      </c>
      <c r="N157" s="78">
        <f t="shared" si="39"/>
        <v>2</v>
      </c>
      <c r="O157" s="11">
        <v>9.8818914027050231E-2</v>
      </c>
      <c r="P157" s="94">
        <f t="shared" si="47"/>
        <v>2</v>
      </c>
      <c r="Q157" s="94">
        <f t="shared" si="48"/>
        <v>22</v>
      </c>
      <c r="R157" s="94">
        <f t="shared" si="49"/>
        <v>18</v>
      </c>
      <c r="S157" s="94" t="str">
        <f>VLOOKUP(O157,'Lookup Values'!$I$2:$L$8,4,TRUE)</f>
        <v>Dead of Night</v>
      </c>
      <c r="T157" t="s">
        <v>110</v>
      </c>
      <c r="U157" t="s">
        <v>111</v>
      </c>
      <c r="V157" t="str">
        <f t="shared" si="50"/>
        <v>Bills: Utilities</v>
      </c>
      <c r="W157" t="s">
        <v>109</v>
      </c>
      <c r="X157" t="s">
        <v>78</v>
      </c>
      <c r="Y157" s="1">
        <v>344</v>
      </c>
      <c r="Z157" s="1" t="str">
        <f t="shared" si="51"/>
        <v>Bills: $344.00</v>
      </c>
      <c r="AA157" s="1">
        <f>IF(Y157="","",ROUND(Y157*'Lookup Values'!$A$2,2))</f>
        <v>30.53</v>
      </c>
      <c r="AB157" s="12" t="str">
        <f t="shared" si="52"/>
        <v>Expense</v>
      </c>
      <c r="AC157" s="2" t="s">
        <v>246</v>
      </c>
      <c r="AD157" s="3">
        <f t="shared" si="53"/>
        <v>39545</v>
      </c>
      <c r="AE157" s="93" t="str">
        <f t="shared" si="54"/>
        <v>NO</v>
      </c>
      <c r="AF157" s="2" t="str">
        <f t="shared" si="55"/>
        <v>NO</v>
      </c>
      <c r="AG157" t="str">
        <f t="shared" si="56"/>
        <v>Late Transaction</v>
      </c>
    </row>
    <row r="158" spans="1:33" x14ac:dyDescent="0.25">
      <c r="A158" s="2">
        <v>157</v>
      </c>
      <c r="B158" s="3" t="str">
        <f t="shared" si="38"/>
        <v>100907-EN-FAN</v>
      </c>
      <c r="C158" s="3">
        <v>40428</v>
      </c>
      <c r="D158" s="3">
        <f t="shared" si="40"/>
        <v>40442</v>
      </c>
      <c r="E158" s="3">
        <f t="shared" si="41"/>
        <v>40489</v>
      </c>
      <c r="F158" s="3">
        <f t="shared" si="42"/>
        <v>40451</v>
      </c>
      <c r="G158" s="76">
        <f t="shared" si="43"/>
        <v>2010</v>
      </c>
      <c r="H158" s="76">
        <f t="shared" si="44"/>
        <v>9</v>
      </c>
      <c r="I158" s="76" t="str">
        <f>VLOOKUP(H158,'Lookup Values'!$C$2:$D$13,2,FALSE)</f>
        <v>SEP</v>
      </c>
      <c r="J158" s="76">
        <f t="shared" si="45"/>
        <v>7</v>
      </c>
      <c r="K158" s="76">
        <f t="shared" si="46"/>
        <v>3</v>
      </c>
      <c r="L158" s="76" t="str">
        <f>VLOOKUP(K158,'Lookup Values'!$F$2:$G$8,2,FALSE)</f>
        <v>Tuesday</v>
      </c>
      <c r="M158" s="3">
        <v>40438</v>
      </c>
      <c r="N158" s="78">
        <f t="shared" si="39"/>
        <v>10</v>
      </c>
      <c r="O158" s="11">
        <v>0.27172571293062131</v>
      </c>
      <c r="P158" s="94">
        <f t="shared" si="47"/>
        <v>6</v>
      </c>
      <c r="Q158" s="94">
        <f t="shared" si="48"/>
        <v>31</v>
      </c>
      <c r="R158" s="94">
        <f t="shared" si="49"/>
        <v>17</v>
      </c>
      <c r="S158" s="94" t="str">
        <f>VLOOKUP(O158,'Lookup Values'!$I$2:$L$8,4,TRUE)</f>
        <v>Early Morning</v>
      </c>
      <c r="T158" t="s">
        <v>76</v>
      </c>
      <c r="U158" t="s">
        <v>90</v>
      </c>
      <c r="V158" t="str">
        <f t="shared" si="50"/>
        <v>Entertainment: Movies</v>
      </c>
      <c r="W158" t="s">
        <v>89</v>
      </c>
      <c r="X158" t="s">
        <v>91</v>
      </c>
      <c r="Y158" s="1">
        <v>481</v>
      </c>
      <c r="Z158" s="1" t="str">
        <f t="shared" si="51"/>
        <v>Entertainment: $481.00</v>
      </c>
      <c r="AA158" s="1">
        <f>IF(Y158="","",ROUND(Y158*'Lookup Values'!$A$2,2))</f>
        <v>42.69</v>
      </c>
      <c r="AB158" s="12" t="str">
        <f t="shared" si="52"/>
        <v>Expense</v>
      </c>
      <c r="AC158" s="2" t="s">
        <v>314</v>
      </c>
      <c r="AD158" s="3">
        <f t="shared" si="53"/>
        <v>40428</v>
      </c>
      <c r="AE158" s="93" t="str">
        <f t="shared" si="54"/>
        <v>NO</v>
      </c>
      <c r="AF158" s="2" t="str">
        <f t="shared" si="55"/>
        <v>NO</v>
      </c>
      <c r="AG158" t="str">
        <f t="shared" si="56"/>
        <v>Late Transaction</v>
      </c>
    </row>
    <row r="159" spans="1:33" x14ac:dyDescent="0.25">
      <c r="A159" s="2">
        <v>158</v>
      </c>
      <c r="B159" s="3" t="str">
        <f t="shared" si="38"/>
        <v>090915-FO-BAN</v>
      </c>
      <c r="C159" s="3">
        <v>40071</v>
      </c>
      <c r="D159" s="3">
        <f t="shared" si="40"/>
        <v>40085</v>
      </c>
      <c r="E159" s="3">
        <f t="shared" si="41"/>
        <v>40132</v>
      </c>
      <c r="F159" s="3">
        <f t="shared" si="42"/>
        <v>40086</v>
      </c>
      <c r="G159" s="76">
        <f t="shared" si="43"/>
        <v>2009</v>
      </c>
      <c r="H159" s="76">
        <f t="shared" si="44"/>
        <v>9</v>
      </c>
      <c r="I159" s="76" t="str">
        <f>VLOOKUP(H159,'Lookup Values'!$C$2:$D$13,2,FALSE)</f>
        <v>SEP</v>
      </c>
      <c r="J159" s="76">
        <f t="shared" si="45"/>
        <v>15</v>
      </c>
      <c r="K159" s="76">
        <f t="shared" si="46"/>
        <v>3</v>
      </c>
      <c r="L159" s="76" t="str">
        <f>VLOOKUP(K159,'Lookup Values'!$F$2:$G$8,2,FALSE)</f>
        <v>Tuesday</v>
      </c>
      <c r="M159" s="3">
        <v>40080</v>
      </c>
      <c r="N159" s="78">
        <f t="shared" si="39"/>
        <v>9</v>
      </c>
      <c r="O159" s="11">
        <v>0.10743527950948351</v>
      </c>
      <c r="P159" s="94">
        <f t="shared" si="47"/>
        <v>2</v>
      </c>
      <c r="Q159" s="94">
        <f t="shared" si="48"/>
        <v>34</v>
      </c>
      <c r="R159" s="94">
        <f t="shared" si="49"/>
        <v>42</v>
      </c>
      <c r="S159" s="94" t="str">
        <f>VLOOKUP(O159,'Lookup Values'!$I$2:$L$8,4,TRUE)</f>
        <v>Dead of Night</v>
      </c>
      <c r="T159" t="s">
        <v>80</v>
      </c>
      <c r="U159" t="s">
        <v>81</v>
      </c>
      <c r="V159" t="str">
        <f t="shared" si="50"/>
        <v>Food: Restaurants</v>
      </c>
      <c r="W159" t="s">
        <v>79</v>
      </c>
      <c r="X159" t="s">
        <v>88</v>
      </c>
      <c r="Y159" s="1">
        <v>226</v>
      </c>
      <c r="Z159" s="1" t="str">
        <f t="shared" si="51"/>
        <v>Food: $226.00</v>
      </c>
      <c r="AA159" s="1">
        <f>IF(Y159="","",ROUND(Y159*'Lookup Values'!$A$2,2))</f>
        <v>20.059999999999999</v>
      </c>
      <c r="AB159" s="12" t="str">
        <f t="shared" si="52"/>
        <v>Expense</v>
      </c>
      <c r="AC159" s="2" t="s">
        <v>315</v>
      </c>
      <c r="AD159" s="3">
        <f t="shared" si="53"/>
        <v>40071</v>
      </c>
      <c r="AE159" s="93" t="str">
        <f t="shared" si="54"/>
        <v>NO</v>
      </c>
      <c r="AF159" s="2" t="str">
        <f t="shared" si="55"/>
        <v>NO</v>
      </c>
      <c r="AG159" t="str">
        <f t="shared" si="56"/>
        <v>Awesome Transaction</v>
      </c>
    </row>
    <row r="160" spans="1:33" x14ac:dyDescent="0.25">
      <c r="A160" s="2">
        <v>159</v>
      </c>
      <c r="B160" s="3" t="str">
        <f t="shared" si="38"/>
        <v>070803-HO-BED</v>
      </c>
      <c r="C160" s="3">
        <v>39297</v>
      </c>
      <c r="D160" s="3">
        <f t="shared" si="40"/>
        <v>39311</v>
      </c>
      <c r="E160" s="3">
        <f t="shared" si="41"/>
        <v>39358</v>
      </c>
      <c r="F160" s="3">
        <f t="shared" si="42"/>
        <v>39325</v>
      </c>
      <c r="G160" s="76">
        <f t="shared" si="43"/>
        <v>2007</v>
      </c>
      <c r="H160" s="76">
        <f t="shared" si="44"/>
        <v>8</v>
      </c>
      <c r="I160" s="76" t="str">
        <f>VLOOKUP(H160,'Lookup Values'!$C$2:$D$13,2,FALSE)</f>
        <v>AUG</v>
      </c>
      <c r="J160" s="76">
        <f t="shared" si="45"/>
        <v>3</v>
      </c>
      <c r="K160" s="76">
        <f t="shared" si="46"/>
        <v>6</v>
      </c>
      <c r="L160" s="76" t="str">
        <f>VLOOKUP(K160,'Lookup Values'!$F$2:$G$8,2,FALSE)</f>
        <v>Friday</v>
      </c>
      <c r="M160" s="3">
        <v>39305</v>
      </c>
      <c r="N160" s="78">
        <f t="shared" si="39"/>
        <v>8</v>
      </c>
      <c r="O160" s="11">
        <v>0.71349760401750595</v>
      </c>
      <c r="P160" s="94">
        <f t="shared" si="47"/>
        <v>17</v>
      </c>
      <c r="Q160" s="94">
        <f t="shared" si="48"/>
        <v>7</v>
      </c>
      <c r="R160" s="94">
        <f t="shared" si="49"/>
        <v>26</v>
      </c>
      <c r="S160" s="94" t="str">
        <f>VLOOKUP(O160,'Lookup Values'!$I$2:$L$8,4,TRUE)</f>
        <v>Evening</v>
      </c>
      <c r="T160" t="s">
        <v>100</v>
      </c>
      <c r="U160" t="s">
        <v>101</v>
      </c>
      <c r="V160" t="str">
        <f t="shared" si="50"/>
        <v>Home: Cleaning Supplies</v>
      </c>
      <c r="W160" t="s">
        <v>99</v>
      </c>
      <c r="X160" t="s">
        <v>88</v>
      </c>
      <c r="Y160" s="1">
        <v>141</v>
      </c>
      <c r="Z160" s="1" t="str">
        <f t="shared" si="51"/>
        <v>Home: $141.00</v>
      </c>
      <c r="AA160" s="1">
        <f>IF(Y160="","",ROUND(Y160*'Lookup Values'!$A$2,2))</f>
        <v>12.51</v>
      </c>
      <c r="AB160" s="12" t="str">
        <f t="shared" si="52"/>
        <v>Expense</v>
      </c>
      <c r="AC160" s="2" t="s">
        <v>316</v>
      </c>
      <c r="AD160" s="3">
        <f t="shared" si="53"/>
        <v>39297</v>
      </c>
      <c r="AE160" s="93" t="str">
        <f t="shared" si="54"/>
        <v>NO</v>
      </c>
      <c r="AF160" s="2" t="str">
        <f t="shared" si="55"/>
        <v>NO</v>
      </c>
      <c r="AG160" t="str">
        <f t="shared" si="56"/>
        <v>Late Transaction</v>
      </c>
    </row>
    <row r="161" spans="1:33" x14ac:dyDescent="0.25">
      <c r="A161" s="2">
        <v>160</v>
      </c>
      <c r="B161" s="3" t="str">
        <f t="shared" si="38"/>
        <v>120726-ED-SKI</v>
      </c>
      <c r="C161" s="3">
        <v>41116</v>
      </c>
      <c r="D161" s="3">
        <f t="shared" si="40"/>
        <v>41130</v>
      </c>
      <c r="E161" s="3">
        <f t="shared" si="41"/>
        <v>41178</v>
      </c>
      <c r="F161" s="3">
        <f t="shared" si="42"/>
        <v>41121</v>
      </c>
      <c r="G161" s="76">
        <f t="shared" si="43"/>
        <v>2012</v>
      </c>
      <c r="H161" s="76">
        <f t="shared" si="44"/>
        <v>7</v>
      </c>
      <c r="I161" s="76" t="str">
        <f>VLOOKUP(H161,'Lookup Values'!$C$2:$D$13,2,FALSE)</f>
        <v>JUL</v>
      </c>
      <c r="J161" s="76">
        <f t="shared" si="45"/>
        <v>26</v>
      </c>
      <c r="K161" s="76">
        <f t="shared" si="46"/>
        <v>5</v>
      </c>
      <c r="L161" s="76" t="str">
        <f>VLOOKUP(K161,'Lookup Values'!$F$2:$G$8,2,FALSE)</f>
        <v>Thursday</v>
      </c>
      <c r="M161" s="3">
        <v>41124</v>
      </c>
      <c r="N161" s="78">
        <f t="shared" si="39"/>
        <v>8</v>
      </c>
      <c r="O161" s="11">
        <v>0.82776373293365224</v>
      </c>
      <c r="P161" s="94">
        <f t="shared" si="47"/>
        <v>19</v>
      </c>
      <c r="Q161" s="94">
        <f t="shared" si="48"/>
        <v>51</v>
      </c>
      <c r="R161" s="94">
        <f t="shared" si="49"/>
        <v>59</v>
      </c>
      <c r="S161" s="94" t="str">
        <f>VLOOKUP(O161,'Lookup Values'!$I$2:$L$8,4,TRUE)</f>
        <v>Evening</v>
      </c>
      <c r="T161" t="s">
        <v>86</v>
      </c>
      <c r="U161" t="s">
        <v>98</v>
      </c>
      <c r="V161" t="str">
        <f t="shared" si="50"/>
        <v>Education: Professional Development</v>
      </c>
      <c r="W161" t="s">
        <v>97</v>
      </c>
      <c r="X161" t="s">
        <v>91</v>
      </c>
      <c r="Y161" s="1">
        <v>45</v>
      </c>
      <c r="Z161" s="1" t="str">
        <f t="shared" si="51"/>
        <v>Education: $45.00</v>
      </c>
      <c r="AA161" s="1">
        <f>IF(Y161="","",ROUND(Y161*'Lookup Values'!$A$2,2))</f>
        <v>3.99</v>
      </c>
      <c r="AB161" s="12" t="str">
        <f t="shared" si="52"/>
        <v>Expense</v>
      </c>
      <c r="AC161" s="2" t="s">
        <v>206</v>
      </c>
      <c r="AD161" s="3">
        <f t="shared" si="53"/>
        <v>41116</v>
      </c>
      <c r="AE161" s="93" t="str">
        <f t="shared" si="54"/>
        <v>YES</v>
      </c>
      <c r="AF161" s="2" t="str">
        <f t="shared" si="55"/>
        <v>NO</v>
      </c>
      <c r="AG161" t="str">
        <f t="shared" si="56"/>
        <v>CRAP Transaction</v>
      </c>
    </row>
    <row r="162" spans="1:33" x14ac:dyDescent="0.25">
      <c r="A162" s="2">
        <v>161</v>
      </c>
      <c r="B162" s="3" t="str">
        <f t="shared" si="38"/>
        <v>120504-EN-FAN</v>
      </c>
      <c r="C162" s="3">
        <v>41033</v>
      </c>
      <c r="D162" s="3">
        <f t="shared" si="40"/>
        <v>41047</v>
      </c>
      <c r="E162" s="3">
        <f t="shared" si="41"/>
        <v>41094</v>
      </c>
      <c r="F162" s="3">
        <f t="shared" si="42"/>
        <v>41060</v>
      </c>
      <c r="G162" s="76">
        <f t="shared" si="43"/>
        <v>2012</v>
      </c>
      <c r="H162" s="76">
        <f t="shared" si="44"/>
        <v>5</v>
      </c>
      <c r="I162" s="76" t="str">
        <f>VLOOKUP(H162,'Lookup Values'!$C$2:$D$13,2,FALSE)</f>
        <v>MAY</v>
      </c>
      <c r="J162" s="76">
        <f t="shared" si="45"/>
        <v>4</v>
      </c>
      <c r="K162" s="76">
        <f t="shared" si="46"/>
        <v>6</v>
      </c>
      <c r="L162" s="76" t="str">
        <f>VLOOKUP(K162,'Lookup Values'!$F$2:$G$8,2,FALSE)</f>
        <v>Friday</v>
      </c>
      <c r="M162" s="3">
        <v>41041</v>
      </c>
      <c r="N162" s="78">
        <f t="shared" si="39"/>
        <v>8</v>
      </c>
      <c r="O162" s="11">
        <v>0.89602606988444478</v>
      </c>
      <c r="P162" s="94">
        <f t="shared" si="47"/>
        <v>21</v>
      </c>
      <c r="Q162" s="94">
        <f t="shared" si="48"/>
        <v>30</v>
      </c>
      <c r="R162" s="94">
        <f t="shared" si="49"/>
        <v>17</v>
      </c>
      <c r="S162" s="94" t="str">
        <f>VLOOKUP(O162,'Lookup Values'!$I$2:$L$8,4,TRUE)</f>
        <v>Late Evening</v>
      </c>
      <c r="T162" t="s">
        <v>76</v>
      </c>
      <c r="U162" t="s">
        <v>90</v>
      </c>
      <c r="V162" t="str">
        <f t="shared" si="50"/>
        <v>Entertainment: Movies</v>
      </c>
      <c r="W162" t="s">
        <v>89</v>
      </c>
      <c r="X162" t="s">
        <v>91</v>
      </c>
      <c r="Y162" s="1">
        <v>408</v>
      </c>
      <c r="Z162" s="1" t="str">
        <f t="shared" si="51"/>
        <v>Entertainment: $408.00</v>
      </c>
      <c r="AA162" s="1">
        <f>IF(Y162="","",ROUND(Y162*'Lookup Values'!$A$2,2))</f>
        <v>36.21</v>
      </c>
      <c r="AB162" s="12" t="str">
        <f t="shared" si="52"/>
        <v>Expense</v>
      </c>
      <c r="AC162" s="2" t="s">
        <v>317</v>
      </c>
      <c r="AD162" s="3">
        <f t="shared" si="53"/>
        <v>41033</v>
      </c>
      <c r="AE162" s="93" t="str">
        <f t="shared" si="54"/>
        <v>NO</v>
      </c>
      <c r="AF162" s="2" t="str">
        <f t="shared" si="55"/>
        <v>NO</v>
      </c>
      <c r="AG162" t="str">
        <f t="shared" si="56"/>
        <v>CRAP Transaction</v>
      </c>
    </row>
    <row r="163" spans="1:33" x14ac:dyDescent="0.25">
      <c r="A163" s="2">
        <v>162</v>
      </c>
      <c r="B163" s="3" t="str">
        <f t="shared" si="38"/>
        <v>091119-FO-CIT</v>
      </c>
      <c r="C163" s="3">
        <v>40136</v>
      </c>
      <c r="D163" s="3">
        <f t="shared" si="40"/>
        <v>40150</v>
      </c>
      <c r="E163" s="3">
        <f t="shared" si="41"/>
        <v>40197</v>
      </c>
      <c r="F163" s="3">
        <f t="shared" si="42"/>
        <v>40147</v>
      </c>
      <c r="G163" s="76">
        <f t="shared" si="43"/>
        <v>2009</v>
      </c>
      <c r="H163" s="76">
        <f t="shared" si="44"/>
        <v>11</v>
      </c>
      <c r="I163" s="76" t="str">
        <f>VLOOKUP(H163,'Lookup Values'!$C$2:$D$13,2,FALSE)</f>
        <v>NOV</v>
      </c>
      <c r="J163" s="76">
        <f t="shared" si="45"/>
        <v>19</v>
      </c>
      <c r="K163" s="76">
        <f t="shared" si="46"/>
        <v>5</v>
      </c>
      <c r="L163" s="76" t="str">
        <f>VLOOKUP(K163,'Lookup Values'!$F$2:$G$8,2,FALSE)</f>
        <v>Thursday</v>
      </c>
      <c r="M163" s="3">
        <v>40142</v>
      </c>
      <c r="N163" s="78">
        <f t="shared" si="39"/>
        <v>6</v>
      </c>
      <c r="O163" s="11">
        <v>0.39299492626472254</v>
      </c>
      <c r="P163" s="94">
        <f t="shared" si="47"/>
        <v>9</v>
      </c>
      <c r="Q163" s="94">
        <f t="shared" si="48"/>
        <v>25</v>
      </c>
      <c r="R163" s="94">
        <f t="shared" si="49"/>
        <v>55</v>
      </c>
      <c r="S163" s="94" t="str">
        <f>VLOOKUP(O163,'Lookup Values'!$I$2:$L$8,4,TRUE)</f>
        <v>Morning</v>
      </c>
      <c r="T163" t="s">
        <v>80</v>
      </c>
      <c r="U163" t="s">
        <v>105</v>
      </c>
      <c r="V163" t="str">
        <f t="shared" si="50"/>
        <v>Food: Coffee</v>
      </c>
      <c r="W163" t="s">
        <v>104</v>
      </c>
      <c r="X163" t="s">
        <v>78</v>
      </c>
      <c r="Y163" s="1">
        <v>182</v>
      </c>
      <c r="Z163" s="1" t="str">
        <f t="shared" si="51"/>
        <v>Food: $182.00</v>
      </c>
      <c r="AA163" s="1">
        <f>IF(Y163="","",ROUND(Y163*'Lookup Values'!$A$2,2))</f>
        <v>16.149999999999999</v>
      </c>
      <c r="AB163" s="12" t="str">
        <f t="shared" si="52"/>
        <v>Expense</v>
      </c>
      <c r="AC163" s="2" t="s">
        <v>318</v>
      </c>
      <c r="AD163" s="3">
        <f t="shared" si="53"/>
        <v>40136</v>
      </c>
      <c r="AE163" s="93" t="str">
        <f t="shared" si="54"/>
        <v>NO</v>
      </c>
      <c r="AF163" s="2" t="str">
        <f t="shared" si="55"/>
        <v>NO</v>
      </c>
      <c r="AG163" t="str">
        <f t="shared" si="56"/>
        <v>Awesome Transaction</v>
      </c>
    </row>
    <row r="164" spans="1:33" x14ac:dyDescent="0.25">
      <c r="A164" s="2">
        <v>163</v>
      </c>
      <c r="B164" s="3" t="str">
        <f t="shared" si="38"/>
        <v>110713-TR-MTA</v>
      </c>
      <c r="C164" s="3">
        <v>40737</v>
      </c>
      <c r="D164" s="3">
        <f t="shared" si="40"/>
        <v>40751</v>
      </c>
      <c r="E164" s="3">
        <f t="shared" si="41"/>
        <v>40799</v>
      </c>
      <c r="F164" s="3">
        <f t="shared" si="42"/>
        <v>40755</v>
      </c>
      <c r="G164" s="76">
        <f t="shared" si="43"/>
        <v>2011</v>
      </c>
      <c r="H164" s="76">
        <f t="shared" si="44"/>
        <v>7</v>
      </c>
      <c r="I164" s="76" t="str">
        <f>VLOOKUP(H164,'Lookup Values'!$C$2:$D$13,2,FALSE)</f>
        <v>JUL</v>
      </c>
      <c r="J164" s="76">
        <f t="shared" si="45"/>
        <v>13</v>
      </c>
      <c r="K164" s="76">
        <f t="shared" si="46"/>
        <v>4</v>
      </c>
      <c r="L164" s="76" t="str">
        <f>VLOOKUP(K164,'Lookup Values'!$F$2:$G$8,2,FALSE)</f>
        <v>Wednesday</v>
      </c>
      <c r="M164" s="3">
        <v>40747</v>
      </c>
      <c r="N164" s="78">
        <f t="shared" si="39"/>
        <v>10</v>
      </c>
      <c r="O164" s="11">
        <v>0.12394917627839153</v>
      </c>
      <c r="P164" s="94">
        <f t="shared" si="47"/>
        <v>2</v>
      </c>
      <c r="Q164" s="94">
        <f t="shared" si="48"/>
        <v>58</v>
      </c>
      <c r="R164" s="94">
        <f t="shared" si="49"/>
        <v>29</v>
      </c>
      <c r="S164" s="94" t="str">
        <f>VLOOKUP(O164,'Lookup Values'!$I$2:$L$8,4,TRUE)</f>
        <v>Dead of Night</v>
      </c>
      <c r="T164" t="s">
        <v>95</v>
      </c>
      <c r="U164" t="s">
        <v>96</v>
      </c>
      <c r="V164" t="str">
        <f t="shared" si="50"/>
        <v>Transportation: Subway</v>
      </c>
      <c r="W164" t="s">
        <v>94</v>
      </c>
      <c r="X164" t="s">
        <v>91</v>
      </c>
      <c r="Y164" s="1">
        <v>117</v>
      </c>
      <c r="Z164" s="1" t="str">
        <f t="shared" si="51"/>
        <v>Transportation: $117.00</v>
      </c>
      <c r="AA164" s="1">
        <f>IF(Y164="","",ROUND(Y164*'Lookup Values'!$A$2,2))</f>
        <v>10.38</v>
      </c>
      <c r="AB164" s="12" t="str">
        <f t="shared" si="52"/>
        <v>Expense</v>
      </c>
      <c r="AC164" s="2" t="s">
        <v>319</v>
      </c>
      <c r="AD164" s="3">
        <f t="shared" si="53"/>
        <v>40737</v>
      </c>
      <c r="AE164" s="93" t="str">
        <f t="shared" si="54"/>
        <v>YES</v>
      </c>
      <c r="AF164" s="2" t="str">
        <f t="shared" si="55"/>
        <v>NO</v>
      </c>
      <c r="AG164" t="str">
        <f t="shared" si="56"/>
        <v>CRAP Transaction</v>
      </c>
    </row>
    <row r="165" spans="1:33" x14ac:dyDescent="0.25">
      <c r="A165" s="2">
        <v>164</v>
      </c>
      <c r="B165" s="3" t="str">
        <f t="shared" si="38"/>
        <v>070126-EN-MOE</v>
      </c>
      <c r="C165" s="3">
        <v>39108</v>
      </c>
      <c r="D165" s="3">
        <f t="shared" si="40"/>
        <v>39122</v>
      </c>
      <c r="E165" s="3">
        <f t="shared" si="41"/>
        <v>39167</v>
      </c>
      <c r="F165" s="3">
        <f t="shared" si="42"/>
        <v>39113</v>
      </c>
      <c r="G165" s="76">
        <f t="shared" si="43"/>
        <v>2007</v>
      </c>
      <c r="H165" s="76">
        <f t="shared" si="44"/>
        <v>1</v>
      </c>
      <c r="I165" s="76" t="str">
        <f>VLOOKUP(H165,'Lookup Values'!$C$2:$D$13,2,FALSE)</f>
        <v>JAN</v>
      </c>
      <c r="J165" s="76">
        <f t="shared" si="45"/>
        <v>26</v>
      </c>
      <c r="K165" s="76">
        <f t="shared" si="46"/>
        <v>6</v>
      </c>
      <c r="L165" s="76" t="str">
        <f>VLOOKUP(K165,'Lookup Values'!$F$2:$G$8,2,FALSE)</f>
        <v>Friday</v>
      </c>
      <c r="M165" s="3">
        <v>39110</v>
      </c>
      <c r="N165" s="78">
        <f t="shared" si="39"/>
        <v>2</v>
      </c>
      <c r="O165" s="11">
        <v>0.21984087424776466</v>
      </c>
      <c r="P165" s="94">
        <f t="shared" si="47"/>
        <v>5</v>
      </c>
      <c r="Q165" s="94">
        <f t="shared" si="48"/>
        <v>16</v>
      </c>
      <c r="R165" s="94">
        <f t="shared" si="49"/>
        <v>34</v>
      </c>
      <c r="S165" s="94" t="str">
        <f>VLOOKUP(O165,'Lookup Values'!$I$2:$L$8,4,TRUE)</f>
        <v>Early Morning</v>
      </c>
      <c r="T165" t="s">
        <v>76</v>
      </c>
      <c r="U165" t="s">
        <v>77</v>
      </c>
      <c r="V165" t="str">
        <f t="shared" si="50"/>
        <v>Entertainment: Alcohol</v>
      </c>
      <c r="W165" t="s">
        <v>75</v>
      </c>
      <c r="X165" t="s">
        <v>88</v>
      </c>
      <c r="Y165" s="1">
        <v>354</v>
      </c>
      <c r="Z165" s="1" t="str">
        <f t="shared" si="51"/>
        <v>Entertainment: $354.00</v>
      </c>
      <c r="AA165" s="1">
        <f>IF(Y165="","",ROUND(Y165*'Lookup Values'!$A$2,2))</f>
        <v>31.42</v>
      </c>
      <c r="AB165" s="12" t="str">
        <f t="shared" si="52"/>
        <v>Expense</v>
      </c>
      <c r="AC165" s="2" t="s">
        <v>320</v>
      </c>
      <c r="AD165" s="3">
        <f t="shared" si="53"/>
        <v>39108</v>
      </c>
      <c r="AE165" s="93" t="str">
        <f t="shared" si="54"/>
        <v>NO</v>
      </c>
      <c r="AF165" s="2" t="str">
        <f t="shared" si="55"/>
        <v>NO</v>
      </c>
      <c r="AG165" t="str">
        <f t="shared" si="56"/>
        <v>Awesome Transaction</v>
      </c>
    </row>
    <row r="166" spans="1:33" x14ac:dyDescent="0.25">
      <c r="A166" s="2">
        <v>165</v>
      </c>
      <c r="B166" s="3" t="str">
        <f t="shared" si="38"/>
        <v>090722-IN-AUN</v>
      </c>
      <c r="C166" s="3">
        <v>40016</v>
      </c>
      <c r="D166" s="3">
        <f t="shared" si="40"/>
        <v>40030</v>
      </c>
      <c r="E166" s="3">
        <f t="shared" si="41"/>
        <v>40078</v>
      </c>
      <c r="F166" s="3">
        <f t="shared" si="42"/>
        <v>40025</v>
      </c>
      <c r="G166" s="76">
        <f t="shared" si="43"/>
        <v>2009</v>
      </c>
      <c r="H166" s="76">
        <f t="shared" si="44"/>
        <v>7</v>
      </c>
      <c r="I166" s="76" t="str">
        <f>VLOOKUP(H166,'Lookup Values'!$C$2:$D$13,2,FALSE)</f>
        <v>JUL</v>
      </c>
      <c r="J166" s="76">
        <f t="shared" si="45"/>
        <v>22</v>
      </c>
      <c r="K166" s="76">
        <f t="shared" si="46"/>
        <v>4</v>
      </c>
      <c r="L166" s="76" t="str">
        <f>VLOOKUP(K166,'Lookup Values'!$F$2:$G$8,2,FALSE)</f>
        <v>Wednesday</v>
      </c>
      <c r="M166" s="3">
        <v>40026</v>
      </c>
      <c r="N166" s="78">
        <f t="shared" si="39"/>
        <v>10</v>
      </c>
      <c r="O166" s="11">
        <v>0.35411747975244046</v>
      </c>
      <c r="P166" s="94">
        <f t="shared" si="47"/>
        <v>8</v>
      </c>
      <c r="Q166" s="94">
        <f t="shared" si="48"/>
        <v>29</v>
      </c>
      <c r="R166" s="94">
        <f t="shared" si="49"/>
        <v>56</v>
      </c>
      <c r="S166" s="94" t="str">
        <f>VLOOKUP(O166,'Lookup Values'!$I$2:$L$8,4,TRUE)</f>
        <v>Morning</v>
      </c>
      <c r="T166" t="s">
        <v>158</v>
      </c>
      <c r="U166" t="s">
        <v>161</v>
      </c>
      <c r="V166" t="str">
        <f t="shared" si="50"/>
        <v>Income: Gift Received</v>
      </c>
      <c r="W166" t="s">
        <v>164</v>
      </c>
      <c r="X166" t="s">
        <v>91</v>
      </c>
      <c r="Y166" s="1">
        <v>125</v>
      </c>
      <c r="Z166" s="1" t="str">
        <f t="shared" si="51"/>
        <v>Income: $125.00</v>
      </c>
      <c r="AA166" s="1">
        <f>IF(Y166="","",ROUND(Y166*'Lookup Values'!$A$2,2))</f>
        <v>11.09</v>
      </c>
      <c r="AB166" s="12" t="str">
        <f t="shared" si="52"/>
        <v>Income</v>
      </c>
      <c r="AC166" s="2" t="s">
        <v>321</v>
      </c>
      <c r="AD166" s="3">
        <f t="shared" si="53"/>
        <v>40016</v>
      </c>
      <c r="AE166" s="93" t="str">
        <f t="shared" si="54"/>
        <v>NO</v>
      </c>
      <c r="AF166" s="2" t="str">
        <f t="shared" si="55"/>
        <v>NO</v>
      </c>
      <c r="AG166" t="str">
        <f t="shared" si="56"/>
        <v>Late Transaction</v>
      </c>
    </row>
    <row r="167" spans="1:33" x14ac:dyDescent="0.25">
      <c r="A167" s="2">
        <v>166</v>
      </c>
      <c r="B167" s="3" t="str">
        <f t="shared" si="38"/>
        <v>120311-ED-ANT</v>
      </c>
      <c r="C167" s="3">
        <v>40979</v>
      </c>
      <c r="D167" s="3">
        <f t="shared" si="40"/>
        <v>40991</v>
      </c>
      <c r="E167" s="3">
        <f t="shared" si="41"/>
        <v>41040</v>
      </c>
      <c r="F167" s="3">
        <f t="shared" si="42"/>
        <v>40999</v>
      </c>
      <c r="G167" s="76">
        <f t="shared" si="43"/>
        <v>2012</v>
      </c>
      <c r="H167" s="76">
        <f t="shared" si="44"/>
        <v>3</v>
      </c>
      <c r="I167" s="76" t="str">
        <f>VLOOKUP(H167,'Lookup Values'!$C$2:$D$13,2,FALSE)</f>
        <v>MAR</v>
      </c>
      <c r="J167" s="76">
        <f t="shared" si="45"/>
        <v>11</v>
      </c>
      <c r="K167" s="76">
        <f t="shared" si="46"/>
        <v>1</v>
      </c>
      <c r="L167" s="76" t="str">
        <f>VLOOKUP(K167,'Lookup Values'!$F$2:$G$8,2,FALSE)</f>
        <v>Sunday</v>
      </c>
      <c r="M167" s="3">
        <v>40982</v>
      </c>
      <c r="N167" s="78">
        <f t="shared" si="39"/>
        <v>3</v>
      </c>
      <c r="O167" s="11">
        <v>0.82840119955568836</v>
      </c>
      <c r="P167" s="94">
        <f t="shared" si="47"/>
        <v>19</v>
      </c>
      <c r="Q167" s="94">
        <f t="shared" si="48"/>
        <v>52</v>
      </c>
      <c r="R167" s="94">
        <f t="shared" si="49"/>
        <v>54</v>
      </c>
      <c r="S167" s="94" t="str">
        <f>VLOOKUP(O167,'Lookup Values'!$I$2:$L$8,4,TRUE)</f>
        <v>Evening</v>
      </c>
      <c r="T167" t="s">
        <v>86</v>
      </c>
      <c r="U167" t="s">
        <v>87</v>
      </c>
      <c r="V167" t="str">
        <f t="shared" si="50"/>
        <v>Education: Tango Lessons</v>
      </c>
      <c r="W167" t="s">
        <v>85</v>
      </c>
      <c r="X167" t="s">
        <v>91</v>
      </c>
      <c r="Y167" s="1">
        <v>56</v>
      </c>
      <c r="Z167" s="1" t="str">
        <f t="shared" si="51"/>
        <v>Education: $56.00</v>
      </c>
      <c r="AA167" s="1">
        <f>IF(Y167="","",ROUND(Y167*'Lookup Values'!$A$2,2))</f>
        <v>4.97</v>
      </c>
      <c r="AB167" s="12" t="str">
        <f t="shared" si="52"/>
        <v>Expense</v>
      </c>
      <c r="AC167" s="2" t="s">
        <v>322</v>
      </c>
      <c r="AD167" s="3">
        <f t="shared" si="53"/>
        <v>40979</v>
      </c>
      <c r="AE167" s="93" t="str">
        <f t="shared" si="54"/>
        <v>NO</v>
      </c>
      <c r="AF167" s="2" t="str">
        <f t="shared" si="55"/>
        <v>NO</v>
      </c>
      <c r="AG167" t="str">
        <f t="shared" si="56"/>
        <v>CRAP Transaction</v>
      </c>
    </row>
    <row r="168" spans="1:33" x14ac:dyDescent="0.25">
      <c r="A168" s="2">
        <v>167</v>
      </c>
      <c r="B168" s="3" t="str">
        <f t="shared" si="38"/>
        <v>100812-IN-LEG</v>
      </c>
      <c r="C168" s="3">
        <v>40402</v>
      </c>
      <c r="D168" s="3">
        <f t="shared" si="40"/>
        <v>40416</v>
      </c>
      <c r="E168" s="3">
        <f t="shared" si="41"/>
        <v>40463</v>
      </c>
      <c r="F168" s="3">
        <f t="shared" si="42"/>
        <v>40421</v>
      </c>
      <c r="G168" s="76">
        <f t="shared" si="43"/>
        <v>2010</v>
      </c>
      <c r="H168" s="76">
        <f t="shared" si="44"/>
        <v>8</v>
      </c>
      <c r="I168" s="76" t="str">
        <f>VLOOKUP(H168,'Lookup Values'!$C$2:$D$13,2,FALSE)</f>
        <v>AUG</v>
      </c>
      <c r="J168" s="76">
        <f t="shared" si="45"/>
        <v>12</v>
      </c>
      <c r="K168" s="76">
        <f t="shared" si="46"/>
        <v>5</v>
      </c>
      <c r="L168" s="76" t="str">
        <f>VLOOKUP(K168,'Lookup Values'!$F$2:$G$8,2,FALSE)</f>
        <v>Thursday</v>
      </c>
      <c r="M168" s="3">
        <v>40406</v>
      </c>
      <c r="N168" s="78">
        <f t="shared" si="39"/>
        <v>4</v>
      </c>
      <c r="O168" s="11">
        <v>0.89443770544615786</v>
      </c>
      <c r="P168" s="94">
        <f t="shared" si="47"/>
        <v>21</v>
      </c>
      <c r="Q168" s="94">
        <f t="shared" si="48"/>
        <v>27</v>
      </c>
      <c r="R168" s="94">
        <f t="shared" si="49"/>
        <v>59</v>
      </c>
      <c r="S168" s="94" t="str">
        <f>VLOOKUP(O168,'Lookup Values'!$I$2:$L$8,4,TRUE)</f>
        <v>Late Evening</v>
      </c>
      <c r="T168" t="s">
        <v>158</v>
      </c>
      <c r="U168" t="s">
        <v>160</v>
      </c>
      <c r="V168" t="str">
        <f t="shared" si="50"/>
        <v>Income: Freelance Project</v>
      </c>
      <c r="W168" t="s">
        <v>163</v>
      </c>
      <c r="X168" t="s">
        <v>78</v>
      </c>
      <c r="Y168" s="1">
        <v>200</v>
      </c>
      <c r="Z168" s="1" t="str">
        <f t="shared" si="51"/>
        <v>Income: $200.00</v>
      </c>
      <c r="AA168" s="1">
        <f>IF(Y168="","",ROUND(Y168*'Lookup Values'!$A$2,2))</f>
        <v>17.75</v>
      </c>
      <c r="AB168" s="12" t="str">
        <f t="shared" si="52"/>
        <v>Income</v>
      </c>
      <c r="AC168" s="2" t="s">
        <v>323</v>
      </c>
      <c r="AD168" s="3">
        <f t="shared" si="53"/>
        <v>40402</v>
      </c>
      <c r="AE168" s="93" t="str">
        <f t="shared" si="54"/>
        <v>NO</v>
      </c>
      <c r="AF168" s="2" t="str">
        <f t="shared" si="55"/>
        <v>NO</v>
      </c>
      <c r="AG168" t="str">
        <f t="shared" si="56"/>
        <v>Late Transaction</v>
      </c>
    </row>
    <row r="169" spans="1:33" x14ac:dyDescent="0.25">
      <c r="A169" s="2">
        <v>168</v>
      </c>
      <c r="B169" s="3" t="str">
        <f t="shared" si="38"/>
        <v>110306-FO-TRA</v>
      </c>
      <c r="C169" s="3">
        <v>40608</v>
      </c>
      <c r="D169" s="3">
        <f t="shared" si="40"/>
        <v>40620</v>
      </c>
      <c r="E169" s="3">
        <f t="shared" si="41"/>
        <v>40669</v>
      </c>
      <c r="F169" s="3">
        <f t="shared" si="42"/>
        <v>40633</v>
      </c>
      <c r="G169" s="76">
        <f t="shared" si="43"/>
        <v>2011</v>
      </c>
      <c r="H169" s="76">
        <f t="shared" si="44"/>
        <v>3</v>
      </c>
      <c r="I169" s="76" t="str">
        <f>VLOOKUP(H169,'Lookup Values'!$C$2:$D$13,2,FALSE)</f>
        <v>MAR</v>
      </c>
      <c r="J169" s="76">
        <f t="shared" si="45"/>
        <v>6</v>
      </c>
      <c r="K169" s="76">
        <f t="shared" si="46"/>
        <v>1</v>
      </c>
      <c r="L169" s="76" t="str">
        <f>VLOOKUP(K169,'Lookup Values'!$F$2:$G$8,2,FALSE)</f>
        <v>Sunday</v>
      </c>
      <c r="M169" s="3">
        <v>40612</v>
      </c>
      <c r="N169" s="78">
        <f t="shared" si="39"/>
        <v>4</v>
      </c>
      <c r="O169" s="11">
        <v>7.0441013073011427E-2</v>
      </c>
      <c r="P169" s="94">
        <f t="shared" si="47"/>
        <v>1</v>
      </c>
      <c r="Q169" s="94">
        <f t="shared" si="48"/>
        <v>41</v>
      </c>
      <c r="R169" s="94">
        <f t="shared" si="49"/>
        <v>26</v>
      </c>
      <c r="S169" s="94" t="str">
        <f>VLOOKUP(O169,'Lookup Values'!$I$2:$L$8,4,TRUE)</f>
        <v>Dead of Night</v>
      </c>
      <c r="T169" t="s">
        <v>80</v>
      </c>
      <c r="U169" t="s">
        <v>93</v>
      </c>
      <c r="V169" t="str">
        <f t="shared" si="50"/>
        <v>Food: Groceries</v>
      </c>
      <c r="W169" t="s">
        <v>92</v>
      </c>
      <c r="X169" t="s">
        <v>91</v>
      </c>
      <c r="Y169" s="1">
        <v>263</v>
      </c>
      <c r="Z169" s="1" t="str">
        <f t="shared" si="51"/>
        <v>Food: $263.00</v>
      </c>
      <c r="AA169" s="1">
        <f>IF(Y169="","",ROUND(Y169*'Lookup Values'!$A$2,2))</f>
        <v>23.34</v>
      </c>
      <c r="AB169" s="12" t="str">
        <f t="shared" si="52"/>
        <v>Expense</v>
      </c>
      <c r="AC169" s="2" t="s">
        <v>324</v>
      </c>
      <c r="AD169" s="3">
        <f t="shared" si="53"/>
        <v>40608</v>
      </c>
      <c r="AE169" s="93" t="str">
        <f t="shared" si="54"/>
        <v>NO</v>
      </c>
      <c r="AF169" s="2" t="str">
        <f t="shared" si="55"/>
        <v>NO</v>
      </c>
      <c r="AG169" t="str">
        <f t="shared" si="56"/>
        <v>CRAP Transaction</v>
      </c>
    </row>
    <row r="170" spans="1:33" x14ac:dyDescent="0.25">
      <c r="A170" s="2">
        <v>169</v>
      </c>
      <c r="B170" s="3" t="str">
        <f t="shared" si="38"/>
        <v>101224-IN-EZE</v>
      </c>
      <c r="C170" s="3">
        <v>40536</v>
      </c>
      <c r="D170" s="3">
        <f t="shared" si="40"/>
        <v>40550</v>
      </c>
      <c r="E170" s="3">
        <f t="shared" si="41"/>
        <v>40598</v>
      </c>
      <c r="F170" s="3">
        <f t="shared" si="42"/>
        <v>40543</v>
      </c>
      <c r="G170" s="76">
        <f t="shared" si="43"/>
        <v>2010</v>
      </c>
      <c r="H170" s="76">
        <f t="shared" si="44"/>
        <v>12</v>
      </c>
      <c r="I170" s="76" t="str">
        <f>VLOOKUP(H170,'Lookup Values'!$C$2:$D$13,2,FALSE)</f>
        <v>DEC</v>
      </c>
      <c r="J170" s="76">
        <f t="shared" si="45"/>
        <v>24</v>
      </c>
      <c r="K170" s="76">
        <f t="shared" si="46"/>
        <v>6</v>
      </c>
      <c r="L170" s="76" t="str">
        <f>VLOOKUP(K170,'Lookup Values'!$F$2:$G$8,2,FALSE)</f>
        <v>Friday</v>
      </c>
      <c r="M170" s="3">
        <v>40543</v>
      </c>
      <c r="N170" s="78">
        <f t="shared" si="39"/>
        <v>7</v>
      </c>
      <c r="O170" s="11">
        <v>4.9101176725103057E-2</v>
      </c>
      <c r="P170" s="94">
        <f t="shared" si="47"/>
        <v>1</v>
      </c>
      <c r="Q170" s="94">
        <f t="shared" si="48"/>
        <v>10</v>
      </c>
      <c r="R170" s="94">
        <f t="shared" si="49"/>
        <v>42</v>
      </c>
      <c r="S170" s="94" t="str">
        <f>VLOOKUP(O170,'Lookup Values'!$I$2:$L$8,4,TRUE)</f>
        <v>Dead of Night</v>
      </c>
      <c r="T170" t="s">
        <v>158</v>
      </c>
      <c r="U170" t="s">
        <v>159</v>
      </c>
      <c r="V170" t="str">
        <f t="shared" si="50"/>
        <v>Income: Salary</v>
      </c>
      <c r="W170" t="s">
        <v>162</v>
      </c>
      <c r="X170" t="s">
        <v>88</v>
      </c>
      <c r="Y170" s="1">
        <v>284</v>
      </c>
      <c r="Z170" s="1" t="str">
        <f t="shared" si="51"/>
        <v>Income: $284.00</v>
      </c>
      <c r="AA170" s="1">
        <f>IF(Y170="","",ROUND(Y170*'Lookup Values'!$A$2,2))</f>
        <v>25.21</v>
      </c>
      <c r="AB170" s="12" t="str">
        <f t="shared" si="52"/>
        <v>Income</v>
      </c>
      <c r="AC170" s="2" t="s">
        <v>325</v>
      </c>
      <c r="AD170" s="3">
        <f t="shared" si="53"/>
        <v>40536</v>
      </c>
      <c r="AE170" s="93" t="str">
        <f t="shared" si="54"/>
        <v>NO</v>
      </c>
      <c r="AF170" s="2" t="str">
        <f t="shared" si="55"/>
        <v>NO</v>
      </c>
      <c r="AG170" t="str">
        <f t="shared" si="56"/>
        <v>Late Transaction</v>
      </c>
    </row>
    <row r="171" spans="1:33" x14ac:dyDescent="0.25">
      <c r="A171" s="2">
        <v>170</v>
      </c>
      <c r="B171" s="3" t="str">
        <f t="shared" si="38"/>
        <v>110215-HO-BED</v>
      </c>
      <c r="C171" s="3">
        <v>40589</v>
      </c>
      <c r="D171" s="3">
        <f t="shared" si="40"/>
        <v>40603</v>
      </c>
      <c r="E171" s="3">
        <f t="shared" si="41"/>
        <v>40648</v>
      </c>
      <c r="F171" s="3">
        <f t="shared" si="42"/>
        <v>40602</v>
      </c>
      <c r="G171" s="76">
        <f t="shared" si="43"/>
        <v>2011</v>
      </c>
      <c r="H171" s="76">
        <f t="shared" si="44"/>
        <v>2</v>
      </c>
      <c r="I171" s="76" t="str">
        <f>VLOOKUP(H171,'Lookup Values'!$C$2:$D$13,2,FALSE)</f>
        <v>FEB</v>
      </c>
      <c r="J171" s="76">
        <f t="shared" si="45"/>
        <v>15</v>
      </c>
      <c r="K171" s="76">
        <f t="shared" si="46"/>
        <v>3</v>
      </c>
      <c r="L171" s="76" t="str">
        <f>VLOOKUP(K171,'Lookup Values'!$F$2:$G$8,2,FALSE)</f>
        <v>Tuesday</v>
      </c>
      <c r="M171" s="3">
        <v>40598</v>
      </c>
      <c r="N171" s="78">
        <f t="shared" si="39"/>
        <v>9</v>
      </c>
      <c r="O171" s="11">
        <v>0.31620376969358144</v>
      </c>
      <c r="P171" s="94">
        <f t="shared" si="47"/>
        <v>7</v>
      </c>
      <c r="Q171" s="94">
        <f t="shared" si="48"/>
        <v>35</v>
      </c>
      <c r="R171" s="94">
        <f t="shared" si="49"/>
        <v>20</v>
      </c>
      <c r="S171" s="94" t="str">
        <f>VLOOKUP(O171,'Lookup Values'!$I$2:$L$8,4,TRUE)</f>
        <v>Morning</v>
      </c>
      <c r="T171" t="s">
        <v>100</v>
      </c>
      <c r="U171" t="s">
        <v>101</v>
      </c>
      <c r="V171" t="str">
        <f t="shared" si="50"/>
        <v>Home: Cleaning Supplies</v>
      </c>
      <c r="W171" t="s">
        <v>99</v>
      </c>
      <c r="X171" t="s">
        <v>78</v>
      </c>
      <c r="Y171" s="1">
        <v>456</v>
      </c>
      <c r="Z171" s="1" t="str">
        <f t="shared" si="51"/>
        <v>Home: $456.00</v>
      </c>
      <c r="AA171" s="1">
        <f>IF(Y171="","",ROUND(Y171*'Lookup Values'!$A$2,2))</f>
        <v>40.47</v>
      </c>
      <c r="AB171" s="12" t="str">
        <f t="shared" si="52"/>
        <v>Expense</v>
      </c>
      <c r="AC171" s="2" t="s">
        <v>326</v>
      </c>
      <c r="AD171" s="3">
        <f t="shared" si="53"/>
        <v>40589</v>
      </c>
      <c r="AE171" s="93" t="str">
        <f t="shared" si="54"/>
        <v>NO</v>
      </c>
      <c r="AF171" s="2" t="str">
        <f t="shared" si="55"/>
        <v>NO</v>
      </c>
      <c r="AG171" t="str">
        <f t="shared" si="56"/>
        <v>CRAP Transaction</v>
      </c>
    </row>
    <row r="172" spans="1:33" x14ac:dyDescent="0.25">
      <c r="A172" s="2">
        <v>171</v>
      </c>
      <c r="B172" s="3" t="str">
        <f t="shared" si="38"/>
        <v>100914-ED-ANT</v>
      </c>
      <c r="C172" s="3">
        <v>40435</v>
      </c>
      <c r="D172" s="3">
        <f t="shared" si="40"/>
        <v>40449</v>
      </c>
      <c r="E172" s="3">
        <f t="shared" si="41"/>
        <v>40496</v>
      </c>
      <c r="F172" s="3">
        <f t="shared" si="42"/>
        <v>40451</v>
      </c>
      <c r="G172" s="76">
        <f t="shared" si="43"/>
        <v>2010</v>
      </c>
      <c r="H172" s="76">
        <f t="shared" si="44"/>
        <v>9</v>
      </c>
      <c r="I172" s="76" t="str">
        <f>VLOOKUP(H172,'Lookup Values'!$C$2:$D$13,2,FALSE)</f>
        <v>SEP</v>
      </c>
      <c r="J172" s="76">
        <f t="shared" si="45"/>
        <v>14</v>
      </c>
      <c r="K172" s="76">
        <f t="shared" si="46"/>
        <v>3</v>
      </c>
      <c r="L172" s="76" t="str">
        <f>VLOOKUP(K172,'Lookup Values'!$F$2:$G$8,2,FALSE)</f>
        <v>Tuesday</v>
      </c>
      <c r="M172" s="3">
        <v>40440</v>
      </c>
      <c r="N172" s="78">
        <f t="shared" si="39"/>
        <v>5</v>
      </c>
      <c r="O172" s="11">
        <v>0.89934722039489634</v>
      </c>
      <c r="P172" s="94">
        <f t="shared" si="47"/>
        <v>21</v>
      </c>
      <c r="Q172" s="94">
        <f t="shared" si="48"/>
        <v>35</v>
      </c>
      <c r="R172" s="94">
        <f t="shared" si="49"/>
        <v>4</v>
      </c>
      <c r="S172" s="94" t="str">
        <f>VLOOKUP(O172,'Lookup Values'!$I$2:$L$8,4,TRUE)</f>
        <v>Late Evening</v>
      </c>
      <c r="T172" t="s">
        <v>86</v>
      </c>
      <c r="U172" t="s">
        <v>87</v>
      </c>
      <c r="V172" t="str">
        <f t="shared" si="50"/>
        <v>Education: Tango Lessons</v>
      </c>
      <c r="W172" t="s">
        <v>85</v>
      </c>
      <c r="X172" t="s">
        <v>91</v>
      </c>
      <c r="Y172" s="1">
        <v>255</v>
      </c>
      <c r="Z172" s="1" t="str">
        <f t="shared" si="51"/>
        <v>Education: $255.00</v>
      </c>
      <c r="AA172" s="1">
        <f>IF(Y172="","",ROUND(Y172*'Lookup Values'!$A$2,2))</f>
        <v>22.63</v>
      </c>
      <c r="AB172" s="12" t="str">
        <f t="shared" si="52"/>
        <v>Expense</v>
      </c>
      <c r="AC172" s="2" t="s">
        <v>327</v>
      </c>
      <c r="AD172" s="3">
        <f t="shared" si="53"/>
        <v>40435</v>
      </c>
      <c r="AE172" s="93" t="str">
        <f t="shared" si="54"/>
        <v>NO</v>
      </c>
      <c r="AF172" s="2" t="str">
        <f t="shared" si="55"/>
        <v>NO</v>
      </c>
      <c r="AG172" t="str">
        <f t="shared" si="56"/>
        <v>Late Transaction</v>
      </c>
    </row>
    <row r="173" spans="1:33" x14ac:dyDescent="0.25">
      <c r="A173" s="2">
        <v>172</v>
      </c>
      <c r="B173" s="3" t="str">
        <f t="shared" si="38"/>
        <v>080914-TR-MTA</v>
      </c>
      <c r="C173" s="3">
        <v>39705</v>
      </c>
      <c r="D173" s="3">
        <f t="shared" si="40"/>
        <v>39717</v>
      </c>
      <c r="E173" s="3">
        <f t="shared" si="41"/>
        <v>39766</v>
      </c>
      <c r="F173" s="3">
        <f t="shared" si="42"/>
        <v>39721</v>
      </c>
      <c r="G173" s="76">
        <f t="shared" si="43"/>
        <v>2008</v>
      </c>
      <c r="H173" s="76">
        <f t="shared" si="44"/>
        <v>9</v>
      </c>
      <c r="I173" s="76" t="str">
        <f>VLOOKUP(H173,'Lookup Values'!$C$2:$D$13,2,FALSE)</f>
        <v>SEP</v>
      </c>
      <c r="J173" s="76">
        <f t="shared" si="45"/>
        <v>14</v>
      </c>
      <c r="K173" s="76">
        <f t="shared" si="46"/>
        <v>1</v>
      </c>
      <c r="L173" s="76" t="str">
        <f>VLOOKUP(K173,'Lookup Values'!$F$2:$G$8,2,FALSE)</f>
        <v>Sunday</v>
      </c>
      <c r="M173" s="3">
        <v>39710</v>
      </c>
      <c r="N173" s="78">
        <f t="shared" si="39"/>
        <v>5</v>
      </c>
      <c r="O173" s="11">
        <v>0.31972007674447089</v>
      </c>
      <c r="P173" s="94">
        <f t="shared" si="47"/>
        <v>7</v>
      </c>
      <c r="Q173" s="94">
        <f t="shared" si="48"/>
        <v>40</v>
      </c>
      <c r="R173" s="94">
        <f t="shared" si="49"/>
        <v>24</v>
      </c>
      <c r="S173" s="94" t="str">
        <f>VLOOKUP(O173,'Lookup Values'!$I$2:$L$8,4,TRUE)</f>
        <v>Morning</v>
      </c>
      <c r="T173" t="s">
        <v>95</v>
      </c>
      <c r="U173" t="s">
        <v>96</v>
      </c>
      <c r="V173" t="str">
        <f t="shared" si="50"/>
        <v>Transportation: Subway</v>
      </c>
      <c r="W173" t="s">
        <v>94</v>
      </c>
      <c r="X173" t="s">
        <v>78</v>
      </c>
      <c r="Y173" s="1">
        <v>147</v>
      </c>
      <c r="Z173" s="1" t="str">
        <f t="shared" si="51"/>
        <v>Transportation: $147.00</v>
      </c>
      <c r="AA173" s="1">
        <f>IF(Y173="","",ROUND(Y173*'Lookup Values'!$A$2,2))</f>
        <v>13.05</v>
      </c>
      <c r="AB173" s="12" t="str">
        <f t="shared" si="52"/>
        <v>Expense</v>
      </c>
      <c r="AC173" s="2" t="s">
        <v>328</v>
      </c>
      <c r="AD173" s="3">
        <f t="shared" si="53"/>
        <v>39705</v>
      </c>
      <c r="AE173" s="93" t="str">
        <f t="shared" si="54"/>
        <v>YES</v>
      </c>
      <c r="AF173" s="2" t="str">
        <f t="shared" si="55"/>
        <v>NO</v>
      </c>
      <c r="AG173" t="str">
        <f t="shared" si="56"/>
        <v>Late Transaction</v>
      </c>
    </row>
    <row r="174" spans="1:33" x14ac:dyDescent="0.25">
      <c r="A174" s="2">
        <v>173</v>
      </c>
      <c r="B174" s="3" t="str">
        <f t="shared" si="38"/>
        <v>100311-BI-CON</v>
      </c>
      <c r="C174" s="3">
        <v>40248</v>
      </c>
      <c r="D174" s="3">
        <f t="shared" si="40"/>
        <v>40262</v>
      </c>
      <c r="E174" s="3">
        <f t="shared" si="41"/>
        <v>40309</v>
      </c>
      <c r="F174" s="3">
        <f t="shared" si="42"/>
        <v>40268</v>
      </c>
      <c r="G174" s="76">
        <f t="shared" si="43"/>
        <v>2010</v>
      </c>
      <c r="H174" s="76">
        <f t="shared" si="44"/>
        <v>3</v>
      </c>
      <c r="I174" s="76" t="str">
        <f>VLOOKUP(H174,'Lookup Values'!$C$2:$D$13,2,FALSE)</f>
        <v>MAR</v>
      </c>
      <c r="J174" s="76">
        <f t="shared" si="45"/>
        <v>11</v>
      </c>
      <c r="K174" s="76">
        <f t="shared" si="46"/>
        <v>5</v>
      </c>
      <c r="L174" s="76" t="str">
        <f>VLOOKUP(K174,'Lookup Values'!$F$2:$G$8,2,FALSE)</f>
        <v>Thursday</v>
      </c>
      <c r="M174" s="3">
        <v>40257</v>
      </c>
      <c r="N174" s="78">
        <f t="shared" si="39"/>
        <v>9</v>
      </c>
      <c r="O174" s="11">
        <v>0.40398913742373876</v>
      </c>
      <c r="P174" s="94">
        <f t="shared" si="47"/>
        <v>9</v>
      </c>
      <c r="Q174" s="94">
        <f t="shared" si="48"/>
        <v>41</v>
      </c>
      <c r="R174" s="94">
        <f t="shared" si="49"/>
        <v>45</v>
      </c>
      <c r="S174" s="94" t="str">
        <f>VLOOKUP(O174,'Lookup Values'!$I$2:$L$8,4,TRUE)</f>
        <v>Morning</v>
      </c>
      <c r="T174" t="s">
        <v>110</v>
      </c>
      <c r="U174" t="s">
        <v>111</v>
      </c>
      <c r="V174" t="str">
        <f t="shared" si="50"/>
        <v>Bills: Utilities</v>
      </c>
      <c r="W174" t="s">
        <v>109</v>
      </c>
      <c r="X174" t="s">
        <v>88</v>
      </c>
      <c r="Y174" s="1">
        <v>52</v>
      </c>
      <c r="Z174" s="1" t="str">
        <f t="shared" si="51"/>
        <v>Bills: $52.00</v>
      </c>
      <c r="AA174" s="1">
        <f>IF(Y174="","",ROUND(Y174*'Lookup Values'!$A$2,2))</f>
        <v>4.62</v>
      </c>
      <c r="AB174" s="12" t="str">
        <f t="shared" si="52"/>
        <v>Expense</v>
      </c>
      <c r="AC174" s="2" t="s">
        <v>329</v>
      </c>
      <c r="AD174" s="3">
        <f t="shared" si="53"/>
        <v>40248</v>
      </c>
      <c r="AE174" s="93" t="str">
        <f t="shared" si="54"/>
        <v>NO</v>
      </c>
      <c r="AF174" s="2" t="str">
        <f t="shared" si="55"/>
        <v>NO</v>
      </c>
      <c r="AG174" t="str">
        <f t="shared" si="56"/>
        <v>Late Transaction</v>
      </c>
    </row>
    <row r="175" spans="1:33" x14ac:dyDescent="0.25">
      <c r="A175" s="2">
        <v>174</v>
      </c>
      <c r="B175" s="3" t="str">
        <f t="shared" si="38"/>
        <v>110929-IN-EZE</v>
      </c>
      <c r="C175" s="3">
        <v>40815</v>
      </c>
      <c r="D175" s="3">
        <f t="shared" si="40"/>
        <v>40829</v>
      </c>
      <c r="E175" s="3">
        <f t="shared" si="41"/>
        <v>40876</v>
      </c>
      <c r="F175" s="3">
        <f t="shared" si="42"/>
        <v>40816</v>
      </c>
      <c r="G175" s="76">
        <f t="shared" si="43"/>
        <v>2011</v>
      </c>
      <c r="H175" s="76">
        <f t="shared" si="44"/>
        <v>9</v>
      </c>
      <c r="I175" s="76" t="str">
        <f>VLOOKUP(H175,'Lookup Values'!$C$2:$D$13,2,FALSE)</f>
        <v>SEP</v>
      </c>
      <c r="J175" s="76">
        <f t="shared" si="45"/>
        <v>29</v>
      </c>
      <c r="K175" s="76">
        <f t="shared" si="46"/>
        <v>5</v>
      </c>
      <c r="L175" s="76" t="str">
        <f>VLOOKUP(K175,'Lookup Values'!$F$2:$G$8,2,FALSE)</f>
        <v>Thursday</v>
      </c>
      <c r="M175" s="3">
        <v>40823</v>
      </c>
      <c r="N175" s="78">
        <f t="shared" si="39"/>
        <v>8</v>
      </c>
      <c r="O175" s="11">
        <v>0.63983629580114321</v>
      </c>
      <c r="P175" s="94">
        <f t="shared" si="47"/>
        <v>15</v>
      </c>
      <c r="Q175" s="94">
        <f t="shared" si="48"/>
        <v>21</v>
      </c>
      <c r="R175" s="94">
        <f t="shared" si="49"/>
        <v>22</v>
      </c>
      <c r="S175" s="94" t="str">
        <f>VLOOKUP(O175,'Lookup Values'!$I$2:$L$8,4,TRUE)</f>
        <v>Afternoon</v>
      </c>
      <c r="T175" t="s">
        <v>158</v>
      </c>
      <c r="U175" t="s">
        <v>159</v>
      </c>
      <c r="V175" t="str">
        <f t="shared" si="50"/>
        <v>Income: Salary</v>
      </c>
      <c r="W175" t="s">
        <v>162</v>
      </c>
      <c r="X175" t="s">
        <v>78</v>
      </c>
      <c r="Y175" s="1">
        <v>171</v>
      </c>
      <c r="Z175" s="1" t="str">
        <f t="shared" si="51"/>
        <v>Income: $171.00</v>
      </c>
      <c r="AA175" s="1">
        <f>IF(Y175="","",ROUND(Y175*'Lookup Values'!$A$2,2))</f>
        <v>15.18</v>
      </c>
      <c r="AB175" s="12" t="str">
        <f t="shared" si="52"/>
        <v>Income</v>
      </c>
      <c r="AC175" s="2" t="s">
        <v>330</v>
      </c>
      <c r="AD175" s="3">
        <f t="shared" si="53"/>
        <v>40815</v>
      </c>
      <c r="AE175" s="93" t="str">
        <f t="shared" si="54"/>
        <v>NO</v>
      </c>
      <c r="AF175" s="2" t="str">
        <f t="shared" si="55"/>
        <v>NO</v>
      </c>
      <c r="AG175" t="str">
        <f t="shared" si="56"/>
        <v>CRAP Transaction</v>
      </c>
    </row>
    <row r="176" spans="1:33" x14ac:dyDescent="0.25">
      <c r="A176" s="2">
        <v>175</v>
      </c>
      <c r="B176" s="3" t="str">
        <f t="shared" si="38"/>
        <v>100218-FO-CIT</v>
      </c>
      <c r="C176" s="3">
        <v>40227</v>
      </c>
      <c r="D176" s="3">
        <f t="shared" si="40"/>
        <v>40241</v>
      </c>
      <c r="E176" s="3">
        <f t="shared" si="41"/>
        <v>40286</v>
      </c>
      <c r="F176" s="3">
        <f t="shared" si="42"/>
        <v>40237</v>
      </c>
      <c r="G176" s="76">
        <f t="shared" si="43"/>
        <v>2010</v>
      </c>
      <c r="H176" s="76">
        <f t="shared" si="44"/>
        <v>2</v>
      </c>
      <c r="I176" s="76" t="str">
        <f>VLOOKUP(H176,'Lookup Values'!$C$2:$D$13,2,FALSE)</f>
        <v>FEB</v>
      </c>
      <c r="J176" s="76">
        <f t="shared" si="45"/>
        <v>18</v>
      </c>
      <c r="K176" s="76">
        <f t="shared" si="46"/>
        <v>5</v>
      </c>
      <c r="L176" s="76" t="str">
        <f>VLOOKUP(K176,'Lookup Values'!$F$2:$G$8,2,FALSE)</f>
        <v>Thursday</v>
      </c>
      <c r="M176" s="3">
        <v>40237</v>
      </c>
      <c r="N176" s="78">
        <f t="shared" si="39"/>
        <v>10</v>
      </c>
      <c r="O176" s="11">
        <v>0.8019769404497431</v>
      </c>
      <c r="P176" s="94">
        <f t="shared" si="47"/>
        <v>19</v>
      </c>
      <c r="Q176" s="94">
        <f t="shared" si="48"/>
        <v>14</v>
      </c>
      <c r="R176" s="94">
        <f t="shared" si="49"/>
        <v>51</v>
      </c>
      <c r="S176" s="94" t="str">
        <f>VLOOKUP(O176,'Lookup Values'!$I$2:$L$8,4,TRUE)</f>
        <v>Evening</v>
      </c>
      <c r="T176" t="s">
        <v>80</v>
      </c>
      <c r="U176" t="s">
        <v>105</v>
      </c>
      <c r="V176" t="str">
        <f t="shared" si="50"/>
        <v>Food: Coffee</v>
      </c>
      <c r="W176" t="s">
        <v>104</v>
      </c>
      <c r="X176" t="s">
        <v>78</v>
      </c>
      <c r="Y176" s="1">
        <v>223</v>
      </c>
      <c r="Z176" s="1" t="str">
        <f t="shared" si="51"/>
        <v>Food: $223.00</v>
      </c>
      <c r="AA176" s="1">
        <f>IF(Y176="","",ROUND(Y176*'Lookup Values'!$A$2,2))</f>
        <v>19.79</v>
      </c>
      <c r="AB176" s="12" t="str">
        <f t="shared" si="52"/>
        <v>Expense</v>
      </c>
      <c r="AC176" s="2" t="s">
        <v>331</v>
      </c>
      <c r="AD176" s="3">
        <f t="shared" si="53"/>
        <v>40227</v>
      </c>
      <c r="AE176" s="93" t="str">
        <f t="shared" si="54"/>
        <v>NO</v>
      </c>
      <c r="AF176" s="2" t="str">
        <f t="shared" si="55"/>
        <v>NO</v>
      </c>
      <c r="AG176" t="str">
        <f t="shared" si="56"/>
        <v>Late Transaction</v>
      </c>
    </row>
    <row r="177" spans="1:33" x14ac:dyDescent="0.25">
      <c r="A177" s="2">
        <v>176</v>
      </c>
      <c r="B177" s="3" t="str">
        <f t="shared" si="38"/>
        <v>120205-FO-CIT</v>
      </c>
      <c r="C177" s="3">
        <v>40944</v>
      </c>
      <c r="D177" s="3">
        <f t="shared" si="40"/>
        <v>40956</v>
      </c>
      <c r="E177" s="3">
        <f t="shared" si="41"/>
        <v>41004</v>
      </c>
      <c r="F177" s="3">
        <f t="shared" si="42"/>
        <v>40968</v>
      </c>
      <c r="G177" s="76">
        <f t="shared" si="43"/>
        <v>2012</v>
      </c>
      <c r="H177" s="76">
        <f t="shared" si="44"/>
        <v>2</v>
      </c>
      <c r="I177" s="76" t="str">
        <f>VLOOKUP(H177,'Lookup Values'!$C$2:$D$13,2,FALSE)</f>
        <v>FEB</v>
      </c>
      <c r="J177" s="76">
        <f t="shared" si="45"/>
        <v>5</v>
      </c>
      <c r="K177" s="76">
        <f t="shared" si="46"/>
        <v>1</v>
      </c>
      <c r="L177" s="76" t="str">
        <f>VLOOKUP(K177,'Lookup Values'!$F$2:$G$8,2,FALSE)</f>
        <v>Sunday</v>
      </c>
      <c r="M177" s="3">
        <v>40952</v>
      </c>
      <c r="N177" s="78">
        <f t="shared" si="39"/>
        <v>8</v>
      </c>
      <c r="O177" s="11">
        <v>0.93898955643989523</v>
      </c>
      <c r="P177" s="94">
        <f t="shared" si="47"/>
        <v>22</v>
      </c>
      <c r="Q177" s="94">
        <f t="shared" si="48"/>
        <v>32</v>
      </c>
      <c r="R177" s="94">
        <f t="shared" si="49"/>
        <v>9</v>
      </c>
      <c r="S177" s="94" t="str">
        <f>VLOOKUP(O177,'Lookup Values'!$I$2:$L$8,4,TRUE)</f>
        <v>Late Evening</v>
      </c>
      <c r="T177" t="s">
        <v>80</v>
      </c>
      <c r="U177" t="s">
        <v>105</v>
      </c>
      <c r="V177" t="str">
        <f t="shared" si="50"/>
        <v>Food: Coffee</v>
      </c>
      <c r="W177" t="s">
        <v>104</v>
      </c>
      <c r="X177" t="s">
        <v>88</v>
      </c>
      <c r="Y177" s="1">
        <v>164</v>
      </c>
      <c r="Z177" s="1" t="str">
        <f t="shared" si="51"/>
        <v>Food: $164.00</v>
      </c>
      <c r="AA177" s="1">
        <f>IF(Y177="","",ROUND(Y177*'Lookup Values'!$A$2,2))</f>
        <v>14.56</v>
      </c>
      <c r="AB177" s="12" t="str">
        <f t="shared" si="52"/>
        <v>Expense</v>
      </c>
      <c r="AC177" s="2" t="s">
        <v>332</v>
      </c>
      <c r="AD177" s="3">
        <f t="shared" si="53"/>
        <v>40944</v>
      </c>
      <c r="AE177" s="93" t="str">
        <f t="shared" si="54"/>
        <v>NO</v>
      </c>
      <c r="AF177" s="2" t="str">
        <f t="shared" si="55"/>
        <v>NO</v>
      </c>
      <c r="AG177" t="str">
        <f t="shared" si="56"/>
        <v>CRAP Transaction</v>
      </c>
    </row>
    <row r="178" spans="1:33" x14ac:dyDescent="0.25">
      <c r="A178" s="2">
        <v>177</v>
      </c>
      <c r="B178" s="3" t="str">
        <f t="shared" si="38"/>
        <v>100425-FO-TRA</v>
      </c>
      <c r="C178" s="3">
        <v>40293</v>
      </c>
      <c r="D178" s="3">
        <f t="shared" si="40"/>
        <v>40305</v>
      </c>
      <c r="E178" s="3">
        <f t="shared" si="41"/>
        <v>40354</v>
      </c>
      <c r="F178" s="3">
        <f t="shared" si="42"/>
        <v>40298</v>
      </c>
      <c r="G178" s="76">
        <f t="shared" si="43"/>
        <v>2010</v>
      </c>
      <c r="H178" s="76">
        <f t="shared" si="44"/>
        <v>4</v>
      </c>
      <c r="I178" s="76" t="str">
        <f>VLOOKUP(H178,'Lookup Values'!$C$2:$D$13,2,FALSE)</f>
        <v>APR</v>
      </c>
      <c r="J178" s="76">
        <f t="shared" si="45"/>
        <v>25</v>
      </c>
      <c r="K178" s="76">
        <f t="shared" si="46"/>
        <v>1</v>
      </c>
      <c r="L178" s="76" t="str">
        <f>VLOOKUP(K178,'Lookup Values'!$F$2:$G$8,2,FALSE)</f>
        <v>Sunday</v>
      </c>
      <c r="M178" s="3">
        <v>40300</v>
      </c>
      <c r="N178" s="78">
        <f t="shared" si="39"/>
        <v>7</v>
      </c>
      <c r="O178" s="11">
        <v>0.95138621174384319</v>
      </c>
      <c r="P178" s="94">
        <f t="shared" si="47"/>
        <v>22</v>
      </c>
      <c r="Q178" s="94">
        <f t="shared" si="48"/>
        <v>50</v>
      </c>
      <c r="R178" s="94">
        <f t="shared" si="49"/>
        <v>0</v>
      </c>
      <c r="S178" s="94" t="str">
        <f>VLOOKUP(O178,'Lookup Values'!$I$2:$L$8,4,TRUE)</f>
        <v>Late Evening</v>
      </c>
      <c r="T178" t="s">
        <v>80</v>
      </c>
      <c r="U178" t="s">
        <v>93</v>
      </c>
      <c r="V178" t="str">
        <f t="shared" si="50"/>
        <v>Food: Groceries</v>
      </c>
      <c r="W178" t="s">
        <v>92</v>
      </c>
      <c r="X178" t="s">
        <v>78</v>
      </c>
      <c r="Y178" s="1">
        <v>101</v>
      </c>
      <c r="Z178" s="1" t="str">
        <f t="shared" si="51"/>
        <v>Food: $101.00</v>
      </c>
      <c r="AA178" s="1">
        <f>IF(Y178="","",ROUND(Y178*'Lookup Values'!$A$2,2))</f>
        <v>8.9600000000000009</v>
      </c>
      <c r="AB178" s="12" t="str">
        <f t="shared" si="52"/>
        <v>Expense</v>
      </c>
      <c r="AC178" s="2" t="s">
        <v>333</v>
      </c>
      <c r="AD178" s="3">
        <f t="shared" si="53"/>
        <v>40293</v>
      </c>
      <c r="AE178" s="93" t="str">
        <f t="shared" si="54"/>
        <v>NO</v>
      </c>
      <c r="AF178" s="2" t="str">
        <f t="shared" si="55"/>
        <v>NO</v>
      </c>
      <c r="AG178" t="str">
        <f t="shared" si="56"/>
        <v>Late Transaction</v>
      </c>
    </row>
    <row r="179" spans="1:33" x14ac:dyDescent="0.25">
      <c r="A179" s="2">
        <v>178</v>
      </c>
      <c r="B179" s="3" t="str">
        <f t="shared" si="38"/>
        <v>090915-IN-LEG</v>
      </c>
      <c r="C179" s="3">
        <v>40071</v>
      </c>
      <c r="D179" s="3">
        <f t="shared" si="40"/>
        <v>40085</v>
      </c>
      <c r="E179" s="3">
        <f t="shared" si="41"/>
        <v>40132</v>
      </c>
      <c r="F179" s="3">
        <f t="shared" si="42"/>
        <v>40086</v>
      </c>
      <c r="G179" s="76">
        <f t="shared" si="43"/>
        <v>2009</v>
      </c>
      <c r="H179" s="76">
        <f t="shared" si="44"/>
        <v>9</v>
      </c>
      <c r="I179" s="76" t="str">
        <f>VLOOKUP(H179,'Lookup Values'!$C$2:$D$13,2,FALSE)</f>
        <v>SEP</v>
      </c>
      <c r="J179" s="76">
        <f t="shared" si="45"/>
        <v>15</v>
      </c>
      <c r="K179" s="76">
        <f t="shared" si="46"/>
        <v>3</v>
      </c>
      <c r="L179" s="76" t="str">
        <f>VLOOKUP(K179,'Lookup Values'!$F$2:$G$8,2,FALSE)</f>
        <v>Tuesday</v>
      </c>
      <c r="M179" s="3">
        <v>40079</v>
      </c>
      <c r="N179" s="78">
        <f t="shared" si="39"/>
        <v>8</v>
      </c>
      <c r="O179" s="11">
        <v>8.1194793171304069E-2</v>
      </c>
      <c r="P179" s="94">
        <f t="shared" si="47"/>
        <v>1</v>
      </c>
      <c r="Q179" s="94">
        <f t="shared" si="48"/>
        <v>56</v>
      </c>
      <c r="R179" s="94">
        <f t="shared" si="49"/>
        <v>55</v>
      </c>
      <c r="S179" s="94" t="str">
        <f>VLOOKUP(O179,'Lookup Values'!$I$2:$L$8,4,TRUE)</f>
        <v>Dead of Night</v>
      </c>
      <c r="T179" t="s">
        <v>158</v>
      </c>
      <c r="U179" t="s">
        <v>160</v>
      </c>
      <c r="V179" t="str">
        <f t="shared" si="50"/>
        <v>Income: Freelance Project</v>
      </c>
      <c r="W179" t="s">
        <v>163</v>
      </c>
      <c r="X179" t="s">
        <v>88</v>
      </c>
      <c r="Y179" s="1">
        <v>490</v>
      </c>
      <c r="Z179" s="1" t="str">
        <f t="shared" si="51"/>
        <v>Income: $490.00</v>
      </c>
      <c r="AA179" s="1">
        <f>IF(Y179="","",ROUND(Y179*'Lookup Values'!$A$2,2))</f>
        <v>43.49</v>
      </c>
      <c r="AB179" s="12" t="str">
        <f t="shared" si="52"/>
        <v>Income</v>
      </c>
      <c r="AC179" s="2" t="s">
        <v>315</v>
      </c>
      <c r="AD179" s="3">
        <f t="shared" si="53"/>
        <v>40071</v>
      </c>
      <c r="AE179" s="93" t="str">
        <f t="shared" si="54"/>
        <v>NO</v>
      </c>
      <c r="AF179" s="2" t="str">
        <f t="shared" si="55"/>
        <v>NO</v>
      </c>
      <c r="AG179" t="str">
        <f t="shared" si="56"/>
        <v>Late Transaction</v>
      </c>
    </row>
    <row r="180" spans="1:33" x14ac:dyDescent="0.25">
      <c r="A180" s="2">
        <v>179</v>
      </c>
      <c r="B180" s="3" t="str">
        <f t="shared" si="38"/>
        <v>120604-EN-MOE</v>
      </c>
      <c r="C180" s="3">
        <v>41064</v>
      </c>
      <c r="D180" s="3">
        <f t="shared" si="40"/>
        <v>41078</v>
      </c>
      <c r="E180" s="3">
        <f t="shared" si="41"/>
        <v>41125</v>
      </c>
      <c r="F180" s="3">
        <f t="shared" si="42"/>
        <v>41090</v>
      </c>
      <c r="G180" s="76">
        <f t="shared" si="43"/>
        <v>2012</v>
      </c>
      <c r="H180" s="76">
        <f t="shared" si="44"/>
        <v>6</v>
      </c>
      <c r="I180" s="76" t="str">
        <f>VLOOKUP(H180,'Lookup Values'!$C$2:$D$13,2,FALSE)</f>
        <v>JUN</v>
      </c>
      <c r="J180" s="76">
        <f t="shared" si="45"/>
        <v>4</v>
      </c>
      <c r="K180" s="76">
        <f t="shared" si="46"/>
        <v>2</v>
      </c>
      <c r="L180" s="76" t="str">
        <f>VLOOKUP(K180,'Lookup Values'!$F$2:$G$8,2,FALSE)</f>
        <v>Monday</v>
      </c>
      <c r="M180" s="3">
        <v>41072</v>
      </c>
      <c r="N180" s="78">
        <f t="shared" si="39"/>
        <v>8</v>
      </c>
      <c r="O180" s="11">
        <v>0.66294768360825518</v>
      </c>
      <c r="P180" s="94">
        <f t="shared" si="47"/>
        <v>15</v>
      </c>
      <c r="Q180" s="94">
        <f t="shared" si="48"/>
        <v>54</v>
      </c>
      <c r="R180" s="94">
        <f t="shared" si="49"/>
        <v>39</v>
      </c>
      <c r="S180" s="94" t="str">
        <f>VLOOKUP(O180,'Lookup Values'!$I$2:$L$8,4,TRUE)</f>
        <v>Afternoon</v>
      </c>
      <c r="T180" t="s">
        <v>76</v>
      </c>
      <c r="U180" t="s">
        <v>77</v>
      </c>
      <c r="V180" t="str">
        <f t="shared" si="50"/>
        <v>Entertainment: Alcohol</v>
      </c>
      <c r="W180" t="s">
        <v>75</v>
      </c>
      <c r="X180" t="s">
        <v>88</v>
      </c>
      <c r="Y180" s="1">
        <v>102</v>
      </c>
      <c r="Z180" s="1" t="str">
        <f t="shared" si="51"/>
        <v>Entertainment: $102.00</v>
      </c>
      <c r="AA180" s="1">
        <f>IF(Y180="","",ROUND(Y180*'Lookup Values'!$A$2,2))</f>
        <v>9.0500000000000007</v>
      </c>
      <c r="AB180" s="12" t="str">
        <f t="shared" si="52"/>
        <v>Expense</v>
      </c>
      <c r="AC180" s="2" t="s">
        <v>334</v>
      </c>
      <c r="AD180" s="3">
        <f t="shared" si="53"/>
        <v>41064</v>
      </c>
      <c r="AE180" s="93" t="str">
        <f t="shared" si="54"/>
        <v>NO</v>
      </c>
      <c r="AF180" s="2" t="str">
        <f t="shared" si="55"/>
        <v>NO</v>
      </c>
      <c r="AG180" t="str">
        <f t="shared" si="56"/>
        <v>CRAP Transaction</v>
      </c>
    </row>
    <row r="181" spans="1:33" x14ac:dyDescent="0.25">
      <c r="A181" s="2">
        <v>180</v>
      </c>
      <c r="B181" s="3" t="str">
        <f t="shared" si="38"/>
        <v>110220-TR-MTA</v>
      </c>
      <c r="C181" s="3">
        <v>40594</v>
      </c>
      <c r="D181" s="3">
        <f t="shared" si="40"/>
        <v>40606</v>
      </c>
      <c r="E181" s="3">
        <f t="shared" si="41"/>
        <v>40653</v>
      </c>
      <c r="F181" s="3">
        <f t="shared" si="42"/>
        <v>40602</v>
      </c>
      <c r="G181" s="76">
        <f t="shared" si="43"/>
        <v>2011</v>
      </c>
      <c r="H181" s="76">
        <f t="shared" si="44"/>
        <v>2</v>
      </c>
      <c r="I181" s="76" t="str">
        <f>VLOOKUP(H181,'Lookup Values'!$C$2:$D$13,2,FALSE)</f>
        <v>FEB</v>
      </c>
      <c r="J181" s="76">
        <f t="shared" si="45"/>
        <v>20</v>
      </c>
      <c r="K181" s="76">
        <f t="shared" si="46"/>
        <v>1</v>
      </c>
      <c r="L181" s="76" t="str">
        <f>VLOOKUP(K181,'Lookup Values'!$F$2:$G$8,2,FALSE)</f>
        <v>Sunday</v>
      </c>
      <c r="M181" s="3">
        <v>40602</v>
      </c>
      <c r="N181" s="78">
        <f t="shared" si="39"/>
        <v>8</v>
      </c>
      <c r="O181" s="11">
        <v>1.2146506370555921E-2</v>
      </c>
      <c r="P181" s="94">
        <f t="shared" si="47"/>
        <v>0</v>
      </c>
      <c r="Q181" s="94">
        <f t="shared" si="48"/>
        <v>17</v>
      </c>
      <c r="R181" s="94">
        <f t="shared" si="49"/>
        <v>29</v>
      </c>
      <c r="S181" s="94" t="str">
        <f>VLOOKUP(O181,'Lookup Values'!$I$2:$L$8,4,TRUE)</f>
        <v>Dead of Night</v>
      </c>
      <c r="T181" t="s">
        <v>95</v>
      </c>
      <c r="U181" t="s">
        <v>96</v>
      </c>
      <c r="V181" t="str">
        <f t="shared" si="50"/>
        <v>Transportation: Subway</v>
      </c>
      <c r="W181" t="s">
        <v>94</v>
      </c>
      <c r="X181" t="s">
        <v>91</v>
      </c>
      <c r="Y181" s="1">
        <v>8</v>
      </c>
      <c r="Z181" s="1" t="str">
        <f t="shared" si="51"/>
        <v>Transportation: $8.00</v>
      </c>
      <c r="AA181" s="1">
        <f>IF(Y181="","",ROUND(Y181*'Lookup Values'!$A$2,2))</f>
        <v>0.71</v>
      </c>
      <c r="AB181" s="12" t="str">
        <f t="shared" si="52"/>
        <v>Expense</v>
      </c>
      <c r="AC181" s="2" t="s">
        <v>286</v>
      </c>
      <c r="AD181" s="3">
        <f t="shared" si="53"/>
        <v>40594</v>
      </c>
      <c r="AE181" s="93" t="str">
        <f t="shared" si="54"/>
        <v>YES</v>
      </c>
      <c r="AF181" s="2" t="str">
        <f t="shared" si="55"/>
        <v>NO</v>
      </c>
      <c r="AG181" t="str">
        <f t="shared" si="56"/>
        <v>CRAP Transaction</v>
      </c>
    </row>
    <row r="182" spans="1:33" x14ac:dyDescent="0.25">
      <c r="A182" s="2">
        <v>181</v>
      </c>
      <c r="B182" s="3" t="str">
        <f t="shared" si="38"/>
        <v>110501-EN-MOE</v>
      </c>
      <c r="C182" s="3">
        <v>40664</v>
      </c>
      <c r="D182" s="3">
        <f t="shared" si="40"/>
        <v>40676</v>
      </c>
      <c r="E182" s="3">
        <f t="shared" si="41"/>
        <v>40725</v>
      </c>
      <c r="F182" s="3">
        <f t="shared" si="42"/>
        <v>40694</v>
      </c>
      <c r="G182" s="76">
        <f t="shared" si="43"/>
        <v>2011</v>
      </c>
      <c r="H182" s="76">
        <f t="shared" si="44"/>
        <v>5</v>
      </c>
      <c r="I182" s="76" t="str">
        <f>VLOOKUP(H182,'Lookup Values'!$C$2:$D$13,2,FALSE)</f>
        <v>MAY</v>
      </c>
      <c r="J182" s="76">
        <f t="shared" si="45"/>
        <v>1</v>
      </c>
      <c r="K182" s="76">
        <f t="shared" si="46"/>
        <v>1</v>
      </c>
      <c r="L182" s="76" t="str">
        <f>VLOOKUP(K182,'Lookup Values'!$F$2:$G$8,2,FALSE)</f>
        <v>Sunday</v>
      </c>
      <c r="M182" s="3">
        <v>40666</v>
      </c>
      <c r="N182" s="78">
        <f t="shared" si="39"/>
        <v>2</v>
      </c>
      <c r="O182" s="11">
        <v>0.83001445126190587</v>
      </c>
      <c r="P182" s="94">
        <f t="shared" si="47"/>
        <v>19</v>
      </c>
      <c r="Q182" s="94">
        <f t="shared" si="48"/>
        <v>55</v>
      </c>
      <c r="R182" s="94">
        <f t="shared" si="49"/>
        <v>13</v>
      </c>
      <c r="S182" s="94" t="str">
        <f>VLOOKUP(O182,'Lookup Values'!$I$2:$L$8,4,TRUE)</f>
        <v>Evening</v>
      </c>
      <c r="T182" t="s">
        <v>76</v>
      </c>
      <c r="U182" t="s">
        <v>77</v>
      </c>
      <c r="V182" t="str">
        <f t="shared" si="50"/>
        <v>Entertainment: Alcohol</v>
      </c>
      <c r="W182" t="s">
        <v>75</v>
      </c>
      <c r="X182" t="s">
        <v>91</v>
      </c>
      <c r="Y182" s="1">
        <v>289</v>
      </c>
      <c r="Z182" s="1" t="str">
        <f t="shared" si="51"/>
        <v>Entertainment: $289.00</v>
      </c>
      <c r="AA182" s="1">
        <f>IF(Y182="","",ROUND(Y182*'Lookup Values'!$A$2,2))</f>
        <v>25.65</v>
      </c>
      <c r="AB182" s="12" t="str">
        <f t="shared" si="52"/>
        <v>Expense</v>
      </c>
      <c r="AC182" s="2" t="s">
        <v>275</v>
      </c>
      <c r="AD182" s="3">
        <f t="shared" si="53"/>
        <v>40664</v>
      </c>
      <c r="AE182" s="93" t="str">
        <f t="shared" si="54"/>
        <v>NO</v>
      </c>
      <c r="AF182" s="2" t="str">
        <f t="shared" si="55"/>
        <v>NO</v>
      </c>
      <c r="AG182" t="str">
        <f t="shared" si="56"/>
        <v>CRAP Transaction</v>
      </c>
    </row>
    <row r="183" spans="1:33" x14ac:dyDescent="0.25">
      <c r="A183" s="2">
        <v>182</v>
      </c>
      <c r="B183" s="3" t="str">
        <f t="shared" si="38"/>
        <v>120926-HO-BED</v>
      </c>
      <c r="C183" s="3">
        <v>41178</v>
      </c>
      <c r="D183" s="3">
        <f t="shared" si="40"/>
        <v>41192</v>
      </c>
      <c r="E183" s="3">
        <f t="shared" si="41"/>
        <v>41239</v>
      </c>
      <c r="F183" s="3">
        <f t="shared" si="42"/>
        <v>41182</v>
      </c>
      <c r="G183" s="76">
        <f t="shared" si="43"/>
        <v>2012</v>
      </c>
      <c r="H183" s="76">
        <f t="shared" si="44"/>
        <v>9</v>
      </c>
      <c r="I183" s="76" t="str">
        <f>VLOOKUP(H183,'Lookup Values'!$C$2:$D$13,2,FALSE)</f>
        <v>SEP</v>
      </c>
      <c r="J183" s="76">
        <f t="shared" si="45"/>
        <v>26</v>
      </c>
      <c r="K183" s="76">
        <f t="shared" si="46"/>
        <v>4</v>
      </c>
      <c r="L183" s="76" t="str">
        <f>VLOOKUP(K183,'Lookup Values'!$F$2:$G$8,2,FALSE)</f>
        <v>Wednesday</v>
      </c>
      <c r="M183" s="3">
        <v>41183</v>
      </c>
      <c r="N183" s="78">
        <f t="shared" si="39"/>
        <v>5</v>
      </c>
      <c r="O183" s="11">
        <v>0.87912063885475866</v>
      </c>
      <c r="P183" s="94">
        <f t="shared" si="47"/>
        <v>21</v>
      </c>
      <c r="Q183" s="94">
        <f t="shared" si="48"/>
        <v>5</v>
      </c>
      <c r="R183" s="94">
        <f t="shared" si="49"/>
        <v>56</v>
      </c>
      <c r="S183" s="94" t="str">
        <f>VLOOKUP(O183,'Lookup Values'!$I$2:$L$8,4,TRUE)</f>
        <v>Late Evening</v>
      </c>
      <c r="T183" t="s">
        <v>100</v>
      </c>
      <c r="U183" t="s">
        <v>101</v>
      </c>
      <c r="V183" t="str">
        <f t="shared" si="50"/>
        <v>Home: Cleaning Supplies</v>
      </c>
      <c r="W183" t="s">
        <v>99</v>
      </c>
      <c r="X183" t="s">
        <v>88</v>
      </c>
      <c r="Y183" s="1">
        <v>176</v>
      </c>
      <c r="Z183" s="1" t="str">
        <f t="shared" si="51"/>
        <v>Home: $176.00</v>
      </c>
      <c r="AA183" s="1">
        <f>IF(Y183="","",ROUND(Y183*'Lookup Values'!$A$2,2))</f>
        <v>15.62</v>
      </c>
      <c r="AB183" s="12" t="str">
        <f t="shared" si="52"/>
        <v>Expense</v>
      </c>
      <c r="AC183" s="2" t="s">
        <v>335</v>
      </c>
      <c r="AD183" s="3">
        <f t="shared" si="53"/>
        <v>41178</v>
      </c>
      <c r="AE183" s="93" t="str">
        <f t="shared" si="54"/>
        <v>NO</v>
      </c>
      <c r="AF183" s="2" t="str">
        <f t="shared" si="55"/>
        <v>NO</v>
      </c>
      <c r="AG183" t="str">
        <f t="shared" si="56"/>
        <v>CRAP Transaction</v>
      </c>
    </row>
    <row r="184" spans="1:33" x14ac:dyDescent="0.25">
      <c r="A184" s="2">
        <v>183</v>
      </c>
      <c r="B184" s="3" t="str">
        <f t="shared" si="38"/>
        <v>100601-HO-BED</v>
      </c>
      <c r="C184" s="3">
        <v>40330</v>
      </c>
      <c r="D184" s="3">
        <f t="shared" si="40"/>
        <v>40344</v>
      </c>
      <c r="E184" s="3">
        <f t="shared" si="41"/>
        <v>40391</v>
      </c>
      <c r="F184" s="3">
        <f t="shared" si="42"/>
        <v>40359</v>
      </c>
      <c r="G184" s="76">
        <f t="shared" si="43"/>
        <v>2010</v>
      </c>
      <c r="H184" s="76">
        <f t="shared" si="44"/>
        <v>6</v>
      </c>
      <c r="I184" s="76" t="str">
        <f>VLOOKUP(H184,'Lookup Values'!$C$2:$D$13,2,FALSE)</f>
        <v>JUN</v>
      </c>
      <c r="J184" s="76">
        <f t="shared" si="45"/>
        <v>1</v>
      </c>
      <c r="K184" s="76">
        <f t="shared" si="46"/>
        <v>3</v>
      </c>
      <c r="L184" s="76" t="str">
        <f>VLOOKUP(K184,'Lookup Values'!$F$2:$G$8,2,FALSE)</f>
        <v>Tuesday</v>
      </c>
      <c r="M184" s="3">
        <v>40338</v>
      </c>
      <c r="N184" s="78">
        <f t="shared" si="39"/>
        <v>8</v>
      </c>
      <c r="O184" s="11">
        <v>0.80577144532928024</v>
      </c>
      <c r="P184" s="94">
        <f t="shared" si="47"/>
        <v>19</v>
      </c>
      <c r="Q184" s="94">
        <f t="shared" si="48"/>
        <v>20</v>
      </c>
      <c r="R184" s="94">
        <f t="shared" si="49"/>
        <v>19</v>
      </c>
      <c r="S184" s="94" t="str">
        <f>VLOOKUP(O184,'Lookup Values'!$I$2:$L$8,4,TRUE)</f>
        <v>Evening</v>
      </c>
      <c r="T184" t="s">
        <v>100</v>
      </c>
      <c r="U184" t="s">
        <v>101</v>
      </c>
      <c r="V184" t="str">
        <f t="shared" si="50"/>
        <v>Home: Cleaning Supplies</v>
      </c>
      <c r="W184" t="s">
        <v>99</v>
      </c>
      <c r="X184" t="s">
        <v>91</v>
      </c>
      <c r="Y184" s="1">
        <v>341</v>
      </c>
      <c r="Z184" s="1" t="str">
        <f t="shared" si="51"/>
        <v>Home: $341.00</v>
      </c>
      <c r="AA184" s="1">
        <f>IF(Y184="","",ROUND(Y184*'Lookup Values'!$A$2,2))</f>
        <v>30.26</v>
      </c>
      <c r="AB184" s="12" t="str">
        <f t="shared" si="52"/>
        <v>Expense</v>
      </c>
      <c r="AC184" s="2" t="s">
        <v>336</v>
      </c>
      <c r="AD184" s="3">
        <f t="shared" si="53"/>
        <v>40330</v>
      </c>
      <c r="AE184" s="93" t="str">
        <f t="shared" si="54"/>
        <v>NO</v>
      </c>
      <c r="AF184" s="2" t="str">
        <f t="shared" si="55"/>
        <v>NO</v>
      </c>
      <c r="AG184" t="str">
        <f t="shared" si="56"/>
        <v>Late Transaction</v>
      </c>
    </row>
    <row r="185" spans="1:33" x14ac:dyDescent="0.25">
      <c r="A185" s="2">
        <v>184</v>
      </c>
      <c r="B185" s="3" t="str">
        <f t="shared" si="38"/>
        <v>090511-SH-EXP</v>
      </c>
      <c r="C185" s="3">
        <v>39944</v>
      </c>
      <c r="D185" s="3">
        <f t="shared" si="40"/>
        <v>39958</v>
      </c>
      <c r="E185" s="3">
        <f t="shared" si="41"/>
        <v>40005</v>
      </c>
      <c r="F185" s="3">
        <f t="shared" si="42"/>
        <v>39964</v>
      </c>
      <c r="G185" s="76">
        <f t="shared" si="43"/>
        <v>2009</v>
      </c>
      <c r="H185" s="76">
        <f t="shared" si="44"/>
        <v>5</v>
      </c>
      <c r="I185" s="76" t="str">
        <f>VLOOKUP(H185,'Lookup Values'!$C$2:$D$13,2,FALSE)</f>
        <v>MAY</v>
      </c>
      <c r="J185" s="76">
        <f t="shared" si="45"/>
        <v>11</v>
      </c>
      <c r="K185" s="76">
        <f t="shared" si="46"/>
        <v>2</v>
      </c>
      <c r="L185" s="76" t="str">
        <f>VLOOKUP(K185,'Lookup Values'!$F$2:$G$8,2,FALSE)</f>
        <v>Monday</v>
      </c>
      <c r="M185" s="3">
        <v>39947</v>
      </c>
      <c r="N185" s="78">
        <f t="shared" si="39"/>
        <v>3</v>
      </c>
      <c r="O185" s="11">
        <v>0.36225346252562851</v>
      </c>
      <c r="P185" s="94">
        <f t="shared" si="47"/>
        <v>8</v>
      </c>
      <c r="Q185" s="94">
        <f t="shared" si="48"/>
        <v>41</v>
      </c>
      <c r="R185" s="94">
        <f t="shared" si="49"/>
        <v>39</v>
      </c>
      <c r="S185" s="94" t="str">
        <f>VLOOKUP(O185,'Lookup Values'!$I$2:$L$8,4,TRUE)</f>
        <v>Morning</v>
      </c>
      <c r="T185" t="s">
        <v>83</v>
      </c>
      <c r="U185" t="s">
        <v>103</v>
      </c>
      <c r="V185" t="str">
        <f t="shared" si="50"/>
        <v>Shopping: Clothing</v>
      </c>
      <c r="W185" t="s">
        <v>102</v>
      </c>
      <c r="X185" t="s">
        <v>88</v>
      </c>
      <c r="Y185" s="1">
        <v>273</v>
      </c>
      <c r="Z185" s="1" t="str">
        <f t="shared" si="51"/>
        <v>Shopping: $273.00</v>
      </c>
      <c r="AA185" s="1">
        <f>IF(Y185="","",ROUND(Y185*'Lookup Values'!$A$2,2))</f>
        <v>24.23</v>
      </c>
      <c r="AB185" s="12" t="str">
        <f t="shared" si="52"/>
        <v>Expense</v>
      </c>
      <c r="AC185" s="2" t="s">
        <v>337</v>
      </c>
      <c r="AD185" s="3">
        <f t="shared" si="53"/>
        <v>39944</v>
      </c>
      <c r="AE185" s="93" t="str">
        <f t="shared" si="54"/>
        <v>NO</v>
      </c>
      <c r="AF185" s="2" t="str">
        <f t="shared" si="55"/>
        <v>NO</v>
      </c>
      <c r="AG185" t="str">
        <f t="shared" si="56"/>
        <v>Awesome Transaction</v>
      </c>
    </row>
    <row r="186" spans="1:33" x14ac:dyDescent="0.25">
      <c r="A186" s="2">
        <v>185</v>
      </c>
      <c r="B186" s="3" t="str">
        <f t="shared" si="38"/>
        <v>070809-EN-FAN</v>
      </c>
      <c r="C186" s="3">
        <v>39303</v>
      </c>
      <c r="D186" s="3">
        <f t="shared" si="40"/>
        <v>39317</v>
      </c>
      <c r="E186" s="3">
        <f t="shared" si="41"/>
        <v>39364</v>
      </c>
      <c r="F186" s="3">
        <f t="shared" si="42"/>
        <v>39325</v>
      </c>
      <c r="G186" s="76">
        <f t="shared" si="43"/>
        <v>2007</v>
      </c>
      <c r="H186" s="76">
        <f t="shared" si="44"/>
        <v>8</v>
      </c>
      <c r="I186" s="76" t="str">
        <f>VLOOKUP(H186,'Lookup Values'!$C$2:$D$13,2,FALSE)</f>
        <v>AUG</v>
      </c>
      <c r="J186" s="76">
        <f t="shared" si="45"/>
        <v>9</v>
      </c>
      <c r="K186" s="76">
        <f t="shared" si="46"/>
        <v>5</v>
      </c>
      <c r="L186" s="76" t="str">
        <f>VLOOKUP(K186,'Lookup Values'!$F$2:$G$8,2,FALSE)</f>
        <v>Thursday</v>
      </c>
      <c r="M186" s="3">
        <v>39308</v>
      </c>
      <c r="N186" s="78">
        <f t="shared" si="39"/>
        <v>5</v>
      </c>
      <c r="O186" s="11">
        <v>0.15538792939408574</v>
      </c>
      <c r="P186" s="94">
        <f t="shared" si="47"/>
        <v>3</v>
      </c>
      <c r="Q186" s="94">
        <f t="shared" si="48"/>
        <v>43</v>
      </c>
      <c r="R186" s="94">
        <f t="shared" si="49"/>
        <v>46</v>
      </c>
      <c r="S186" s="94" t="str">
        <f>VLOOKUP(O186,'Lookup Values'!$I$2:$L$8,4,TRUE)</f>
        <v>Dead of Night</v>
      </c>
      <c r="T186" t="s">
        <v>76</v>
      </c>
      <c r="U186" t="s">
        <v>90</v>
      </c>
      <c r="V186" t="str">
        <f t="shared" si="50"/>
        <v>Entertainment: Movies</v>
      </c>
      <c r="W186" t="s">
        <v>89</v>
      </c>
      <c r="X186" t="s">
        <v>91</v>
      </c>
      <c r="Y186" s="1">
        <v>351</v>
      </c>
      <c r="Z186" s="1" t="str">
        <f t="shared" si="51"/>
        <v>Entertainment: $351.00</v>
      </c>
      <c r="AA186" s="1">
        <f>IF(Y186="","",ROUND(Y186*'Lookup Values'!$A$2,2))</f>
        <v>31.15</v>
      </c>
      <c r="AB186" s="12" t="str">
        <f t="shared" si="52"/>
        <v>Expense</v>
      </c>
      <c r="AC186" s="2" t="s">
        <v>338</v>
      </c>
      <c r="AD186" s="3">
        <f t="shared" si="53"/>
        <v>39303</v>
      </c>
      <c r="AE186" s="93" t="str">
        <f t="shared" si="54"/>
        <v>NO</v>
      </c>
      <c r="AF186" s="2" t="str">
        <f t="shared" si="55"/>
        <v>NO</v>
      </c>
      <c r="AG186" t="str">
        <f t="shared" si="56"/>
        <v>Awesome Transaction</v>
      </c>
    </row>
    <row r="187" spans="1:33" x14ac:dyDescent="0.25">
      <c r="A187" s="2">
        <v>186</v>
      </c>
      <c r="B187" s="3" t="str">
        <f t="shared" si="38"/>
        <v>110626-FO-TRA</v>
      </c>
      <c r="C187" s="3">
        <v>40720</v>
      </c>
      <c r="D187" s="3">
        <f t="shared" si="40"/>
        <v>40732</v>
      </c>
      <c r="E187" s="3">
        <f t="shared" si="41"/>
        <v>40781</v>
      </c>
      <c r="F187" s="3">
        <f t="shared" si="42"/>
        <v>40724</v>
      </c>
      <c r="G187" s="76">
        <f t="shared" si="43"/>
        <v>2011</v>
      </c>
      <c r="H187" s="76">
        <f t="shared" si="44"/>
        <v>6</v>
      </c>
      <c r="I187" s="76" t="str">
        <f>VLOOKUP(H187,'Lookup Values'!$C$2:$D$13,2,FALSE)</f>
        <v>JUN</v>
      </c>
      <c r="J187" s="76">
        <f t="shared" si="45"/>
        <v>26</v>
      </c>
      <c r="K187" s="76">
        <f t="shared" si="46"/>
        <v>1</v>
      </c>
      <c r="L187" s="76" t="str">
        <f>VLOOKUP(K187,'Lookup Values'!$F$2:$G$8,2,FALSE)</f>
        <v>Sunday</v>
      </c>
      <c r="M187" s="3">
        <v>40728</v>
      </c>
      <c r="N187" s="78">
        <f t="shared" si="39"/>
        <v>8</v>
      </c>
      <c r="O187" s="11">
        <v>0.28809961147205199</v>
      </c>
      <c r="P187" s="94">
        <f t="shared" si="47"/>
        <v>6</v>
      </c>
      <c r="Q187" s="94">
        <f t="shared" si="48"/>
        <v>54</v>
      </c>
      <c r="R187" s="94">
        <f t="shared" si="49"/>
        <v>52</v>
      </c>
      <c r="S187" s="94" t="str">
        <f>VLOOKUP(O187,'Lookup Values'!$I$2:$L$8,4,TRUE)</f>
        <v>Early Morning</v>
      </c>
      <c r="T187" t="s">
        <v>80</v>
      </c>
      <c r="U187" t="s">
        <v>93</v>
      </c>
      <c r="V187" t="str">
        <f t="shared" si="50"/>
        <v>Food: Groceries</v>
      </c>
      <c r="W187" t="s">
        <v>92</v>
      </c>
      <c r="X187" t="s">
        <v>91</v>
      </c>
      <c r="Y187" s="1">
        <v>212</v>
      </c>
      <c r="Z187" s="1" t="str">
        <f t="shared" si="51"/>
        <v>Food: $212.00</v>
      </c>
      <c r="AA187" s="1">
        <f>IF(Y187="","",ROUND(Y187*'Lookup Values'!$A$2,2))</f>
        <v>18.82</v>
      </c>
      <c r="AB187" s="12" t="str">
        <f t="shared" si="52"/>
        <v>Expense</v>
      </c>
      <c r="AC187" s="2" t="s">
        <v>339</v>
      </c>
      <c r="AD187" s="3">
        <f t="shared" si="53"/>
        <v>40720</v>
      </c>
      <c r="AE187" s="93" t="str">
        <f t="shared" si="54"/>
        <v>NO</v>
      </c>
      <c r="AF187" s="2" t="str">
        <f t="shared" si="55"/>
        <v>NO</v>
      </c>
      <c r="AG187" t="str">
        <f t="shared" si="56"/>
        <v>CRAP Transaction</v>
      </c>
    </row>
    <row r="188" spans="1:33" x14ac:dyDescent="0.25">
      <c r="A188" s="2">
        <v>187</v>
      </c>
      <c r="B188" s="3" t="str">
        <f t="shared" si="38"/>
        <v>111022-EN-FAN</v>
      </c>
      <c r="C188" s="3">
        <v>40838</v>
      </c>
      <c r="D188" s="3">
        <f t="shared" si="40"/>
        <v>40851</v>
      </c>
      <c r="E188" s="3">
        <f t="shared" si="41"/>
        <v>40899</v>
      </c>
      <c r="F188" s="3">
        <f t="shared" si="42"/>
        <v>40847</v>
      </c>
      <c r="G188" s="76">
        <f t="shared" si="43"/>
        <v>2011</v>
      </c>
      <c r="H188" s="76">
        <f t="shared" si="44"/>
        <v>10</v>
      </c>
      <c r="I188" s="76" t="str">
        <f>VLOOKUP(H188,'Lookup Values'!$C$2:$D$13,2,FALSE)</f>
        <v>OCT</v>
      </c>
      <c r="J188" s="76">
        <f t="shared" si="45"/>
        <v>22</v>
      </c>
      <c r="K188" s="76">
        <f t="shared" si="46"/>
        <v>7</v>
      </c>
      <c r="L188" s="76" t="str">
        <f>VLOOKUP(K188,'Lookup Values'!$F$2:$G$8,2,FALSE)</f>
        <v>Saturday</v>
      </c>
      <c r="M188" s="3">
        <v>40845</v>
      </c>
      <c r="N188" s="78">
        <f t="shared" si="39"/>
        <v>7</v>
      </c>
      <c r="O188" s="11">
        <v>0.23616837088134424</v>
      </c>
      <c r="P188" s="94">
        <f t="shared" si="47"/>
        <v>5</v>
      </c>
      <c r="Q188" s="94">
        <f t="shared" si="48"/>
        <v>40</v>
      </c>
      <c r="R188" s="94">
        <f t="shared" si="49"/>
        <v>5</v>
      </c>
      <c r="S188" s="94" t="str">
        <f>VLOOKUP(O188,'Lookup Values'!$I$2:$L$8,4,TRUE)</f>
        <v>Early Morning</v>
      </c>
      <c r="T188" t="s">
        <v>76</v>
      </c>
      <c r="U188" t="s">
        <v>90</v>
      </c>
      <c r="V188" t="str">
        <f t="shared" si="50"/>
        <v>Entertainment: Movies</v>
      </c>
      <c r="W188" t="s">
        <v>89</v>
      </c>
      <c r="X188" t="s">
        <v>88</v>
      </c>
      <c r="Y188" s="1">
        <v>486</v>
      </c>
      <c r="Z188" s="1" t="str">
        <f t="shared" si="51"/>
        <v>Entertainment: $486.00</v>
      </c>
      <c r="AA188" s="1">
        <f>IF(Y188="","",ROUND(Y188*'Lookup Values'!$A$2,2))</f>
        <v>43.13</v>
      </c>
      <c r="AB188" s="12" t="str">
        <f t="shared" si="52"/>
        <v>Expense</v>
      </c>
      <c r="AC188" s="2" t="s">
        <v>340</v>
      </c>
      <c r="AD188" s="3">
        <f t="shared" si="53"/>
        <v>40838</v>
      </c>
      <c r="AE188" s="93" t="str">
        <f t="shared" si="54"/>
        <v>NO</v>
      </c>
      <c r="AF188" s="2" t="str">
        <f t="shared" si="55"/>
        <v>NO</v>
      </c>
      <c r="AG188" t="str">
        <f t="shared" si="56"/>
        <v>CRAP Transaction</v>
      </c>
    </row>
    <row r="189" spans="1:33" x14ac:dyDescent="0.25">
      <c r="A189" s="2">
        <v>188</v>
      </c>
      <c r="B189" s="3" t="str">
        <f t="shared" si="38"/>
        <v>091214-EN-FAN</v>
      </c>
      <c r="C189" s="3">
        <v>40161</v>
      </c>
      <c r="D189" s="3">
        <f t="shared" si="40"/>
        <v>40175</v>
      </c>
      <c r="E189" s="3">
        <f t="shared" si="41"/>
        <v>40223</v>
      </c>
      <c r="F189" s="3">
        <f t="shared" si="42"/>
        <v>40178</v>
      </c>
      <c r="G189" s="76">
        <f t="shared" si="43"/>
        <v>2009</v>
      </c>
      <c r="H189" s="76">
        <f t="shared" si="44"/>
        <v>12</v>
      </c>
      <c r="I189" s="76" t="str">
        <f>VLOOKUP(H189,'Lookup Values'!$C$2:$D$13,2,FALSE)</f>
        <v>DEC</v>
      </c>
      <c r="J189" s="76">
        <f t="shared" si="45"/>
        <v>14</v>
      </c>
      <c r="K189" s="76">
        <f t="shared" si="46"/>
        <v>2</v>
      </c>
      <c r="L189" s="76" t="str">
        <f>VLOOKUP(K189,'Lookup Values'!$F$2:$G$8,2,FALSE)</f>
        <v>Monday</v>
      </c>
      <c r="M189" s="3">
        <v>40170</v>
      </c>
      <c r="N189" s="78">
        <f t="shared" si="39"/>
        <v>9</v>
      </c>
      <c r="O189" s="11">
        <v>0.89412480832144359</v>
      </c>
      <c r="P189" s="94">
        <f t="shared" si="47"/>
        <v>21</v>
      </c>
      <c r="Q189" s="94">
        <f t="shared" si="48"/>
        <v>27</v>
      </c>
      <c r="R189" s="94">
        <f t="shared" si="49"/>
        <v>32</v>
      </c>
      <c r="S189" s="94" t="str">
        <f>VLOOKUP(O189,'Lookup Values'!$I$2:$L$8,4,TRUE)</f>
        <v>Late Evening</v>
      </c>
      <c r="T189" t="s">
        <v>76</v>
      </c>
      <c r="U189" t="s">
        <v>90</v>
      </c>
      <c r="V189" t="str">
        <f t="shared" si="50"/>
        <v>Entertainment: Movies</v>
      </c>
      <c r="W189" t="s">
        <v>89</v>
      </c>
      <c r="X189" t="s">
        <v>78</v>
      </c>
      <c r="Y189" s="1">
        <v>453</v>
      </c>
      <c r="Z189" s="1" t="str">
        <f t="shared" si="51"/>
        <v>Entertainment: $453.00</v>
      </c>
      <c r="AA189" s="1">
        <f>IF(Y189="","",ROUND(Y189*'Lookup Values'!$A$2,2))</f>
        <v>40.200000000000003</v>
      </c>
      <c r="AB189" s="12" t="str">
        <f t="shared" si="52"/>
        <v>Expense</v>
      </c>
      <c r="AC189" s="2" t="s">
        <v>341</v>
      </c>
      <c r="AD189" s="3">
        <f t="shared" si="53"/>
        <v>40161</v>
      </c>
      <c r="AE189" s="93" t="str">
        <f t="shared" si="54"/>
        <v>NO</v>
      </c>
      <c r="AF189" s="2" t="str">
        <f t="shared" si="55"/>
        <v>NO</v>
      </c>
      <c r="AG189" t="str">
        <f t="shared" si="56"/>
        <v>Awesome Transaction</v>
      </c>
    </row>
    <row r="190" spans="1:33" x14ac:dyDescent="0.25">
      <c r="A190" s="2">
        <v>189</v>
      </c>
      <c r="B190" s="3" t="str">
        <f t="shared" si="38"/>
        <v>080131-ED-SKI</v>
      </c>
      <c r="C190" s="3">
        <v>39478</v>
      </c>
      <c r="D190" s="3">
        <f t="shared" si="40"/>
        <v>39492</v>
      </c>
      <c r="E190" s="3">
        <f t="shared" si="41"/>
        <v>39538</v>
      </c>
      <c r="F190" s="3">
        <f t="shared" si="42"/>
        <v>39478</v>
      </c>
      <c r="G190" s="76">
        <f t="shared" si="43"/>
        <v>2008</v>
      </c>
      <c r="H190" s="76">
        <f t="shared" si="44"/>
        <v>1</v>
      </c>
      <c r="I190" s="76" t="str">
        <f>VLOOKUP(H190,'Lookup Values'!$C$2:$D$13,2,FALSE)</f>
        <v>JAN</v>
      </c>
      <c r="J190" s="76">
        <f t="shared" si="45"/>
        <v>31</v>
      </c>
      <c r="K190" s="76">
        <f t="shared" si="46"/>
        <v>5</v>
      </c>
      <c r="L190" s="76" t="str">
        <f>VLOOKUP(K190,'Lookup Values'!$F$2:$G$8,2,FALSE)</f>
        <v>Thursday</v>
      </c>
      <c r="M190" s="3">
        <v>39486</v>
      </c>
      <c r="N190" s="78">
        <f t="shared" si="39"/>
        <v>8</v>
      </c>
      <c r="O190" s="11">
        <v>0.95421556023056286</v>
      </c>
      <c r="P190" s="94">
        <f t="shared" si="47"/>
        <v>22</v>
      </c>
      <c r="Q190" s="94">
        <f t="shared" si="48"/>
        <v>54</v>
      </c>
      <c r="R190" s="94">
        <f t="shared" si="49"/>
        <v>4</v>
      </c>
      <c r="S190" s="94" t="str">
        <f>VLOOKUP(O190,'Lookup Values'!$I$2:$L$8,4,TRUE)</f>
        <v>Late Evening</v>
      </c>
      <c r="T190" t="s">
        <v>86</v>
      </c>
      <c r="U190" t="s">
        <v>98</v>
      </c>
      <c r="V190" t="str">
        <f t="shared" si="50"/>
        <v>Education: Professional Development</v>
      </c>
      <c r="W190" t="s">
        <v>97</v>
      </c>
      <c r="X190" t="s">
        <v>88</v>
      </c>
      <c r="Y190" s="1">
        <v>33</v>
      </c>
      <c r="Z190" s="1" t="str">
        <f t="shared" si="51"/>
        <v>Education: $33.00</v>
      </c>
      <c r="AA190" s="1">
        <f>IF(Y190="","",ROUND(Y190*'Lookup Values'!$A$2,2))</f>
        <v>2.93</v>
      </c>
      <c r="AB190" s="12" t="str">
        <f t="shared" si="52"/>
        <v>Expense</v>
      </c>
      <c r="AC190" s="2" t="s">
        <v>342</v>
      </c>
      <c r="AD190" s="3">
        <f t="shared" si="53"/>
        <v>39478</v>
      </c>
      <c r="AE190" s="93" t="str">
        <f t="shared" si="54"/>
        <v>YES</v>
      </c>
      <c r="AF190" s="2" t="str">
        <f t="shared" si="55"/>
        <v>NO</v>
      </c>
      <c r="AG190" t="str">
        <f t="shared" si="56"/>
        <v>Late Transaction</v>
      </c>
    </row>
    <row r="191" spans="1:33" x14ac:dyDescent="0.25">
      <c r="A191" s="2">
        <v>190</v>
      </c>
      <c r="B191" s="3" t="str">
        <f t="shared" si="38"/>
        <v>080330-FO-TRA</v>
      </c>
      <c r="C191" s="3">
        <v>39537</v>
      </c>
      <c r="D191" s="3">
        <f t="shared" si="40"/>
        <v>39549</v>
      </c>
      <c r="E191" s="3">
        <f t="shared" si="41"/>
        <v>39598</v>
      </c>
      <c r="F191" s="3">
        <f t="shared" si="42"/>
        <v>39538</v>
      </c>
      <c r="G191" s="76">
        <f t="shared" si="43"/>
        <v>2008</v>
      </c>
      <c r="H191" s="76">
        <f t="shared" si="44"/>
        <v>3</v>
      </c>
      <c r="I191" s="76" t="str">
        <f>VLOOKUP(H191,'Lookup Values'!$C$2:$D$13,2,FALSE)</f>
        <v>MAR</v>
      </c>
      <c r="J191" s="76">
        <f t="shared" si="45"/>
        <v>30</v>
      </c>
      <c r="K191" s="76">
        <f t="shared" si="46"/>
        <v>1</v>
      </c>
      <c r="L191" s="76" t="str">
        <f>VLOOKUP(K191,'Lookup Values'!$F$2:$G$8,2,FALSE)</f>
        <v>Sunday</v>
      </c>
      <c r="M191" s="3">
        <v>39541</v>
      </c>
      <c r="N191" s="78">
        <f t="shared" si="39"/>
        <v>4</v>
      </c>
      <c r="O191" s="11">
        <v>0.4232536955491123</v>
      </c>
      <c r="P191" s="94">
        <f t="shared" si="47"/>
        <v>10</v>
      </c>
      <c r="Q191" s="94">
        <f t="shared" si="48"/>
        <v>9</v>
      </c>
      <c r="R191" s="94">
        <f t="shared" si="49"/>
        <v>29</v>
      </c>
      <c r="S191" s="94" t="str">
        <f>VLOOKUP(O191,'Lookup Values'!$I$2:$L$8,4,TRUE)</f>
        <v>Late Morning</v>
      </c>
      <c r="T191" t="s">
        <v>80</v>
      </c>
      <c r="U191" t="s">
        <v>93</v>
      </c>
      <c r="V191" t="str">
        <f t="shared" si="50"/>
        <v>Food: Groceries</v>
      </c>
      <c r="W191" t="s">
        <v>92</v>
      </c>
      <c r="X191" t="s">
        <v>88</v>
      </c>
      <c r="Y191" s="1">
        <v>70</v>
      </c>
      <c r="Z191" s="1" t="str">
        <f t="shared" si="51"/>
        <v>Food: $70.00</v>
      </c>
      <c r="AA191" s="1">
        <f>IF(Y191="","",ROUND(Y191*'Lookup Values'!$A$2,2))</f>
        <v>6.21</v>
      </c>
      <c r="AB191" s="12" t="str">
        <f t="shared" si="52"/>
        <v>Expense</v>
      </c>
      <c r="AC191" s="2" t="s">
        <v>235</v>
      </c>
      <c r="AD191" s="3">
        <f t="shared" si="53"/>
        <v>39537</v>
      </c>
      <c r="AE191" s="93" t="str">
        <f t="shared" si="54"/>
        <v>NO</v>
      </c>
      <c r="AF191" s="2" t="str">
        <f t="shared" si="55"/>
        <v>NO</v>
      </c>
      <c r="AG191" t="str">
        <f t="shared" si="56"/>
        <v>Awesome Transaction</v>
      </c>
    </row>
    <row r="192" spans="1:33" x14ac:dyDescent="0.25">
      <c r="A192" s="2">
        <v>191</v>
      </c>
      <c r="B192" s="3" t="str">
        <f t="shared" si="38"/>
        <v>080224-ED-SKI</v>
      </c>
      <c r="C192" s="3">
        <v>39502</v>
      </c>
      <c r="D192" s="3">
        <f t="shared" si="40"/>
        <v>39514</v>
      </c>
      <c r="E192" s="3">
        <f t="shared" si="41"/>
        <v>39562</v>
      </c>
      <c r="F192" s="3">
        <f t="shared" si="42"/>
        <v>39507</v>
      </c>
      <c r="G192" s="76">
        <f t="shared" si="43"/>
        <v>2008</v>
      </c>
      <c r="H192" s="76">
        <f t="shared" si="44"/>
        <v>2</v>
      </c>
      <c r="I192" s="76" t="str">
        <f>VLOOKUP(H192,'Lookup Values'!$C$2:$D$13,2,FALSE)</f>
        <v>FEB</v>
      </c>
      <c r="J192" s="76">
        <f t="shared" si="45"/>
        <v>24</v>
      </c>
      <c r="K192" s="76">
        <f t="shared" si="46"/>
        <v>1</v>
      </c>
      <c r="L192" s="76" t="str">
        <f>VLOOKUP(K192,'Lookup Values'!$F$2:$G$8,2,FALSE)</f>
        <v>Sunday</v>
      </c>
      <c r="M192" s="3">
        <v>39508</v>
      </c>
      <c r="N192" s="78">
        <f t="shared" si="39"/>
        <v>6</v>
      </c>
      <c r="O192" s="11">
        <v>0.98506274709384001</v>
      </c>
      <c r="P192" s="94">
        <f t="shared" si="47"/>
        <v>23</v>
      </c>
      <c r="Q192" s="94">
        <f t="shared" si="48"/>
        <v>38</v>
      </c>
      <c r="R192" s="94">
        <f t="shared" si="49"/>
        <v>29</v>
      </c>
      <c r="S192" s="94" t="str">
        <f>VLOOKUP(O192,'Lookup Values'!$I$2:$L$8,4,TRUE)</f>
        <v>Late Evening</v>
      </c>
      <c r="T192" t="s">
        <v>86</v>
      </c>
      <c r="U192" t="s">
        <v>98</v>
      </c>
      <c r="V192" t="str">
        <f t="shared" si="50"/>
        <v>Education: Professional Development</v>
      </c>
      <c r="W192" t="s">
        <v>97</v>
      </c>
      <c r="X192" t="s">
        <v>78</v>
      </c>
      <c r="Y192" s="1">
        <v>102</v>
      </c>
      <c r="Z192" s="1" t="str">
        <f t="shared" si="51"/>
        <v>Education: $102.00</v>
      </c>
      <c r="AA192" s="1">
        <f>IF(Y192="","",ROUND(Y192*'Lookup Values'!$A$2,2))</f>
        <v>9.0500000000000007</v>
      </c>
      <c r="AB192" s="12" t="str">
        <f t="shared" si="52"/>
        <v>Expense</v>
      </c>
      <c r="AC192" s="2" t="s">
        <v>343</v>
      </c>
      <c r="AD192" s="3">
        <f t="shared" si="53"/>
        <v>39502</v>
      </c>
      <c r="AE192" s="93" t="str">
        <f t="shared" si="54"/>
        <v>YES</v>
      </c>
      <c r="AF192" s="2" t="str">
        <f t="shared" si="55"/>
        <v>NO</v>
      </c>
      <c r="AG192" t="str">
        <f t="shared" si="56"/>
        <v>Late Transaction</v>
      </c>
    </row>
    <row r="193" spans="1:33" x14ac:dyDescent="0.25">
      <c r="A193" s="2">
        <v>192</v>
      </c>
      <c r="B193" s="3" t="str">
        <f t="shared" si="38"/>
        <v>090508-EN-FAN</v>
      </c>
      <c r="C193" s="3">
        <v>39941</v>
      </c>
      <c r="D193" s="3">
        <f t="shared" si="40"/>
        <v>39955</v>
      </c>
      <c r="E193" s="3">
        <f t="shared" si="41"/>
        <v>40002</v>
      </c>
      <c r="F193" s="3">
        <f t="shared" si="42"/>
        <v>39964</v>
      </c>
      <c r="G193" s="76">
        <f t="shared" si="43"/>
        <v>2009</v>
      </c>
      <c r="H193" s="76">
        <f t="shared" si="44"/>
        <v>5</v>
      </c>
      <c r="I193" s="76" t="str">
        <f>VLOOKUP(H193,'Lookup Values'!$C$2:$D$13,2,FALSE)</f>
        <v>MAY</v>
      </c>
      <c r="J193" s="76">
        <f t="shared" si="45"/>
        <v>8</v>
      </c>
      <c r="K193" s="76">
        <f t="shared" si="46"/>
        <v>6</v>
      </c>
      <c r="L193" s="76" t="str">
        <f>VLOOKUP(K193,'Lookup Values'!$F$2:$G$8,2,FALSE)</f>
        <v>Friday</v>
      </c>
      <c r="M193" s="3">
        <v>39950</v>
      </c>
      <c r="N193" s="78">
        <f t="shared" si="39"/>
        <v>9</v>
      </c>
      <c r="O193" s="11">
        <v>0.3065007022762184</v>
      </c>
      <c r="P193" s="94">
        <f t="shared" si="47"/>
        <v>7</v>
      </c>
      <c r="Q193" s="94">
        <f t="shared" si="48"/>
        <v>21</v>
      </c>
      <c r="R193" s="94">
        <f t="shared" si="49"/>
        <v>22</v>
      </c>
      <c r="S193" s="94" t="str">
        <f>VLOOKUP(O193,'Lookup Values'!$I$2:$L$8,4,TRUE)</f>
        <v>Morning</v>
      </c>
      <c r="T193" t="s">
        <v>76</v>
      </c>
      <c r="U193" t="s">
        <v>90</v>
      </c>
      <c r="V193" t="str">
        <f t="shared" si="50"/>
        <v>Entertainment: Movies</v>
      </c>
      <c r="W193" t="s">
        <v>89</v>
      </c>
      <c r="X193" t="s">
        <v>78</v>
      </c>
      <c r="Y193" s="1">
        <v>124</v>
      </c>
      <c r="Z193" s="1" t="str">
        <f t="shared" si="51"/>
        <v>Entertainment: $124.00</v>
      </c>
      <c r="AA193" s="1">
        <f>IF(Y193="","",ROUND(Y193*'Lookup Values'!$A$2,2))</f>
        <v>11.01</v>
      </c>
      <c r="AB193" s="12" t="str">
        <f t="shared" si="52"/>
        <v>Expense</v>
      </c>
      <c r="AC193" s="2" t="s">
        <v>344</v>
      </c>
      <c r="AD193" s="3">
        <f t="shared" si="53"/>
        <v>39941</v>
      </c>
      <c r="AE193" s="93" t="str">
        <f t="shared" si="54"/>
        <v>NO</v>
      </c>
      <c r="AF193" s="2" t="str">
        <f t="shared" si="55"/>
        <v>NO</v>
      </c>
      <c r="AG193" t="str">
        <f t="shared" si="56"/>
        <v>Awesome Transaction</v>
      </c>
    </row>
    <row r="194" spans="1:33" x14ac:dyDescent="0.25">
      <c r="A194" s="2">
        <v>193</v>
      </c>
      <c r="B194" s="3" t="str">
        <f t="shared" ref="B194:B257" si="57">TEXT(C194,"yymmdd") &amp; "-" &amp; UPPER(LEFT(T194,2)) &amp; "-" &amp; UPPER(LEFT(W194,3))</f>
        <v>100727-BI-CON</v>
      </c>
      <c r="C194" s="3">
        <v>40386</v>
      </c>
      <c r="D194" s="3">
        <f t="shared" si="40"/>
        <v>40400</v>
      </c>
      <c r="E194" s="3">
        <f t="shared" si="41"/>
        <v>40448</v>
      </c>
      <c r="F194" s="3">
        <f t="shared" si="42"/>
        <v>40390</v>
      </c>
      <c r="G194" s="76">
        <f t="shared" si="43"/>
        <v>2010</v>
      </c>
      <c r="H194" s="76">
        <f t="shared" si="44"/>
        <v>7</v>
      </c>
      <c r="I194" s="76" t="str">
        <f>VLOOKUP(H194,'Lookup Values'!$C$2:$D$13,2,FALSE)</f>
        <v>JUL</v>
      </c>
      <c r="J194" s="76">
        <f t="shared" si="45"/>
        <v>27</v>
      </c>
      <c r="K194" s="76">
        <f t="shared" si="46"/>
        <v>3</v>
      </c>
      <c r="L194" s="76" t="str">
        <f>VLOOKUP(K194,'Lookup Values'!$F$2:$G$8,2,FALSE)</f>
        <v>Tuesday</v>
      </c>
      <c r="M194" s="3">
        <v>40389</v>
      </c>
      <c r="N194" s="78">
        <f t="shared" ref="N194:N257" si="58">M194-C194</f>
        <v>3</v>
      </c>
      <c r="O194" s="11">
        <v>0.46802897068722571</v>
      </c>
      <c r="P194" s="94">
        <f t="shared" si="47"/>
        <v>11</v>
      </c>
      <c r="Q194" s="94">
        <f t="shared" si="48"/>
        <v>13</v>
      </c>
      <c r="R194" s="94">
        <f t="shared" si="49"/>
        <v>58</v>
      </c>
      <c r="S194" s="94" t="str">
        <f>VLOOKUP(O194,'Lookup Values'!$I$2:$L$8,4,TRUE)</f>
        <v>Late Morning</v>
      </c>
      <c r="T194" t="s">
        <v>110</v>
      </c>
      <c r="U194" t="s">
        <v>111</v>
      </c>
      <c r="V194" t="str">
        <f t="shared" si="50"/>
        <v>Bills: Utilities</v>
      </c>
      <c r="W194" t="s">
        <v>109</v>
      </c>
      <c r="X194" t="s">
        <v>91</v>
      </c>
      <c r="Y194" s="1">
        <v>149</v>
      </c>
      <c r="Z194" s="1" t="str">
        <f t="shared" si="51"/>
        <v>Bills: $149.00</v>
      </c>
      <c r="AA194" s="1">
        <f>IF(Y194="","",ROUND(Y194*'Lookup Values'!$A$2,2))</f>
        <v>13.22</v>
      </c>
      <c r="AB194" s="12" t="str">
        <f t="shared" si="52"/>
        <v>Expense</v>
      </c>
      <c r="AC194" s="2" t="s">
        <v>345</v>
      </c>
      <c r="AD194" s="3">
        <f t="shared" si="53"/>
        <v>40386</v>
      </c>
      <c r="AE194" s="93" t="str">
        <f t="shared" si="54"/>
        <v>NO</v>
      </c>
      <c r="AF194" s="2" t="str">
        <f t="shared" si="55"/>
        <v>NO</v>
      </c>
      <c r="AG194" t="str">
        <f t="shared" si="56"/>
        <v>Late Transaction</v>
      </c>
    </row>
    <row r="195" spans="1:33" x14ac:dyDescent="0.25">
      <c r="A195" s="2">
        <v>194</v>
      </c>
      <c r="B195" s="3" t="str">
        <f t="shared" si="57"/>
        <v>120301-FO-CIT</v>
      </c>
      <c r="C195" s="3">
        <v>40969</v>
      </c>
      <c r="D195" s="3">
        <f t="shared" ref="D195:D258" si="59">WORKDAY(C195,10)</f>
        <v>40983</v>
      </c>
      <c r="E195" s="3">
        <f t="shared" ref="E195:E258" si="60">EDATE(C195,2)</f>
        <v>41030</v>
      </c>
      <c r="F195" s="3">
        <f t="shared" ref="F195:F258" si="61">EOMONTH(C195,0)</f>
        <v>40999</v>
      </c>
      <c r="G195" s="76">
        <f t="shared" ref="G195:G258" si="62">YEAR(C195)</f>
        <v>2012</v>
      </c>
      <c r="H195" s="76">
        <f t="shared" ref="H195:H258" si="63">MONTH(C195)</f>
        <v>3</v>
      </c>
      <c r="I195" s="76" t="str">
        <f>VLOOKUP(H195,'Lookup Values'!$C$2:$D$13,2,FALSE)</f>
        <v>MAR</v>
      </c>
      <c r="J195" s="76">
        <f t="shared" ref="J195:J258" si="64">DAY(C195)</f>
        <v>1</v>
      </c>
      <c r="K195" s="76">
        <f t="shared" ref="K195:K258" si="65">WEEKDAY(C195)</f>
        <v>5</v>
      </c>
      <c r="L195" s="76" t="str">
        <f>VLOOKUP(K195,'Lookup Values'!$F$2:$G$8,2,FALSE)</f>
        <v>Thursday</v>
      </c>
      <c r="M195" s="3">
        <v>40974</v>
      </c>
      <c r="N195" s="78">
        <f t="shared" si="58"/>
        <v>5</v>
      </c>
      <c r="O195" s="11">
        <v>0.81294867784070468</v>
      </c>
      <c r="P195" s="94">
        <f t="shared" ref="P195:P258" si="66">HOUR(O195)</f>
        <v>19</v>
      </c>
      <c r="Q195" s="94">
        <f t="shared" ref="Q195:Q258" si="67">MINUTE(O195)</f>
        <v>30</v>
      </c>
      <c r="R195" s="94">
        <f t="shared" ref="R195:R258" si="68">SECOND(O195)</f>
        <v>39</v>
      </c>
      <c r="S195" s="94" t="str">
        <f>VLOOKUP(O195,'Lookup Values'!$I$2:$L$8,4,TRUE)</f>
        <v>Evening</v>
      </c>
      <c r="T195" t="s">
        <v>80</v>
      </c>
      <c r="U195" t="s">
        <v>105</v>
      </c>
      <c r="V195" t="str">
        <f t="shared" ref="V195:V258" si="69">T195 &amp; ": " &amp; U195</f>
        <v>Food: Coffee</v>
      </c>
      <c r="W195" t="s">
        <v>104</v>
      </c>
      <c r="X195" t="s">
        <v>78</v>
      </c>
      <c r="Y195" s="1">
        <v>43</v>
      </c>
      <c r="Z195" s="1" t="str">
        <f t="shared" ref="Z195:Z258" si="70">T195 &amp; ": " &amp; TEXT(Y195,"$#,###.00")</f>
        <v>Food: $43.00</v>
      </c>
      <c r="AA195" s="1">
        <f>IF(Y195="","",ROUND(Y195*'Lookup Values'!$A$2,2))</f>
        <v>3.82</v>
      </c>
      <c r="AB195" s="12" t="str">
        <f t="shared" ref="AB195:AB258" si="71">IF(T195="Income","Income","Expense")</f>
        <v>Expense</v>
      </c>
      <c r="AC195" s="2" t="s">
        <v>346</v>
      </c>
      <c r="AD195" s="3">
        <f t="shared" ref="AD195:AD258" si="72">VALUE(SUBSTITUTE(AC195,".","/"))</f>
        <v>40969</v>
      </c>
      <c r="AE195" s="93" t="str">
        <f t="shared" ref="AE195:AE258" si="73">IF(OR(T195="Transportation",U195="Professional Development",U195="Electronics"),"YES","NO")</f>
        <v>NO</v>
      </c>
      <c r="AF195" s="2" t="str">
        <f t="shared" ref="AF195:AF258" si="74">IF(AND(AE195="YES",Y195&gt;=400),"YES","NO")</f>
        <v>NO</v>
      </c>
      <c r="AG195" t="str">
        <f t="shared" ref="AG195:AG258" si="75">IF(AND(AND(G195&gt;=2007,G195&lt;=2009),OR(W195&lt;&gt;"MTA",W195&lt;&gt;"Fandango"),OR(T195="Food",T195="Shopping",T195="Entertainment")),"Awesome Transaction",IF(AND(G195&lt;=2010,U195&lt;&gt;"Alcohol"),"Late Transaction",IF(G195=2006,"Early Transaction","CRAP Transaction")))</f>
        <v>CRAP Transaction</v>
      </c>
    </row>
    <row r="196" spans="1:33" x14ac:dyDescent="0.25">
      <c r="A196" s="2">
        <v>195</v>
      </c>
      <c r="B196" s="3" t="str">
        <f t="shared" si="57"/>
        <v>070227-FO-BAN</v>
      </c>
      <c r="C196" s="3">
        <v>39140</v>
      </c>
      <c r="D196" s="3">
        <f t="shared" si="59"/>
        <v>39154</v>
      </c>
      <c r="E196" s="3">
        <f t="shared" si="60"/>
        <v>39199</v>
      </c>
      <c r="F196" s="3">
        <f t="shared" si="61"/>
        <v>39141</v>
      </c>
      <c r="G196" s="76">
        <f t="shared" si="62"/>
        <v>2007</v>
      </c>
      <c r="H196" s="76">
        <f t="shared" si="63"/>
        <v>2</v>
      </c>
      <c r="I196" s="76" t="str">
        <f>VLOOKUP(H196,'Lookup Values'!$C$2:$D$13,2,FALSE)</f>
        <v>FEB</v>
      </c>
      <c r="J196" s="76">
        <f t="shared" si="64"/>
        <v>27</v>
      </c>
      <c r="K196" s="76">
        <f t="shared" si="65"/>
        <v>3</v>
      </c>
      <c r="L196" s="76" t="str">
        <f>VLOOKUP(K196,'Lookup Values'!$F$2:$G$8,2,FALSE)</f>
        <v>Tuesday</v>
      </c>
      <c r="M196" s="3">
        <v>39149</v>
      </c>
      <c r="N196" s="78">
        <f t="shared" si="58"/>
        <v>9</v>
      </c>
      <c r="O196" s="11">
        <v>0.96670476225399382</v>
      </c>
      <c r="P196" s="94">
        <f t="shared" si="66"/>
        <v>23</v>
      </c>
      <c r="Q196" s="94">
        <f t="shared" si="67"/>
        <v>12</v>
      </c>
      <c r="R196" s="94">
        <f t="shared" si="68"/>
        <v>3</v>
      </c>
      <c r="S196" s="94" t="str">
        <f>VLOOKUP(O196,'Lookup Values'!$I$2:$L$8,4,TRUE)</f>
        <v>Late Evening</v>
      </c>
      <c r="T196" t="s">
        <v>80</v>
      </c>
      <c r="U196" t="s">
        <v>81</v>
      </c>
      <c r="V196" t="str">
        <f t="shared" si="69"/>
        <v>Food: Restaurants</v>
      </c>
      <c r="W196" t="s">
        <v>79</v>
      </c>
      <c r="X196" t="s">
        <v>91</v>
      </c>
      <c r="Y196" s="1">
        <v>341</v>
      </c>
      <c r="Z196" s="1" t="str">
        <f t="shared" si="70"/>
        <v>Food: $341.00</v>
      </c>
      <c r="AA196" s="1">
        <f>IF(Y196="","",ROUND(Y196*'Lookup Values'!$A$2,2))</f>
        <v>30.26</v>
      </c>
      <c r="AB196" s="12" t="str">
        <f t="shared" si="71"/>
        <v>Expense</v>
      </c>
      <c r="AC196" s="2" t="s">
        <v>347</v>
      </c>
      <c r="AD196" s="3">
        <f t="shared" si="72"/>
        <v>39140</v>
      </c>
      <c r="AE196" s="93" t="str">
        <f t="shared" si="73"/>
        <v>NO</v>
      </c>
      <c r="AF196" s="2" t="str">
        <f t="shared" si="74"/>
        <v>NO</v>
      </c>
      <c r="AG196" t="str">
        <f t="shared" si="75"/>
        <v>Awesome Transaction</v>
      </c>
    </row>
    <row r="197" spans="1:33" x14ac:dyDescent="0.25">
      <c r="A197" s="2">
        <v>196</v>
      </c>
      <c r="B197" s="3" t="str">
        <f t="shared" si="57"/>
        <v>111019-HO-BED</v>
      </c>
      <c r="C197" s="3">
        <v>40835</v>
      </c>
      <c r="D197" s="3">
        <f t="shared" si="59"/>
        <v>40849</v>
      </c>
      <c r="E197" s="3">
        <f t="shared" si="60"/>
        <v>40896</v>
      </c>
      <c r="F197" s="3">
        <f t="shared" si="61"/>
        <v>40847</v>
      </c>
      <c r="G197" s="76">
        <f t="shared" si="62"/>
        <v>2011</v>
      </c>
      <c r="H197" s="76">
        <f t="shared" si="63"/>
        <v>10</v>
      </c>
      <c r="I197" s="76" t="str">
        <f>VLOOKUP(H197,'Lookup Values'!$C$2:$D$13,2,FALSE)</f>
        <v>OCT</v>
      </c>
      <c r="J197" s="76">
        <f t="shared" si="64"/>
        <v>19</v>
      </c>
      <c r="K197" s="76">
        <f t="shared" si="65"/>
        <v>4</v>
      </c>
      <c r="L197" s="76" t="str">
        <f>VLOOKUP(K197,'Lookup Values'!$F$2:$G$8,2,FALSE)</f>
        <v>Wednesday</v>
      </c>
      <c r="M197" s="3">
        <v>40845</v>
      </c>
      <c r="N197" s="78">
        <f t="shared" si="58"/>
        <v>10</v>
      </c>
      <c r="O197" s="11">
        <v>1.5853109610385552E-2</v>
      </c>
      <c r="P197" s="94">
        <f t="shared" si="66"/>
        <v>0</v>
      </c>
      <c r="Q197" s="94">
        <f t="shared" si="67"/>
        <v>22</v>
      </c>
      <c r="R197" s="94">
        <f t="shared" si="68"/>
        <v>50</v>
      </c>
      <c r="S197" s="94" t="str">
        <f>VLOOKUP(O197,'Lookup Values'!$I$2:$L$8,4,TRUE)</f>
        <v>Dead of Night</v>
      </c>
      <c r="T197" t="s">
        <v>100</v>
      </c>
      <c r="U197" t="s">
        <v>101</v>
      </c>
      <c r="V197" t="str">
        <f t="shared" si="69"/>
        <v>Home: Cleaning Supplies</v>
      </c>
      <c r="W197" t="s">
        <v>99</v>
      </c>
      <c r="X197" t="s">
        <v>88</v>
      </c>
      <c r="Y197" s="1">
        <v>346</v>
      </c>
      <c r="Z197" s="1" t="str">
        <f t="shared" si="70"/>
        <v>Home: $346.00</v>
      </c>
      <c r="AA197" s="1">
        <f>IF(Y197="","",ROUND(Y197*'Lookup Values'!$A$2,2))</f>
        <v>30.71</v>
      </c>
      <c r="AB197" s="12" t="str">
        <f t="shared" si="71"/>
        <v>Expense</v>
      </c>
      <c r="AC197" s="2" t="s">
        <v>348</v>
      </c>
      <c r="AD197" s="3">
        <f t="shared" si="72"/>
        <v>40835</v>
      </c>
      <c r="AE197" s="93" t="str">
        <f t="shared" si="73"/>
        <v>NO</v>
      </c>
      <c r="AF197" s="2" t="str">
        <f t="shared" si="74"/>
        <v>NO</v>
      </c>
      <c r="AG197" t="str">
        <f t="shared" si="75"/>
        <v>CRAP Transaction</v>
      </c>
    </row>
    <row r="198" spans="1:33" x14ac:dyDescent="0.25">
      <c r="A198" s="2">
        <v>197</v>
      </c>
      <c r="B198" s="3" t="str">
        <f t="shared" si="57"/>
        <v>100702-HO-BED</v>
      </c>
      <c r="C198" s="3">
        <v>40361</v>
      </c>
      <c r="D198" s="3">
        <f t="shared" si="59"/>
        <v>40375</v>
      </c>
      <c r="E198" s="3">
        <f t="shared" si="60"/>
        <v>40423</v>
      </c>
      <c r="F198" s="3">
        <f t="shared" si="61"/>
        <v>40390</v>
      </c>
      <c r="G198" s="76">
        <f t="shared" si="62"/>
        <v>2010</v>
      </c>
      <c r="H198" s="76">
        <f t="shared" si="63"/>
        <v>7</v>
      </c>
      <c r="I198" s="76" t="str">
        <f>VLOOKUP(H198,'Lookup Values'!$C$2:$D$13,2,FALSE)</f>
        <v>JUL</v>
      </c>
      <c r="J198" s="76">
        <f t="shared" si="64"/>
        <v>2</v>
      </c>
      <c r="K198" s="76">
        <f t="shared" si="65"/>
        <v>6</v>
      </c>
      <c r="L198" s="76" t="str">
        <f>VLOOKUP(K198,'Lookup Values'!$F$2:$G$8,2,FALSE)</f>
        <v>Friday</v>
      </c>
      <c r="M198" s="3">
        <v>40365</v>
      </c>
      <c r="N198" s="78">
        <f t="shared" si="58"/>
        <v>4</v>
      </c>
      <c r="O198" s="11">
        <v>0.39792445665611775</v>
      </c>
      <c r="P198" s="94">
        <f t="shared" si="66"/>
        <v>9</v>
      </c>
      <c r="Q198" s="94">
        <f t="shared" si="67"/>
        <v>33</v>
      </c>
      <c r="R198" s="94">
        <f t="shared" si="68"/>
        <v>1</v>
      </c>
      <c r="S198" s="94" t="str">
        <f>VLOOKUP(O198,'Lookup Values'!$I$2:$L$8,4,TRUE)</f>
        <v>Morning</v>
      </c>
      <c r="T198" t="s">
        <v>100</v>
      </c>
      <c r="U198" t="s">
        <v>101</v>
      </c>
      <c r="V198" t="str">
        <f t="shared" si="69"/>
        <v>Home: Cleaning Supplies</v>
      </c>
      <c r="W198" t="s">
        <v>99</v>
      </c>
      <c r="X198" t="s">
        <v>78</v>
      </c>
      <c r="Y198" s="1">
        <v>90</v>
      </c>
      <c r="Z198" s="1" t="str">
        <f t="shared" si="70"/>
        <v>Home: $90.00</v>
      </c>
      <c r="AA198" s="1">
        <f>IF(Y198="","",ROUND(Y198*'Lookup Values'!$A$2,2))</f>
        <v>7.99</v>
      </c>
      <c r="AB198" s="12" t="str">
        <f t="shared" si="71"/>
        <v>Expense</v>
      </c>
      <c r="AC198" s="2" t="s">
        <v>349</v>
      </c>
      <c r="AD198" s="3">
        <f t="shared" si="72"/>
        <v>40361</v>
      </c>
      <c r="AE198" s="93" t="str">
        <f t="shared" si="73"/>
        <v>NO</v>
      </c>
      <c r="AF198" s="2" t="str">
        <f t="shared" si="74"/>
        <v>NO</v>
      </c>
      <c r="AG198" t="str">
        <f t="shared" si="75"/>
        <v>Late Transaction</v>
      </c>
    </row>
    <row r="199" spans="1:33" x14ac:dyDescent="0.25">
      <c r="A199" s="2">
        <v>198</v>
      </c>
      <c r="B199" s="3" t="str">
        <f t="shared" si="57"/>
        <v>120319-SH-AMA</v>
      </c>
      <c r="C199" s="3">
        <v>40987</v>
      </c>
      <c r="D199" s="3">
        <f t="shared" si="59"/>
        <v>41001</v>
      </c>
      <c r="E199" s="3">
        <f t="shared" si="60"/>
        <v>41048</v>
      </c>
      <c r="F199" s="3">
        <f t="shared" si="61"/>
        <v>40999</v>
      </c>
      <c r="G199" s="76">
        <f t="shared" si="62"/>
        <v>2012</v>
      </c>
      <c r="H199" s="76">
        <f t="shared" si="63"/>
        <v>3</v>
      </c>
      <c r="I199" s="76" t="str">
        <f>VLOOKUP(H199,'Lookup Values'!$C$2:$D$13,2,FALSE)</f>
        <v>MAR</v>
      </c>
      <c r="J199" s="76">
        <f t="shared" si="64"/>
        <v>19</v>
      </c>
      <c r="K199" s="76">
        <f t="shared" si="65"/>
        <v>2</v>
      </c>
      <c r="L199" s="76" t="str">
        <f>VLOOKUP(K199,'Lookup Values'!$F$2:$G$8,2,FALSE)</f>
        <v>Monday</v>
      </c>
      <c r="M199" s="3">
        <v>40990</v>
      </c>
      <c r="N199" s="78">
        <f t="shared" si="58"/>
        <v>3</v>
      </c>
      <c r="O199" s="11">
        <v>0.75716729349642875</v>
      </c>
      <c r="P199" s="94">
        <f t="shared" si="66"/>
        <v>18</v>
      </c>
      <c r="Q199" s="94">
        <f t="shared" si="67"/>
        <v>10</v>
      </c>
      <c r="R199" s="94">
        <f t="shared" si="68"/>
        <v>19</v>
      </c>
      <c r="S199" s="94" t="str">
        <f>VLOOKUP(O199,'Lookup Values'!$I$2:$L$8,4,TRUE)</f>
        <v>Evening</v>
      </c>
      <c r="T199" t="s">
        <v>83</v>
      </c>
      <c r="U199" t="s">
        <v>84</v>
      </c>
      <c r="V199" t="str">
        <f t="shared" si="69"/>
        <v>Shopping: Electronics</v>
      </c>
      <c r="W199" t="s">
        <v>82</v>
      </c>
      <c r="X199" t="s">
        <v>88</v>
      </c>
      <c r="Y199" s="1">
        <v>390</v>
      </c>
      <c r="Z199" s="1" t="str">
        <f t="shared" si="70"/>
        <v>Shopping: $390.00</v>
      </c>
      <c r="AA199" s="1">
        <f>IF(Y199="","",ROUND(Y199*'Lookup Values'!$A$2,2))</f>
        <v>34.61</v>
      </c>
      <c r="AB199" s="12" t="str">
        <f t="shared" si="71"/>
        <v>Expense</v>
      </c>
      <c r="AC199" s="2" t="s">
        <v>350</v>
      </c>
      <c r="AD199" s="3">
        <f t="shared" si="72"/>
        <v>40987</v>
      </c>
      <c r="AE199" s="93" t="str">
        <f t="shared" si="73"/>
        <v>YES</v>
      </c>
      <c r="AF199" s="2" t="str">
        <f t="shared" si="74"/>
        <v>NO</v>
      </c>
      <c r="AG199" t="str">
        <f t="shared" si="75"/>
        <v>CRAP Transaction</v>
      </c>
    </row>
    <row r="200" spans="1:33" x14ac:dyDescent="0.25">
      <c r="A200" s="2">
        <v>199</v>
      </c>
      <c r="B200" s="3" t="str">
        <f t="shared" si="57"/>
        <v>070820-IN-LEG</v>
      </c>
      <c r="C200" s="3">
        <v>39314</v>
      </c>
      <c r="D200" s="3">
        <f t="shared" si="59"/>
        <v>39328</v>
      </c>
      <c r="E200" s="3">
        <f t="shared" si="60"/>
        <v>39375</v>
      </c>
      <c r="F200" s="3">
        <f t="shared" si="61"/>
        <v>39325</v>
      </c>
      <c r="G200" s="76">
        <f t="shared" si="62"/>
        <v>2007</v>
      </c>
      <c r="H200" s="76">
        <f t="shared" si="63"/>
        <v>8</v>
      </c>
      <c r="I200" s="76" t="str">
        <f>VLOOKUP(H200,'Lookup Values'!$C$2:$D$13,2,FALSE)</f>
        <v>AUG</v>
      </c>
      <c r="J200" s="76">
        <f t="shared" si="64"/>
        <v>20</v>
      </c>
      <c r="K200" s="76">
        <f t="shared" si="65"/>
        <v>2</v>
      </c>
      <c r="L200" s="76" t="str">
        <f>VLOOKUP(K200,'Lookup Values'!$F$2:$G$8,2,FALSE)</f>
        <v>Monday</v>
      </c>
      <c r="M200" s="3">
        <v>39319</v>
      </c>
      <c r="N200" s="78">
        <f t="shared" si="58"/>
        <v>5</v>
      </c>
      <c r="O200" s="11">
        <v>0.89638118065204264</v>
      </c>
      <c r="P200" s="94">
        <f t="shared" si="66"/>
        <v>21</v>
      </c>
      <c r="Q200" s="94">
        <f t="shared" si="67"/>
        <v>30</v>
      </c>
      <c r="R200" s="94">
        <f t="shared" si="68"/>
        <v>47</v>
      </c>
      <c r="S200" s="94" t="str">
        <f>VLOOKUP(O200,'Lookup Values'!$I$2:$L$8,4,TRUE)</f>
        <v>Late Evening</v>
      </c>
      <c r="T200" t="s">
        <v>158</v>
      </c>
      <c r="U200" t="s">
        <v>160</v>
      </c>
      <c r="V200" t="str">
        <f t="shared" si="69"/>
        <v>Income: Freelance Project</v>
      </c>
      <c r="W200" t="s">
        <v>163</v>
      </c>
      <c r="X200" t="s">
        <v>78</v>
      </c>
      <c r="Y200" s="1">
        <v>152</v>
      </c>
      <c r="Z200" s="1" t="str">
        <f t="shared" si="70"/>
        <v>Income: $152.00</v>
      </c>
      <c r="AA200" s="1">
        <f>IF(Y200="","",ROUND(Y200*'Lookup Values'!$A$2,2))</f>
        <v>13.49</v>
      </c>
      <c r="AB200" s="12" t="str">
        <f t="shared" si="71"/>
        <v>Income</v>
      </c>
      <c r="AC200" s="2" t="s">
        <v>351</v>
      </c>
      <c r="AD200" s="3">
        <f t="shared" si="72"/>
        <v>39314</v>
      </c>
      <c r="AE200" s="93" t="str">
        <f t="shared" si="73"/>
        <v>NO</v>
      </c>
      <c r="AF200" s="2" t="str">
        <f t="shared" si="74"/>
        <v>NO</v>
      </c>
      <c r="AG200" t="str">
        <f t="shared" si="75"/>
        <v>Late Transaction</v>
      </c>
    </row>
    <row r="201" spans="1:33" x14ac:dyDescent="0.25">
      <c r="A201" s="2">
        <v>200</v>
      </c>
      <c r="B201" s="3" t="str">
        <f t="shared" si="57"/>
        <v>100719-HE-FRE</v>
      </c>
      <c r="C201" s="3">
        <v>40378</v>
      </c>
      <c r="D201" s="3">
        <f t="shared" si="59"/>
        <v>40392</v>
      </c>
      <c r="E201" s="3">
        <f t="shared" si="60"/>
        <v>40440</v>
      </c>
      <c r="F201" s="3">
        <f t="shared" si="61"/>
        <v>40390</v>
      </c>
      <c r="G201" s="76">
        <f t="shared" si="62"/>
        <v>2010</v>
      </c>
      <c r="H201" s="76">
        <f t="shared" si="63"/>
        <v>7</v>
      </c>
      <c r="I201" s="76" t="str">
        <f>VLOOKUP(H201,'Lookup Values'!$C$2:$D$13,2,FALSE)</f>
        <v>JUL</v>
      </c>
      <c r="J201" s="76">
        <f t="shared" si="64"/>
        <v>19</v>
      </c>
      <c r="K201" s="76">
        <f t="shared" si="65"/>
        <v>2</v>
      </c>
      <c r="L201" s="76" t="str">
        <f>VLOOKUP(K201,'Lookup Values'!$F$2:$G$8,2,FALSE)</f>
        <v>Monday</v>
      </c>
      <c r="M201" s="3">
        <v>40381</v>
      </c>
      <c r="N201" s="78">
        <f t="shared" si="58"/>
        <v>3</v>
      </c>
      <c r="O201" s="11">
        <v>0.58751241204559546</v>
      </c>
      <c r="P201" s="94">
        <f t="shared" si="66"/>
        <v>14</v>
      </c>
      <c r="Q201" s="94">
        <f t="shared" si="67"/>
        <v>6</v>
      </c>
      <c r="R201" s="94">
        <f t="shared" si="68"/>
        <v>1</v>
      </c>
      <c r="S201" s="94" t="str">
        <f>VLOOKUP(O201,'Lookup Values'!$I$2:$L$8,4,TRUE)</f>
        <v>Afternoon</v>
      </c>
      <c r="T201" t="s">
        <v>107</v>
      </c>
      <c r="U201" t="s">
        <v>108</v>
      </c>
      <c r="V201" t="str">
        <f t="shared" si="69"/>
        <v>Health: Insurance Premium</v>
      </c>
      <c r="W201" t="s">
        <v>106</v>
      </c>
      <c r="X201" t="s">
        <v>91</v>
      </c>
      <c r="Y201" s="1">
        <v>401</v>
      </c>
      <c r="Z201" s="1" t="str">
        <f t="shared" si="70"/>
        <v>Health: $401.00</v>
      </c>
      <c r="AA201" s="1">
        <f>IF(Y201="","",ROUND(Y201*'Lookup Values'!$A$2,2))</f>
        <v>35.590000000000003</v>
      </c>
      <c r="AB201" s="12" t="str">
        <f t="shared" si="71"/>
        <v>Expense</v>
      </c>
      <c r="AC201" s="2" t="s">
        <v>352</v>
      </c>
      <c r="AD201" s="3">
        <f t="shared" si="72"/>
        <v>40378</v>
      </c>
      <c r="AE201" s="93" t="str">
        <f t="shared" si="73"/>
        <v>NO</v>
      </c>
      <c r="AF201" s="2" t="str">
        <f t="shared" si="74"/>
        <v>NO</v>
      </c>
      <c r="AG201" t="str">
        <f t="shared" si="75"/>
        <v>Late Transaction</v>
      </c>
    </row>
    <row r="202" spans="1:33" x14ac:dyDescent="0.25">
      <c r="A202" s="2">
        <v>201</v>
      </c>
      <c r="B202" s="3" t="str">
        <f t="shared" si="57"/>
        <v>110731-FO-CIT</v>
      </c>
      <c r="C202" s="3">
        <v>40755</v>
      </c>
      <c r="D202" s="3">
        <f t="shared" si="59"/>
        <v>40767</v>
      </c>
      <c r="E202" s="3">
        <f t="shared" si="60"/>
        <v>40816</v>
      </c>
      <c r="F202" s="3">
        <f t="shared" si="61"/>
        <v>40755</v>
      </c>
      <c r="G202" s="76">
        <f t="shared" si="62"/>
        <v>2011</v>
      </c>
      <c r="H202" s="76">
        <f t="shared" si="63"/>
        <v>7</v>
      </c>
      <c r="I202" s="76" t="str">
        <f>VLOOKUP(H202,'Lookup Values'!$C$2:$D$13,2,FALSE)</f>
        <v>JUL</v>
      </c>
      <c r="J202" s="76">
        <f t="shared" si="64"/>
        <v>31</v>
      </c>
      <c r="K202" s="76">
        <f t="shared" si="65"/>
        <v>1</v>
      </c>
      <c r="L202" s="76" t="str">
        <f>VLOOKUP(K202,'Lookup Values'!$F$2:$G$8,2,FALSE)</f>
        <v>Sunday</v>
      </c>
      <c r="M202" s="3">
        <v>40756</v>
      </c>
      <c r="N202" s="78">
        <f t="shared" si="58"/>
        <v>1</v>
      </c>
      <c r="O202" s="11">
        <v>0.3731332931947472</v>
      </c>
      <c r="P202" s="94">
        <f t="shared" si="66"/>
        <v>8</v>
      </c>
      <c r="Q202" s="94">
        <f t="shared" si="67"/>
        <v>57</v>
      </c>
      <c r="R202" s="94">
        <f t="shared" si="68"/>
        <v>19</v>
      </c>
      <c r="S202" s="94" t="str">
        <f>VLOOKUP(O202,'Lookup Values'!$I$2:$L$8,4,TRUE)</f>
        <v>Morning</v>
      </c>
      <c r="T202" t="s">
        <v>80</v>
      </c>
      <c r="U202" t="s">
        <v>105</v>
      </c>
      <c r="V202" t="str">
        <f t="shared" si="69"/>
        <v>Food: Coffee</v>
      </c>
      <c r="W202" t="s">
        <v>104</v>
      </c>
      <c r="X202" t="s">
        <v>88</v>
      </c>
      <c r="Y202" s="1">
        <v>224</v>
      </c>
      <c r="Z202" s="1" t="str">
        <f t="shared" si="70"/>
        <v>Food: $224.00</v>
      </c>
      <c r="AA202" s="1">
        <f>IF(Y202="","",ROUND(Y202*'Lookup Values'!$A$2,2))</f>
        <v>19.88</v>
      </c>
      <c r="AB202" s="12" t="str">
        <f t="shared" si="71"/>
        <v>Expense</v>
      </c>
      <c r="AC202" s="2" t="s">
        <v>353</v>
      </c>
      <c r="AD202" s="3">
        <f t="shared" si="72"/>
        <v>40755</v>
      </c>
      <c r="AE202" s="93" t="str">
        <f t="shared" si="73"/>
        <v>NO</v>
      </c>
      <c r="AF202" s="2" t="str">
        <f t="shared" si="74"/>
        <v>NO</v>
      </c>
      <c r="AG202" t="str">
        <f t="shared" si="75"/>
        <v>CRAP Transaction</v>
      </c>
    </row>
    <row r="203" spans="1:33" x14ac:dyDescent="0.25">
      <c r="A203" s="2">
        <v>202</v>
      </c>
      <c r="B203" s="3" t="str">
        <f t="shared" si="57"/>
        <v>090525-BI-CON</v>
      </c>
      <c r="C203" s="3">
        <v>39958</v>
      </c>
      <c r="D203" s="3">
        <f t="shared" si="59"/>
        <v>39972</v>
      </c>
      <c r="E203" s="3">
        <f t="shared" si="60"/>
        <v>40019</v>
      </c>
      <c r="F203" s="3">
        <f t="shared" si="61"/>
        <v>39964</v>
      </c>
      <c r="G203" s="76">
        <f t="shared" si="62"/>
        <v>2009</v>
      </c>
      <c r="H203" s="76">
        <f t="shared" si="63"/>
        <v>5</v>
      </c>
      <c r="I203" s="76" t="str">
        <f>VLOOKUP(H203,'Lookup Values'!$C$2:$D$13,2,FALSE)</f>
        <v>MAY</v>
      </c>
      <c r="J203" s="76">
        <f t="shared" si="64"/>
        <v>25</v>
      </c>
      <c r="K203" s="76">
        <f t="shared" si="65"/>
        <v>2</v>
      </c>
      <c r="L203" s="76" t="str">
        <f>VLOOKUP(K203,'Lookup Values'!$F$2:$G$8,2,FALSE)</f>
        <v>Monday</v>
      </c>
      <c r="M203" s="3">
        <v>39961</v>
      </c>
      <c r="N203" s="78">
        <f t="shared" si="58"/>
        <v>3</v>
      </c>
      <c r="O203" s="11">
        <v>0.11816134643048748</v>
      </c>
      <c r="P203" s="94">
        <f t="shared" si="66"/>
        <v>2</v>
      </c>
      <c r="Q203" s="94">
        <f t="shared" si="67"/>
        <v>50</v>
      </c>
      <c r="R203" s="94">
        <f t="shared" si="68"/>
        <v>9</v>
      </c>
      <c r="S203" s="94" t="str">
        <f>VLOOKUP(O203,'Lookup Values'!$I$2:$L$8,4,TRUE)</f>
        <v>Dead of Night</v>
      </c>
      <c r="T203" t="s">
        <v>110</v>
      </c>
      <c r="U203" t="s">
        <v>111</v>
      </c>
      <c r="V203" t="str">
        <f t="shared" si="69"/>
        <v>Bills: Utilities</v>
      </c>
      <c r="W203" t="s">
        <v>109</v>
      </c>
      <c r="X203" t="s">
        <v>78</v>
      </c>
      <c r="Y203" s="1">
        <v>76</v>
      </c>
      <c r="Z203" s="1" t="str">
        <f t="shared" si="70"/>
        <v>Bills: $76.00</v>
      </c>
      <c r="AA203" s="1">
        <f>IF(Y203="","",ROUND(Y203*'Lookup Values'!$A$2,2))</f>
        <v>6.75</v>
      </c>
      <c r="AB203" s="12" t="str">
        <f t="shared" si="71"/>
        <v>Expense</v>
      </c>
      <c r="AC203" s="2" t="s">
        <v>354</v>
      </c>
      <c r="AD203" s="3">
        <f t="shared" si="72"/>
        <v>39958</v>
      </c>
      <c r="AE203" s="93" t="str">
        <f t="shared" si="73"/>
        <v>NO</v>
      </c>
      <c r="AF203" s="2" t="str">
        <f t="shared" si="74"/>
        <v>NO</v>
      </c>
      <c r="AG203" t="str">
        <f t="shared" si="75"/>
        <v>Late Transaction</v>
      </c>
    </row>
    <row r="204" spans="1:33" x14ac:dyDescent="0.25">
      <c r="A204" s="2">
        <v>203</v>
      </c>
      <c r="B204" s="3" t="str">
        <f t="shared" si="57"/>
        <v>120403-HE-FRE</v>
      </c>
      <c r="C204" s="3">
        <v>41002</v>
      </c>
      <c r="D204" s="3">
        <f t="shared" si="59"/>
        <v>41016</v>
      </c>
      <c r="E204" s="3">
        <f t="shared" si="60"/>
        <v>41063</v>
      </c>
      <c r="F204" s="3">
        <f t="shared" si="61"/>
        <v>41029</v>
      </c>
      <c r="G204" s="76">
        <f t="shared" si="62"/>
        <v>2012</v>
      </c>
      <c r="H204" s="76">
        <f t="shared" si="63"/>
        <v>4</v>
      </c>
      <c r="I204" s="76" t="str">
        <f>VLOOKUP(H204,'Lookup Values'!$C$2:$D$13,2,FALSE)</f>
        <v>APR</v>
      </c>
      <c r="J204" s="76">
        <f t="shared" si="64"/>
        <v>3</v>
      </c>
      <c r="K204" s="76">
        <f t="shared" si="65"/>
        <v>3</v>
      </c>
      <c r="L204" s="76" t="str">
        <f>VLOOKUP(K204,'Lookup Values'!$F$2:$G$8,2,FALSE)</f>
        <v>Tuesday</v>
      </c>
      <c r="M204" s="3">
        <v>41003</v>
      </c>
      <c r="N204" s="78">
        <f t="shared" si="58"/>
        <v>1</v>
      </c>
      <c r="O204" s="11">
        <v>0.84946791943054212</v>
      </c>
      <c r="P204" s="94">
        <f t="shared" si="66"/>
        <v>20</v>
      </c>
      <c r="Q204" s="94">
        <f t="shared" si="67"/>
        <v>23</v>
      </c>
      <c r="R204" s="94">
        <f t="shared" si="68"/>
        <v>14</v>
      </c>
      <c r="S204" s="94" t="str">
        <f>VLOOKUP(O204,'Lookup Values'!$I$2:$L$8,4,TRUE)</f>
        <v>Evening</v>
      </c>
      <c r="T204" t="s">
        <v>107</v>
      </c>
      <c r="U204" t="s">
        <v>108</v>
      </c>
      <c r="V204" t="str">
        <f t="shared" si="69"/>
        <v>Health: Insurance Premium</v>
      </c>
      <c r="W204" t="s">
        <v>106</v>
      </c>
      <c r="X204" t="s">
        <v>91</v>
      </c>
      <c r="Y204" s="1">
        <v>451</v>
      </c>
      <c r="Z204" s="1" t="str">
        <f t="shared" si="70"/>
        <v>Health: $451.00</v>
      </c>
      <c r="AA204" s="1">
        <f>IF(Y204="","",ROUND(Y204*'Lookup Values'!$A$2,2))</f>
        <v>40.03</v>
      </c>
      <c r="AB204" s="12" t="str">
        <f t="shared" si="71"/>
        <v>Expense</v>
      </c>
      <c r="AC204" s="2" t="s">
        <v>355</v>
      </c>
      <c r="AD204" s="3">
        <f t="shared" si="72"/>
        <v>41002</v>
      </c>
      <c r="AE204" s="93" t="str">
        <f t="shared" si="73"/>
        <v>NO</v>
      </c>
      <c r="AF204" s="2" t="str">
        <f t="shared" si="74"/>
        <v>NO</v>
      </c>
      <c r="AG204" t="str">
        <f t="shared" si="75"/>
        <v>CRAP Transaction</v>
      </c>
    </row>
    <row r="205" spans="1:33" x14ac:dyDescent="0.25">
      <c r="A205" s="2">
        <v>204</v>
      </c>
      <c r="B205" s="3" t="str">
        <f t="shared" si="57"/>
        <v>110729-HE-FRE</v>
      </c>
      <c r="C205" s="3">
        <v>40753</v>
      </c>
      <c r="D205" s="3">
        <f t="shared" si="59"/>
        <v>40767</v>
      </c>
      <c r="E205" s="3">
        <f t="shared" si="60"/>
        <v>40815</v>
      </c>
      <c r="F205" s="3">
        <f t="shared" si="61"/>
        <v>40755</v>
      </c>
      <c r="G205" s="76">
        <f t="shared" si="62"/>
        <v>2011</v>
      </c>
      <c r="H205" s="76">
        <f t="shared" si="63"/>
        <v>7</v>
      </c>
      <c r="I205" s="76" t="str">
        <f>VLOOKUP(H205,'Lookup Values'!$C$2:$D$13,2,FALSE)</f>
        <v>JUL</v>
      </c>
      <c r="J205" s="76">
        <f t="shared" si="64"/>
        <v>29</v>
      </c>
      <c r="K205" s="76">
        <f t="shared" si="65"/>
        <v>6</v>
      </c>
      <c r="L205" s="76" t="str">
        <f>VLOOKUP(K205,'Lookup Values'!$F$2:$G$8,2,FALSE)</f>
        <v>Friday</v>
      </c>
      <c r="M205" s="3">
        <v>40759</v>
      </c>
      <c r="N205" s="78">
        <f t="shared" si="58"/>
        <v>6</v>
      </c>
      <c r="O205" s="11">
        <v>0.24226925902522123</v>
      </c>
      <c r="P205" s="94">
        <f t="shared" si="66"/>
        <v>5</v>
      </c>
      <c r="Q205" s="94">
        <f t="shared" si="67"/>
        <v>48</v>
      </c>
      <c r="R205" s="94">
        <f t="shared" si="68"/>
        <v>52</v>
      </c>
      <c r="S205" s="94" t="str">
        <f>VLOOKUP(O205,'Lookup Values'!$I$2:$L$8,4,TRUE)</f>
        <v>Early Morning</v>
      </c>
      <c r="T205" t="s">
        <v>107</v>
      </c>
      <c r="U205" t="s">
        <v>108</v>
      </c>
      <c r="V205" t="str">
        <f t="shared" si="69"/>
        <v>Health: Insurance Premium</v>
      </c>
      <c r="W205" t="s">
        <v>106</v>
      </c>
      <c r="X205" t="s">
        <v>91</v>
      </c>
      <c r="Y205" s="1">
        <v>385</v>
      </c>
      <c r="Z205" s="1" t="str">
        <f t="shared" si="70"/>
        <v>Health: $385.00</v>
      </c>
      <c r="AA205" s="1">
        <f>IF(Y205="","",ROUND(Y205*'Lookup Values'!$A$2,2))</f>
        <v>34.17</v>
      </c>
      <c r="AB205" s="12" t="str">
        <f t="shared" si="71"/>
        <v>Expense</v>
      </c>
      <c r="AC205" s="2" t="s">
        <v>356</v>
      </c>
      <c r="AD205" s="3">
        <f t="shared" si="72"/>
        <v>40753</v>
      </c>
      <c r="AE205" s="93" t="str">
        <f t="shared" si="73"/>
        <v>NO</v>
      </c>
      <c r="AF205" s="2" t="str">
        <f t="shared" si="74"/>
        <v>NO</v>
      </c>
      <c r="AG205" t="str">
        <f t="shared" si="75"/>
        <v>CRAP Transaction</v>
      </c>
    </row>
    <row r="206" spans="1:33" x14ac:dyDescent="0.25">
      <c r="A206" s="2">
        <v>205</v>
      </c>
      <c r="B206" s="3" t="str">
        <f t="shared" si="57"/>
        <v>120526-FO-TRA</v>
      </c>
      <c r="C206" s="3">
        <v>41055</v>
      </c>
      <c r="D206" s="3">
        <f t="shared" si="59"/>
        <v>41068</v>
      </c>
      <c r="E206" s="3">
        <f t="shared" si="60"/>
        <v>41116</v>
      </c>
      <c r="F206" s="3">
        <f t="shared" si="61"/>
        <v>41060</v>
      </c>
      <c r="G206" s="76">
        <f t="shared" si="62"/>
        <v>2012</v>
      </c>
      <c r="H206" s="76">
        <f t="shared" si="63"/>
        <v>5</v>
      </c>
      <c r="I206" s="76" t="str">
        <f>VLOOKUP(H206,'Lookup Values'!$C$2:$D$13,2,FALSE)</f>
        <v>MAY</v>
      </c>
      <c r="J206" s="76">
        <f t="shared" si="64"/>
        <v>26</v>
      </c>
      <c r="K206" s="76">
        <f t="shared" si="65"/>
        <v>7</v>
      </c>
      <c r="L206" s="76" t="str">
        <f>VLOOKUP(K206,'Lookup Values'!$F$2:$G$8,2,FALSE)</f>
        <v>Saturday</v>
      </c>
      <c r="M206" s="3">
        <v>41060</v>
      </c>
      <c r="N206" s="78">
        <f t="shared" si="58"/>
        <v>5</v>
      </c>
      <c r="O206" s="11">
        <v>0.72634361891708699</v>
      </c>
      <c r="P206" s="94">
        <f t="shared" si="66"/>
        <v>17</v>
      </c>
      <c r="Q206" s="94">
        <f t="shared" si="67"/>
        <v>25</v>
      </c>
      <c r="R206" s="94">
        <f t="shared" si="68"/>
        <v>56</v>
      </c>
      <c r="S206" s="94" t="str">
        <f>VLOOKUP(O206,'Lookup Values'!$I$2:$L$8,4,TRUE)</f>
        <v>Evening</v>
      </c>
      <c r="T206" t="s">
        <v>80</v>
      </c>
      <c r="U206" t="s">
        <v>93</v>
      </c>
      <c r="V206" t="str">
        <f t="shared" si="69"/>
        <v>Food: Groceries</v>
      </c>
      <c r="W206" t="s">
        <v>92</v>
      </c>
      <c r="X206" t="s">
        <v>88</v>
      </c>
      <c r="Y206" s="1">
        <v>164</v>
      </c>
      <c r="Z206" s="1" t="str">
        <f t="shared" si="70"/>
        <v>Food: $164.00</v>
      </c>
      <c r="AA206" s="1">
        <f>IF(Y206="","",ROUND(Y206*'Lookup Values'!$A$2,2))</f>
        <v>14.56</v>
      </c>
      <c r="AB206" s="12" t="str">
        <f t="shared" si="71"/>
        <v>Expense</v>
      </c>
      <c r="AC206" s="2" t="s">
        <v>357</v>
      </c>
      <c r="AD206" s="3">
        <f t="shared" si="72"/>
        <v>41055</v>
      </c>
      <c r="AE206" s="93" t="str">
        <f t="shared" si="73"/>
        <v>NO</v>
      </c>
      <c r="AF206" s="2" t="str">
        <f t="shared" si="74"/>
        <v>NO</v>
      </c>
      <c r="AG206" t="str">
        <f t="shared" si="75"/>
        <v>CRAP Transaction</v>
      </c>
    </row>
    <row r="207" spans="1:33" x14ac:dyDescent="0.25">
      <c r="A207" s="2">
        <v>206</v>
      </c>
      <c r="B207" s="3" t="str">
        <f t="shared" si="57"/>
        <v>100604-IN-LEG</v>
      </c>
      <c r="C207" s="3">
        <v>40333</v>
      </c>
      <c r="D207" s="3">
        <f t="shared" si="59"/>
        <v>40347</v>
      </c>
      <c r="E207" s="3">
        <f t="shared" si="60"/>
        <v>40394</v>
      </c>
      <c r="F207" s="3">
        <f t="shared" si="61"/>
        <v>40359</v>
      </c>
      <c r="G207" s="76">
        <f t="shared" si="62"/>
        <v>2010</v>
      </c>
      <c r="H207" s="76">
        <f t="shared" si="63"/>
        <v>6</v>
      </c>
      <c r="I207" s="76" t="str">
        <f>VLOOKUP(H207,'Lookup Values'!$C$2:$D$13,2,FALSE)</f>
        <v>JUN</v>
      </c>
      <c r="J207" s="76">
        <f t="shared" si="64"/>
        <v>4</v>
      </c>
      <c r="K207" s="76">
        <f t="shared" si="65"/>
        <v>6</v>
      </c>
      <c r="L207" s="76" t="str">
        <f>VLOOKUP(K207,'Lookup Values'!$F$2:$G$8,2,FALSE)</f>
        <v>Friday</v>
      </c>
      <c r="M207" s="3">
        <v>40340</v>
      </c>
      <c r="N207" s="78">
        <f t="shared" si="58"/>
        <v>7</v>
      </c>
      <c r="O207" s="11">
        <v>7.3753084024090643E-2</v>
      </c>
      <c r="P207" s="94">
        <f t="shared" si="66"/>
        <v>1</v>
      </c>
      <c r="Q207" s="94">
        <f t="shared" si="67"/>
        <v>46</v>
      </c>
      <c r="R207" s="94">
        <f t="shared" si="68"/>
        <v>12</v>
      </c>
      <c r="S207" s="94" t="str">
        <f>VLOOKUP(O207,'Lookup Values'!$I$2:$L$8,4,TRUE)</f>
        <v>Dead of Night</v>
      </c>
      <c r="T207" t="s">
        <v>158</v>
      </c>
      <c r="U207" t="s">
        <v>160</v>
      </c>
      <c r="V207" t="str">
        <f t="shared" si="69"/>
        <v>Income: Freelance Project</v>
      </c>
      <c r="W207" t="s">
        <v>163</v>
      </c>
      <c r="X207" t="s">
        <v>91</v>
      </c>
      <c r="Y207" s="1">
        <v>386</v>
      </c>
      <c r="Z207" s="1" t="str">
        <f t="shared" si="70"/>
        <v>Income: $386.00</v>
      </c>
      <c r="AA207" s="1">
        <f>IF(Y207="","",ROUND(Y207*'Lookup Values'!$A$2,2))</f>
        <v>34.26</v>
      </c>
      <c r="AB207" s="12" t="str">
        <f t="shared" si="71"/>
        <v>Income</v>
      </c>
      <c r="AC207" s="2" t="s">
        <v>358</v>
      </c>
      <c r="AD207" s="3">
        <f t="shared" si="72"/>
        <v>40333</v>
      </c>
      <c r="AE207" s="93" t="str">
        <f t="shared" si="73"/>
        <v>NO</v>
      </c>
      <c r="AF207" s="2" t="str">
        <f t="shared" si="74"/>
        <v>NO</v>
      </c>
      <c r="AG207" t="str">
        <f t="shared" si="75"/>
        <v>Late Transaction</v>
      </c>
    </row>
    <row r="208" spans="1:33" x14ac:dyDescent="0.25">
      <c r="A208" s="2">
        <v>207</v>
      </c>
      <c r="B208" s="3" t="str">
        <f t="shared" si="57"/>
        <v>090629-SH-AMA</v>
      </c>
      <c r="C208" s="3">
        <v>39993</v>
      </c>
      <c r="D208" s="3">
        <f t="shared" si="59"/>
        <v>40007</v>
      </c>
      <c r="E208" s="3">
        <f t="shared" si="60"/>
        <v>40054</v>
      </c>
      <c r="F208" s="3">
        <f t="shared" si="61"/>
        <v>39994</v>
      </c>
      <c r="G208" s="76">
        <f t="shared" si="62"/>
        <v>2009</v>
      </c>
      <c r="H208" s="76">
        <f t="shared" si="63"/>
        <v>6</v>
      </c>
      <c r="I208" s="76" t="str">
        <f>VLOOKUP(H208,'Lookup Values'!$C$2:$D$13,2,FALSE)</f>
        <v>JUN</v>
      </c>
      <c r="J208" s="76">
        <f t="shared" si="64"/>
        <v>29</v>
      </c>
      <c r="K208" s="76">
        <f t="shared" si="65"/>
        <v>2</v>
      </c>
      <c r="L208" s="76" t="str">
        <f>VLOOKUP(K208,'Lookup Values'!$F$2:$G$8,2,FALSE)</f>
        <v>Monday</v>
      </c>
      <c r="M208" s="3">
        <v>39996</v>
      </c>
      <c r="N208" s="78">
        <f t="shared" si="58"/>
        <v>3</v>
      </c>
      <c r="O208" s="11">
        <v>0.48354224339362872</v>
      </c>
      <c r="P208" s="94">
        <f t="shared" si="66"/>
        <v>11</v>
      </c>
      <c r="Q208" s="94">
        <f t="shared" si="67"/>
        <v>36</v>
      </c>
      <c r="R208" s="94">
        <f t="shared" si="68"/>
        <v>18</v>
      </c>
      <c r="S208" s="94" t="str">
        <f>VLOOKUP(O208,'Lookup Values'!$I$2:$L$8,4,TRUE)</f>
        <v>Late Morning</v>
      </c>
      <c r="T208" t="s">
        <v>83</v>
      </c>
      <c r="U208" t="s">
        <v>84</v>
      </c>
      <c r="V208" t="str">
        <f t="shared" si="69"/>
        <v>Shopping: Electronics</v>
      </c>
      <c r="W208" t="s">
        <v>82</v>
      </c>
      <c r="X208" t="s">
        <v>78</v>
      </c>
      <c r="Y208" s="1">
        <v>445</v>
      </c>
      <c r="Z208" s="1" t="str">
        <f t="shared" si="70"/>
        <v>Shopping: $445.00</v>
      </c>
      <c r="AA208" s="1">
        <f>IF(Y208="","",ROUND(Y208*'Lookup Values'!$A$2,2))</f>
        <v>39.49</v>
      </c>
      <c r="AB208" s="12" t="str">
        <f t="shared" si="71"/>
        <v>Expense</v>
      </c>
      <c r="AC208" s="2" t="s">
        <v>359</v>
      </c>
      <c r="AD208" s="3">
        <f t="shared" si="72"/>
        <v>39993</v>
      </c>
      <c r="AE208" s="93" t="str">
        <f t="shared" si="73"/>
        <v>YES</v>
      </c>
      <c r="AF208" s="2" t="str">
        <f t="shared" si="74"/>
        <v>YES</v>
      </c>
      <c r="AG208" t="str">
        <f t="shared" si="75"/>
        <v>Awesome Transaction</v>
      </c>
    </row>
    <row r="209" spans="1:33" x14ac:dyDescent="0.25">
      <c r="A209" s="2">
        <v>208</v>
      </c>
      <c r="B209" s="3" t="str">
        <f t="shared" si="57"/>
        <v>120902-SH-AMA</v>
      </c>
      <c r="C209" s="3">
        <v>41154</v>
      </c>
      <c r="D209" s="3">
        <f t="shared" si="59"/>
        <v>41166</v>
      </c>
      <c r="E209" s="3">
        <f t="shared" si="60"/>
        <v>41215</v>
      </c>
      <c r="F209" s="3">
        <f t="shared" si="61"/>
        <v>41182</v>
      </c>
      <c r="G209" s="76">
        <f t="shared" si="62"/>
        <v>2012</v>
      </c>
      <c r="H209" s="76">
        <f t="shared" si="63"/>
        <v>9</v>
      </c>
      <c r="I209" s="76" t="str">
        <f>VLOOKUP(H209,'Lookup Values'!$C$2:$D$13,2,FALSE)</f>
        <v>SEP</v>
      </c>
      <c r="J209" s="76">
        <f t="shared" si="64"/>
        <v>2</v>
      </c>
      <c r="K209" s="76">
        <f t="shared" si="65"/>
        <v>1</v>
      </c>
      <c r="L209" s="76" t="str">
        <f>VLOOKUP(K209,'Lookup Values'!$F$2:$G$8,2,FALSE)</f>
        <v>Sunday</v>
      </c>
      <c r="M209" s="3">
        <v>41155</v>
      </c>
      <c r="N209" s="78">
        <f t="shared" si="58"/>
        <v>1</v>
      </c>
      <c r="O209" s="11">
        <v>0.97441182196487885</v>
      </c>
      <c r="P209" s="94">
        <f t="shared" si="66"/>
        <v>23</v>
      </c>
      <c r="Q209" s="94">
        <f t="shared" si="67"/>
        <v>23</v>
      </c>
      <c r="R209" s="94">
        <f t="shared" si="68"/>
        <v>9</v>
      </c>
      <c r="S209" s="94" t="str">
        <f>VLOOKUP(O209,'Lookup Values'!$I$2:$L$8,4,TRUE)</f>
        <v>Late Evening</v>
      </c>
      <c r="T209" t="s">
        <v>83</v>
      </c>
      <c r="U209" t="s">
        <v>84</v>
      </c>
      <c r="V209" t="str">
        <f t="shared" si="69"/>
        <v>Shopping: Electronics</v>
      </c>
      <c r="W209" t="s">
        <v>82</v>
      </c>
      <c r="X209" t="s">
        <v>78</v>
      </c>
      <c r="Y209" s="1">
        <v>59</v>
      </c>
      <c r="Z209" s="1" t="str">
        <f t="shared" si="70"/>
        <v>Shopping: $59.00</v>
      </c>
      <c r="AA209" s="1">
        <f>IF(Y209="","",ROUND(Y209*'Lookup Values'!$A$2,2))</f>
        <v>5.24</v>
      </c>
      <c r="AB209" s="12" t="str">
        <f t="shared" si="71"/>
        <v>Expense</v>
      </c>
      <c r="AC209" s="2" t="s">
        <v>360</v>
      </c>
      <c r="AD209" s="3">
        <f t="shared" si="72"/>
        <v>41154</v>
      </c>
      <c r="AE209" s="93" t="str">
        <f t="shared" si="73"/>
        <v>YES</v>
      </c>
      <c r="AF209" s="2" t="str">
        <f t="shared" si="74"/>
        <v>NO</v>
      </c>
      <c r="AG209" t="str">
        <f t="shared" si="75"/>
        <v>CRAP Transaction</v>
      </c>
    </row>
    <row r="210" spans="1:33" x14ac:dyDescent="0.25">
      <c r="A210" s="2">
        <v>209</v>
      </c>
      <c r="B210" s="3" t="str">
        <f t="shared" si="57"/>
        <v>100903-EN-FAN</v>
      </c>
      <c r="C210" s="3">
        <v>40424</v>
      </c>
      <c r="D210" s="3">
        <f t="shared" si="59"/>
        <v>40438</v>
      </c>
      <c r="E210" s="3">
        <f t="shared" si="60"/>
        <v>40485</v>
      </c>
      <c r="F210" s="3">
        <f t="shared" si="61"/>
        <v>40451</v>
      </c>
      <c r="G210" s="76">
        <f t="shared" si="62"/>
        <v>2010</v>
      </c>
      <c r="H210" s="76">
        <f t="shared" si="63"/>
        <v>9</v>
      </c>
      <c r="I210" s="76" t="str">
        <f>VLOOKUP(H210,'Lookup Values'!$C$2:$D$13,2,FALSE)</f>
        <v>SEP</v>
      </c>
      <c r="J210" s="76">
        <f t="shared" si="64"/>
        <v>3</v>
      </c>
      <c r="K210" s="76">
        <f t="shared" si="65"/>
        <v>6</v>
      </c>
      <c r="L210" s="76" t="str">
        <f>VLOOKUP(K210,'Lookup Values'!$F$2:$G$8,2,FALSE)</f>
        <v>Friday</v>
      </c>
      <c r="M210" s="3">
        <v>40430</v>
      </c>
      <c r="N210" s="78">
        <f t="shared" si="58"/>
        <v>6</v>
      </c>
      <c r="O210" s="11">
        <v>0.34126404991415749</v>
      </c>
      <c r="P210" s="94">
        <f t="shared" si="66"/>
        <v>8</v>
      </c>
      <c r="Q210" s="94">
        <f t="shared" si="67"/>
        <v>11</v>
      </c>
      <c r="R210" s="94">
        <f t="shared" si="68"/>
        <v>25</v>
      </c>
      <c r="S210" s="94" t="str">
        <f>VLOOKUP(O210,'Lookup Values'!$I$2:$L$8,4,TRUE)</f>
        <v>Morning</v>
      </c>
      <c r="T210" t="s">
        <v>76</v>
      </c>
      <c r="U210" t="s">
        <v>90</v>
      </c>
      <c r="V210" t="str">
        <f t="shared" si="69"/>
        <v>Entertainment: Movies</v>
      </c>
      <c r="W210" t="s">
        <v>89</v>
      </c>
      <c r="X210" t="s">
        <v>91</v>
      </c>
      <c r="Y210" s="1">
        <v>43</v>
      </c>
      <c r="Z210" s="1" t="str">
        <f t="shared" si="70"/>
        <v>Entertainment: $43.00</v>
      </c>
      <c r="AA210" s="1">
        <f>IF(Y210="","",ROUND(Y210*'Lookup Values'!$A$2,2))</f>
        <v>3.82</v>
      </c>
      <c r="AB210" s="12" t="str">
        <f t="shared" si="71"/>
        <v>Expense</v>
      </c>
      <c r="AC210" s="2" t="s">
        <v>361</v>
      </c>
      <c r="AD210" s="3">
        <f t="shared" si="72"/>
        <v>40424</v>
      </c>
      <c r="AE210" s="93" t="str">
        <f t="shared" si="73"/>
        <v>NO</v>
      </c>
      <c r="AF210" s="2" t="str">
        <f t="shared" si="74"/>
        <v>NO</v>
      </c>
      <c r="AG210" t="str">
        <f t="shared" si="75"/>
        <v>Late Transaction</v>
      </c>
    </row>
    <row r="211" spans="1:33" x14ac:dyDescent="0.25">
      <c r="A211" s="2">
        <v>210</v>
      </c>
      <c r="B211" s="3" t="str">
        <f t="shared" si="57"/>
        <v>120313-FO-CIT</v>
      </c>
      <c r="C211" s="3">
        <v>40981</v>
      </c>
      <c r="D211" s="3">
        <f t="shared" si="59"/>
        <v>40995</v>
      </c>
      <c r="E211" s="3">
        <f t="shared" si="60"/>
        <v>41042</v>
      </c>
      <c r="F211" s="3">
        <f t="shared" si="61"/>
        <v>40999</v>
      </c>
      <c r="G211" s="76">
        <f t="shared" si="62"/>
        <v>2012</v>
      </c>
      <c r="H211" s="76">
        <f t="shared" si="63"/>
        <v>3</v>
      </c>
      <c r="I211" s="76" t="str">
        <f>VLOOKUP(H211,'Lookup Values'!$C$2:$D$13,2,FALSE)</f>
        <v>MAR</v>
      </c>
      <c r="J211" s="76">
        <f t="shared" si="64"/>
        <v>13</v>
      </c>
      <c r="K211" s="76">
        <f t="shared" si="65"/>
        <v>3</v>
      </c>
      <c r="L211" s="76" t="str">
        <f>VLOOKUP(K211,'Lookup Values'!$F$2:$G$8,2,FALSE)</f>
        <v>Tuesday</v>
      </c>
      <c r="M211" s="3">
        <v>40984</v>
      </c>
      <c r="N211" s="78">
        <f t="shared" si="58"/>
        <v>3</v>
      </c>
      <c r="O211" s="11">
        <v>0.44259552899138876</v>
      </c>
      <c r="P211" s="94">
        <f t="shared" si="66"/>
        <v>10</v>
      </c>
      <c r="Q211" s="94">
        <f t="shared" si="67"/>
        <v>37</v>
      </c>
      <c r="R211" s="94">
        <f t="shared" si="68"/>
        <v>20</v>
      </c>
      <c r="S211" s="94" t="str">
        <f>VLOOKUP(O211,'Lookup Values'!$I$2:$L$8,4,TRUE)</f>
        <v>Late Morning</v>
      </c>
      <c r="T211" t="s">
        <v>80</v>
      </c>
      <c r="U211" t="s">
        <v>105</v>
      </c>
      <c r="V211" t="str">
        <f t="shared" si="69"/>
        <v>Food: Coffee</v>
      </c>
      <c r="W211" t="s">
        <v>104</v>
      </c>
      <c r="X211" t="s">
        <v>91</v>
      </c>
      <c r="Y211" s="1">
        <v>51</v>
      </c>
      <c r="Z211" s="1" t="str">
        <f t="shared" si="70"/>
        <v>Food: $51.00</v>
      </c>
      <c r="AA211" s="1">
        <f>IF(Y211="","",ROUND(Y211*'Lookup Values'!$A$2,2))</f>
        <v>4.53</v>
      </c>
      <c r="AB211" s="12" t="str">
        <f t="shared" si="71"/>
        <v>Expense</v>
      </c>
      <c r="AC211" s="2" t="s">
        <v>362</v>
      </c>
      <c r="AD211" s="3">
        <f t="shared" si="72"/>
        <v>40981</v>
      </c>
      <c r="AE211" s="93" t="str">
        <f t="shared" si="73"/>
        <v>NO</v>
      </c>
      <c r="AF211" s="2" t="str">
        <f t="shared" si="74"/>
        <v>NO</v>
      </c>
      <c r="AG211" t="str">
        <f t="shared" si="75"/>
        <v>CRAP Transaction</v>
      </c>
    </row>
    <row r="212" spans="1:33" x14ac:dyDescent="0.25">
      <c r="A212" s="2">
        <v>211</v>
      </c>
      <c r="B212" s="3" t="str">
        <f t="shared" si="57"/>
        <v>100513-SH-AMA</v>
      </c>
      <c r="C212" s="3">
        <v>40311</v>
      </c>
      <c r="D212" s="3">
        <f t="shared" si="59"/>
        <v>40325</v>
      </c>
      <c r="E212" s="3">
        <f t="shared" si="60"/>
        <v>40372</v>
      </c>
      <c r="F212" s="3">
        <f t="shared" si="61"/>
        <v>40329</v>
      </c>
      <c r="G212" s="76">
        <f t="shared" si="62"/>
        <v>2010</v>
      </c>
      <c r="H212" s="76">
        <f t="shared" si="63"/>
        <v>5</v>
      </c>
      <c r="I212" s="76" t="str">
        <f>VLOOKUP(H212,'Lookup Values'!$C$2:$D$13,2,FALSE)</f>
        <v>MAY</v>
      </c>
      <c r="J212" s="76">
        <f t="shared" si="64"/>
        <v>13</v>
      </c>
      <c r="K212" s="76">
        <f t="shared" si="65"/>
        <v>5</v>
      </c>
      <c r="L212" s="76" t="str">
        <f>VLOOKUP(K212,'Lookup Values'!$F$2:$G$8,2,FALSE)</f>
        <v>Thursday</v>
      </c>
      <c r="M212" s="3">
        <v>40315</v>
      </c>
      <c r="N212" s="78">
        <f t="shared" si="58"/>
        <v>4</v>
      </c>
      <c r="O212" s="11">
        <v>0.83277267951760048</v>
      </c>
      <c r="P212" s="94">
        <f t="shared" si="66"/>
        <v>19</v>
      </c>
      <c r="Q212" s="94">
        <f t="shared" si="67"/>
        <v>59</v>
      </c>
      <c r="R212" s="94">
        <f t="shared" si="68"/>
        <v>12</v>
      </c>
      <c r="S212" s="94" t="str">
        <f>VLOOKUP(O212,'Lookup Values'!$I$2:$L$8,4,TRUE)</f>
        <v>Evening</v>
      </c>
      <c r="T212" t="s">
        <v>83</v>
      </c>
      <c r="U212" t="s">
        <v>84</v>
      </c>
      <c r="V212" t="str">
        <f t="shared" si="69"/>
        <v>Shopping: Electronics</v>
      </c>
      <c r="W212" t="s">
        <v>82</v>
      </c>
      <c r="X212" t="s">
        <v>78</v>
      </c>
      <c r="Y212" s="1">
        <v>175</v>
      </c>
      <c r="Z212" s="1" t="str">
        <f t="shared" si="70"/>
        <v>Shopping: $175.00</v>
      </c>
      <c r="AA212" s="1">
        <f>IF(Y212="","",ROUND(Y212*'Lookup Values'!$A$2,2))</f>
        <v>15.53</v>
      </c>
      <c r="AB212" s="12" t="str">
        <f t="shared" si="71"/>
        <v>Expense</v>
      </c>
      <c r="AC212" s="2" t="s">
        <v>363</v>
      </c>
      <c r="AD212" s="3">
        <f t="shared" si="72"/>
        <v>40311</v>
      </c>
      <c r="AE212" s="93" t="str">
        <f t="shared" si="73"/>
        <v>YES</v>
      </c>
      <c r="AF212" s="2" t="str">
        <f t="shared" si="74"/>
        <v>NO</v>
      </c>
      <c r="AG212" t="str">
        <f t="shared" si="75"/>
        <v>Late Transaction</v>
      </c>
    </row>
    <row r="213" spans="1:33" x14ac:dyDescent="0.25">
      <c r="A213" s="2">
        <v>212</v>
      </c>
      <c r="B213" s="3" t="str">
        <f t="shared" si="57"/>
        <v>080724-EN-MOE</v>
      </c>
      <c r="C213" s="3">
        <v>39653</v>
      </c>
      <c r="D213" s="3">
        <f t="shared" si="59"/>
        <v>39667</v>
      </c>
      <c r="E213" s="3">
        <f t="shared" si="60"/>
        <v>39715</v>
      </c>
      <c r="F213" s="3">
        <f t="shared" si="61"/>
        <v>39660</v>
      </c>
      <c r="G213" s="76">
        <f t="shared" si="62"/>
        <v>2008</v>
      </c>
      <c r="H213" s="76">
        <f t="shared" si="63"/>
        <v>7</v>
      </c>
      <c r="I213" s="76" t="str">
        <f>VLOOKUP(H213,'Lookup Values'!$C$2:$D$13,2,FALSE)</f>
        <v>JUL</v>
      </c>
      <c r="J213" s="76">
        <f t="shared" si="64"/>
        <v>24</v>
      </c>
      <c r="K213" s="76">
        <f t="shared" si="65"/>
        <v>5</v>
      </c>
      <c r="L213" s="76" t="str">
        <f>VLOOKUP(K213,'Lookup Values'!$F$2:$G$8,2,FALSE)</f>
        <v>Thursday</v>
      </c>
      <c r="M213" s="3">
        <v>39654</v>
      </c>
      <c r="N213" s="78">
        <f t="shared" si="58"/>
        <v>1</v>
      </c>
      <c r="O213" s="11">
        <v>0.1371876594264364</v>
      </c>
      <c r="P213" s="94">
        <f t="shared" si="66"/>
        <v>3</v>
      </c>
      <c r="Q213" s="94">
        <f t="shared" si="67"/>
        <v>17</v>
      </c>
      <c r="R213" s="94">
        <f t="shared" si="68"/>
        <v>33</v>
      </c>
      <c r="S213" s="94" t="str">
        <f>VLOOKUP(O213,'Lookup Values'!$I$2:$L$8,4,TRUE)</f>
        <v>Dead of Night</v>
      </c>
      <c r="T213" t="s">
        <v>76</v>
      </c>
      <c r="U213" t="s">
        <v>77</v>
      </c>
      <c r="V213" t="str">
        <f t="shared" si="69"/>
        <v>Entertainment: Alcohol</v>
      </c>
      <c r="W213" t="s">
        <v>75</v>
      </c>
      <c r="X213" t="s">
        <v>78</v>
      </c>
      <c r="Y213" s="1">
        <v>84</v>
      </c>
      <c r="Z213" s="1" t="str">
        <f t="shared" si="70"/>
        <v>Entertainment: $84.00</v>
      </c>
      <c r="AA213" s="1">
        <f>IF(Y213="","",ROUND(Y213*'Lookup Values'!$A$2,2))</f>
        <v>7.46</v>
      </c>
      <c r="AB213" s="12" t="str">
        <f t="shared" si="71"/>
        <v>Expense</v>
      </c>
      <c r="AC213" s="2" t="s">
        <v>364</v>
      </c>
      <c r="AD213" s="3">
        <f t="shared" si="72"/>
        <v>39653</v>
      </c>
      <c r="AE213" s="93" t="str">
        <f t="shared" si="73"/>
        <v>NO</v>
      </c>
      <c r="AF213" s="2" t="str">
        <f t="shared" si="74"/>
        <v>NO</v>
      </c>
      <c r="AG213" t="str">
        <f t="shared" si="75"/>
        <v>Awesome Transaction</v>
      </c>
    </row>
    <row r="214" spans="1:33" x14ac:dyDescent="0.25">
      <c r="A214" s="2">
        <v>213</v>
      </c>
      <c r="B214" s="3" t="str">
        <f t="shared" si="57"/>
        <v>100706-EN-FAN</v>
      </c>
      <c r="C214" s="3">
        <v>40365</v>
      </c>
      <c r="D214" s="3">
        <f t="shared" si="59"/>
        <v>40379</v>
      </c>
      <c r="E214" s="3">
        <f t="shared" si="60"/>
        <v>40427</v>
      </c>
      <c r="F214" s="3">
        <f t="shared" si="61"/>
        <v>40390</v>
      </c>
      <c r="G214" s="76">
        <f t="shared" si="62"/>
        <v>2010</v>
      </c>
      <c r="H214" s="76">
        <f t="shared" si="63"/>
        <v>7</v>
      </c>
      <c r="I214" s="76" t="str">
        <f>VLOOKUP(H214,'Lookup Values'!$C$2:$D$13,2,FALSE)</f>
        <v>JUL</v>
      </c>
      <c r="J214" s="76">
        <f t="shared" si="64"/>
        <v>6</v>
      </c>
      <c r="K214" s="76">
        <f t="shared" si="65"/>
        <v>3</v>
      </c>
      <c r="L214" s="76" t="str">
        <f>VLOOKUP(K214,'Lookup Values'!$F$2:$G$8,2,FALSE)</f>
        <v>Tuesday</v>
      </c>
      <c r="M214" s="3">
        <v>40367</v>
      </c>
      <c r="N214" s="78">
        <f t="shared" si="58"/>
        <v>2</v>
      </c>
      <c r="O214" s="11">
        <v>0.10064156913879951</v>
      </c>
      <c r="P214" s="94">
        <f t="shared" si="66"/>
        <v>2</v>
      </c>
      <c r="Q214" s="94">
        <f t="shared" si="67"/>
        <v>24</v>
      </c>
      <c r="R214" s="94">
        <f t="shared" si="68"/>
        <v>55</v>
      </c>
      <c r="S214" s="94" t="str">
        <f>VLOOKUP(O214,'Lookup Values'!$I$2:$L$8,4,TRUE)</f>
        <v>Dead of Night</v>
      </c>
      <c r="T214" t="s">
        <v>76</v>
      </c>
      <c r="U214" t="s">
        <v>90</v>
      </c>
      <c r="V214" t="str">
        <f t="shared" si="69"/>
        <v>Entertainment: Movies</v>
      </c>
      <c r="W214" t="s">
        <v>89</v>
      </c>
      <c r="X214" t="s">
        <v>91</v>
      </c>
      <c r="Y214" s="1">
        <v>435</v>
      </c>
      <c r="Z214" s="1" t="str">
        <f t="shared" si="70"/>
        <v>Entertainment: $435.00</v>
      </c>
      <c r="AA214" s="1">
        <f>IF(Y214="","",ROUND(Y214*'Lookup Values'!$A$2,2))</f>
        <v>38.61</v>
      </c>
      <c r="AB214" s="12" t="str">
        <f t="shared" si="71"/>
        <v>Expense</v>
      </c>
      <c r="AC214" s="2" t="s">
        <v>365</v>
      </c>
      <c r="AD214" s="3">
        <f t="shared" si="72"/>
        <v>40365</v>
      </c>
      <c r="AE214" s="93" t="str">
        <f t="shared" si="73"/>
        <v>NO</v>
      </c>
      <c r="AF214" s="2" t="str">
        <f t="shared" si="74"/>
        <v>NO</v>
      </c>
      <c r="AG214" t="str">
        <f t="shared" si="75"/>
        <v>Late Transaction</v>
      </c>
    </row>
    <row r="215" spans="1:33" x14ac:dyDescent="0.25">
      <c r="A215" s="2">
        <v>214</v>
      </c>
      <c r="B215" s="3" t="str">
        <f t="shared" si="57"/>
        <v>090330-ED-SKI</v>
      </c>
      <c r="C215" s="3">
        <v>39902</v>
      </c>
      <c r="D215" s="3">
        <f t="shared" si="59"/>
        <v>39916</v>
      </c>
      <c r="E215" s="3">
        <f t="shared" si="60"/>
        <v>39963</v>
      </c>
      <c r="F215" s="3">
        <f t="shared" si="61"/>
        <v>39903</v>
      </c>
      <c r="G215" s="76">
        <f t="shared" si="62"/>
        <v>2009</v>
      </c>
      <c r="H215" s="76">
        <f t="shared" si="63"/>
        <v>3</v>
      </c>
      <c r="I215" s="76" t="str">
        <f>VLOOKUP(H215,'Lookup Values'!$C$2:$D$13,2,FALSE)</f>
        <v>MAR</v>
      </c>
      <c r="J215" s="76">
        <f t="shared" si="64"/>
        <v>30</v>
      </c>
      <c r="K215" s="76">
        <f t="shared" si="65"/>
        <v>2</v>
      </c>
      <c r="L215" s="76" t="str">
        <f>VLOOKUP(K215,'Lookup Values'!$F$2:$G$8,2,FALSE)</f>
        <v>Monday</v>
      </c>
      <c r="M215" s="3">
        <v>39903</v>
      </c>
      <c r="N215" s="78">
        <f t="shared" si="58"/>
        <v>1</v>
      </c>
      <c r="O215" s="11">
        <v>0.25174241559868504</v>
      </c>
      <c r="P215" s="94">
        <f t="shared" si="66"/>
        <v>6</v>
      </c>
      <c r="Q215" s="94">
        <f t="shared" si="67"/>
        <v>2</v>
      </c>
      <c r="R215" s="94">
        <f t="shared" si="68"/>
        <v>31</v>
      </c>
      <c r="S215" s="94" t="str">
        <f>VLOOKUP(O215,'Lookup Values'!$I$2:$L$8,4,TRUE)</f>
        <v>Early Morning</v>
      </c>
      <c r="T215" t="s">
        <v>86</v>
      </c>
      <c r="U215" t="s">
        <v>98</v>
      </c>
      <c r="V215" t="str">
        <f t="shared" si="69"/>
        <v>Education: Professional Development</v>
      </c>
      <c r="W215" t="s">
        <v>97</v>
      </c>
      <c r="X215" t="s">
        <v>91</v>
      </c>
      <c r="Y215" s="1">
        <v>154</v>
      </c>
      <c r="Z215" s="1" t="str">
        <f t="shared" si="70"/>
        <v>Education: $154.00</v>
      </c>
      <c r="AA215" s="1">
        <f>IF(Y215="","",ROUND(Y215*'Lookup Values'!$A$2,2))</f>
        <v>13.67</v>
      </c>
      <c r="AB215" s="12" t="str">
        <f t="shared" si="71"/>
        <v>Expense</v>
      </c>
      <c r="AC215" s="2" t="s">
        <v>366</v>
      </c>
      <c r="AD215" s="3">
        <f t="shared" si="72"/>
        <v>39902</v>
      </c>
      <c r="AE215" s="93" t="str">
        <f t="shared" si="73"/>
        <v>YES</v>
      </c>
      <c r="AF215" s="2" t="str">
        <f t="shared" si="74"/>
        <v>NO</v>
      </c>
      <c r="AG215" t="str">
        <f t="shared" si="75"/>
        <v>Late Transaction</v>
      </c>
    </row>
    <row r="216" spans="1:33" x14ac:dyDescent="0.25">
      <c r="A216" s="2">
        <v>215</v>
      </c>
      <c r="B216" s="3" t="str">
        <f t="shared" si="57"/>
        <v>120904-HO-BED</v>
      </c>
      <c r="C216" s="3">
        <v>41156</v>
      </c>
      <c r="D216" s="3">
        <f t="shared" si="59"/>
        <v>41170</v>
      </c>
      <c r="E216" s="3">
        <f t="shared" si="60"/>
        <v>41217</v>
      </c>
      <c r="F216" s="3">
        <f t="shared" si="61"/>
        <v>41182</v>
      </c>
      <c r="G216" s="76">
        <f t="shared" si="62"/>
        <v>2012</v>
      </c>
      <c r="H216" s="76">
        <f t="shared" si="63"/>
        <v>9</v>
      </c>
      <c r="I216" s="76" t="str">
        <f>VLOOKUP(H216,'Lookup Values'!$C$2:$D$13,2,FALSE)</f>
        <v>SEP</v>
      </c>
      <c r="J216" s="76">
        <f t="shared" si="64"/>
        <v>4</v>
      </c>
      <c r="K216" s="76">
        <f t="shared" si="65"/>
        <v>3</v>
      </c>
      <c r="L216" s="76" t="str">
        <f>VLOOKUP(K216,'Lookup Values'!$F$2:$G$8,2,FALSE)</f>
        <v>Tuesday</v>
      </c>
      <c r="M216" s="3">
        <v>41159</v>
      </c>
      <c r="N216" s="78">
        <f t="shared" si="58"/>
        <v>3</v>
      </c>
      <c r="O216" s="11">
        <v>0.80720082185264286</v>
      </c>
      <c r="P216" s="94">
        <f t="shared" si="66"/>
        <v>19</v>
      </c>
      <c r="Q216" s="94">
        <f t="shared" si="67"/>
        <v>22</v>
      </c>
      <c r="R216" s="94">
        <f t="shared" si="68"/>
        <v>22</v>
      </c>
      <c r="S216" s="94" t="str">
        <f>VLOOKUP(O216,'Lookup Values'!$I$2:$L$8,4,TRUE)</f>
        <v>Evening</v>
      </c>
      <c r="T216" t="s">
        <v>100</v>
      </c>
      <c r="U216" t="s">
        <v>101</v>
      </c>
      <c r="V216" t="str">
        <f t="shared" si="69"/>
        <v>Home: Cleaning Supplies</v>
      </c>
      <c r="W216" t="s">
        <v>99</v>
      </c>
      <c r="X216" t="s">
        <v>88</v>
      </c>
      <c r="Y216" s="1">
        <v>193</v>
      </c>
      <c r="Z216" s="1" t="str">
        <f t="shared" si="70"/>
        <v>Home: $193.00</v>
      </c>
      <c r="AA216" s="1">
        <f>IF(Y216="","",ROUND(Y216*'Lookup Values'!$A$2,2))</f>
        <v>17.13</v>
      </c>
      <c r="AB216" s="12" t="str">
        <f t="shared" si="71"/>
        <v>Expense</v>
      </c>
      <c r="AC216" s="2" t="s">
        <v>165</v>
      </c>
      <c r="AD216" s="3">
        <f t="shared" si="72"/>
        <v>41156</v>
      </c>
      <c r="AE216" s="93" t="str">
        <f t="shared" si="73"/>
        <v>NO</v>
      </c>
      <c r="AF216" s="2" t="str">
        <f t="shared" si="74"/>
        <v>NO</v>
      </c>
      <c r="AG216" t="str">
        <f t="shared" si="75"/>
        <v>CRAP Transaction</v>
      </c>
    </row>
    <row r="217" spans="1:33" x14ac:dyDescent="0.25">
      <c r="A217" s="2">
        <v>216</v>
      </c>
      <c r="B217" s="3" t="str">
        <f t="shared" si="57"/>
        <v>070916-IN-AUN</v>
      </c>
      <c r="C217" s="3">
        <v>39341</v>
      </c>
      <c r="D217" s="3">
        <f t="shared" si="59"/>
        <v>39353</v>
      </c>
      <c r="E217" s="3">
        <f t="shared" si="60"/>
        <v>39402</v>
      </c>
      <c r="F217" s="3">
        <f t="shared" si="61"/>
        <v>39355</v>
      </c>
      <c r="G217" s="76">
        <f t="shared" si="62"/>
        <v>2007</v>
      </c>
      <c r="H217" s="76">
        <f t="shared" si="63"/>
        <v>9</v>
      </c>
      <c r="I217" s="76" t="str">
        <f>VLOOKUP(H217,'Lookup Values'!$C$2:$D$13,2,FALSE)</f>
        <v>SEP</v>
      </c>
      <c r="J217" s="76">
        <f t="shared" si="64"/>
        <v>16</v>
      </c>
      <c r="K217" s="76">
        <f t="shared" si="65"/>
        <v>1</v>
      </c>
      <c r="L217" s="76" t="str">
        <f>VLOOKUP(K217,'Lookup Values'!$F$2:$G$8,2,FALSE)</f>
        <v>Sunday</v>
      </c>
      <c r="M217" s="3">
        <v>39344</v>
      </c>
      <c r="N217" s="78">
        <f t="shared" si="58"/>
        <v>3</v>
      </c>
      <c r="O217" s="11">
        <v>0.20409026809279207</v>
      </c>
      <c r="P217" s="94">
        <f t="shared" si="66"/>
        <v>4</v>
      </c>
      <c r="Q217" s="94">
        <f t="shared" si="67"/>
        <v>53</v>
      </c>
      <c r="R217" s="94">
        <f t="shared" si="68"/>
        <v>53</v>
      </c>
      <c r="S217" s="94" t="str">
        <f>VLOOKUP(O217,'Lookup Values'!$I$2:$L$8,4,TRUE)</f>
        <v>Early Morning</v>
      </c>
      <c r="T217" t="s">
        <v>158</v>
      </c>
      <c r="U217" t="s">
        <v>161</v>
      </c>
      <c r="V217" t="str">
        <f t="shared" si="69"/>
        <v>Income: Gift Received</v>
      </c>
      <c r="W217" t="s">
        <v>164</v>
      </c>
      <c r="X217" t="s">
        <v>88</v>
      </c>
      <c r="Y217" s="1">
        <v>47</v>
      </c>
      <c r="Z217" s="1" t="str">
        <f t="shared" si="70"/>
        <v>Income: $47.00</v>
      </c>
      <c r="AA217" s="1">
        <f>IF(Y217="","",ROUND(Y217*'Lookup Values'!$A$2,2))</f>
        <v>4.17</v>
      </c>
      <c r="AB217" s="12" t="str">
        <f t="shared" si="71"/>
        <v>Income</v>
      </c>
      <c r="AC217" s="2" t="s">
        <v>367</v>
      </c>
      <c r="AD217" s="3">
        <f t="shared" si="72"/>
        <v>39341</v>
      </c>
      <c r="AE217" s="93" t="str">
        <f t="shared" si="73"/>
        <v>NO</v>
      </c>
      <c r="AF217" s="2" t="str">
        <f t="shared" si="74"/>
        <v>NO</v>
      </c>
      <c r="AG217" t="str">
        <f t="shared" si="75"/>
        <v>Late Transaction</v>
      </c>
    </row>
    <row r="218" spans="1:33" x14ac:dyDescent="0.25">
      <c r="A218" s="2">
        <v>217</v>
      </c>
      <c r="B218" s="3" t="str">
        <f t="shared" si="57"/>
        <v>080422-SH-EXP</v>
      </c>
      <c r="C218" s="3">
        <v>39560</v>
      </c>
      <c r="D218" s="3">
        <f t="shared" si="59"/>
        <v>39574</v>
      </c>
      <c r="E218" s="3">
        <f t="shared" si="60"/>
        <v>39621</v>
      </c>
      <c r="F218" s="3">
        <f t="shared" si="61"/>
        <v>39568</v>
      </c>
      <c r="G218" s="76">
        <f t="shared" si="62"/>
        <v>2008</v>
      </c>
      <c r="H218" s="76">
        <f t="shared" si="63"/>
        <v>4</v>
      </c>
      <c r="I218" s="76" t="str">
        <f>VLOOKUP(H218,'Lookup Values'!$C$2:$D$13,2,FALSE)</f>
        <v>APR</v>
      </c>
      <c r="J218" s="76">
        <f t="shared" si="64"/>
        <v>22</v>
      </c>
      <c r="K218" s="76">
        <f t="shared" si="65"/>
        <v>3</v>
      </c>
      <c r="L218" s="76" t="str">
        <f>VLOOKUP(K218,'Lookup Values'!$F$2:$G$8,2,FALSE)</f>
        <v>Tuesday</v>
      </c>
      <c r="M218" s="3">
        <v>39567</v>
      </c>
      <c r="N218" s="78">
        <f t="shared" si="58"/>
        <v>7</v>
      </c>
      <c r="O218" s="11">
        <v>0.17303654289511616</v>
      </c>
      <c r="P218" s="94">
        <f t="shared" si="66"/>
        <v>4</v>
      </c>
      <c r="Q218" s="94">
        <f t="shared" si="67"/>
        <v>9</v>
      </c>
      <c r="R218" s="94">
        <f t="shared" si="68"/>
        <v>10</v>
      </c>
      <c r="S218" s="94" t="str">
        <f>VLOOKUP(O218,'Lookup Values'!$I$2:$L$8,4,TRUE)</f>
        <v>Early Morning</v>
      </c>
      <c r="T218" t="s">
        <v>83</v>
      </c>
      <c r="U218" t="s">
        <v>103</v>
      </c>
      <c r="V218" t="str">
        <f t="shared" si="69"/>
        <v>Shopping: Clothing</v>
      </c>
      <c r="W218" t="s">
        <v>102</v>
      </c>
      <c r="X218" t="s">
        <v>88</v>
      </c>
      <c r="Y218" s="1">
        <v>9</v>
      </c>
      <c r="Z218" s="1" t="str">
        <f t="shared" si="70"/>
        <v>Shopping: $9.00</v>
      </c>
      <c r="AA218" s="1">
        <f>IF(Y218="","",ROUND(Y218*'Lookup Values'!$A$2,2))</f>
        <v>0.8</v>
      </c>
      <c r="AB218" s="12" t="str">
        <f t="shared" si="71"/>
        <v>Expense</v>
      </c>
      <c r="AC218" s="2" t="s">
        <v>368</v>
      </c>
      <c r="AD218" s="3">
        <f t="shared" si="72"/>
        <v>39560</v>
      </c>
      <c r="AE218" s="93" t="str">
        <f t="shared" si="73"/>
        <v>NO</v>
      </c>
      <c r="AF218" s="2" t="str">
        <f t="shared" si="74"/>
        <v>NO</v>
      </c>
      <c r="AG218" t="str">
        <f t="shared" si="75"/>
        <v>Awesome Transaction</v>
      </c>
    </row>
    <row r="219" spans="1:33" x14ac:dyDescent="0.25">
      <c r="A219" s="2">
        <v>218</v>
      </c>
      <c r="B219" s="3" t="str">
        <f t="shared" si="57"/>
        <v>070131-IN-LEG</v>
      </c>
      <c r="C219" s="3">
        <v>39113</v>
      </c>
      <c r="D219" s="3">
        <f t="shared" si="59"/>
        <v>39127</v>
      </c>
      <c r="E219" s="3">
        <f t="shared" si="60"/>
        <v>39172</v>
      </c>
      <c r="F219" s="3">
        <f t="shared" si="61"/>
        <v>39113</v>
      </c>
      <c r="G219" s="76">
        <f t="shared" si="62"/>
        <v>2007</v>
      </c>
      <c r="H219" s="76">
        <f t="shared" si="63"/>
        <v>1</v>
      </c>
      <c r="I219" s="76" t="str">
        <f>VLOOKUP(H219,'Lookup Values'!$C$2:$D$13,2,FALSE)</f>
        <v>JAN</v>
      </c>
      <c r="J219" s="76">
        <f t="shared" si="64"/>
        <v>31</v>
      </c>
      <c r="K219" s="76">
        <f t="shared" si="65"/>
        <v>4</v>
      </c>
      <c r="L219" s="76" t="str">
        <f>VLOOKUP(K219,'Lookup Values'!$F$2:$G$8,2,FALSE)</f>
        <v>Wednesday</v>
      </c>
      <c r="M219" s="3">
        <v>39114</v>
      </c>
      <c r="N219" s="78">
        <f t="shared" si="58"/>
        <v>1</v>
      </c>
      <c r="O219" s="11">
        <v>0.91089240552047546</v>
      </c>
      <c r="P219" s="94">
        <f t="shared" si="66"/>
        <v>21</v>
      </c>
      <c r="Q219" s="94">
        <f t="shared" si="67"/>
        <v>51</v>
      </c>
      <c r="R219" s="94">
        <f t="shared" si="68"/>
        <v>41</v>
      </c>
      <c r="S219" s="94" t="str">
        <f>VLOOKUP(O219,'Lookup Values'!$I$2:$L$8,4,TRUE)</f>
        <v>Late Evening</v>
      </c>
      <c r="T219" t="s">
        <v>158</v>
      </c>
      <c r="U219" t="s">
        <v>160</v>
      </c>
      <c r="V219" t="str">
        <f t="shared" si="69"/>
        <v>Income: Freelance Project</v>
      </c>
      <c r="W219" t="s">
        <v>163</v>
      </c>
      <c r="X219" t="s">
        <v>88</v>
      </c>
      <c r="Y219" s="1">
        <v>369</v>
      </c>
      <c r="Z219" s="1" t="str">
        <f t="shared" si="70"/>
        <v>Income: $369.00</v>
      </c>
      <c r="AA219" s="1">
        <f>IF(Y219="","",ROUND(Y219*'Lookup Values'!$A$2,2))</f>
        <v>32.75</v>
      </c>
      <c r="AB219" s="12" t="str">
        <f t="shared" si="71"/>
        <v>Income</v>
      </c>
      <c r="AC219" s="2" t="s">
        <v>369</v>
      </c>
      <c r="AD219" s="3">
        <f t="shared" si="72"/>
        <v>39113</v>
      </c>
      <c r="AE219" s="93" t="str">
        <f t="shared" si="73"/>
        <v>NO</v>
      </c>
      <c r="AF219" s="2" t="str">
        <f t="shared" si="74"/>
        <v>NO</v>
      </c>
      <c r="AG219" t="str">
        <f t="shared" si="75"/>
        <v>Late Transaction</v>
      </c>
    </row>
    <row r="220" spans="1:33" x14ac:dyDescent="0.25">
      <c r="A220" s="2">
        <v>219</v>
      </c>
      <c r="B220" s="3" t="str">
        <f t="shared" si="57"/>
        <v>120605-ED-ANT</v>
      </c>
      <c r="C220" s="3">
        <v>41065</v>
      </c>
      <c r="D220" s="3">
        <f t="shared" si="59"/>
        <v>41079</v>
      </c>
      <c r="E220" s="3">
        <f t="shared" si="60"/>
        <v>41126</v>
      </c>
      <c r="F220" s="3">
        <f t="shared" si="61"/>
        <v>41090</v>
      </c>
      <c r="G220" s="76">
        <f t="shared" si="62"/>
        <v>2012</v>
      </c>
      <c r="H220" s="76">
        <f t="shared" si="63"/>
        <v>6</v>
      </c>
      <c r="I220" s="76" t="str">
        <f>VLOOKUP(H220,'Lookup Values'!$C$2:$D$13,2,FALSE)</f>
        <v>JUN</v>
      </c>
      <c r="J220" s="76">
        <f t="shared" si="64"/>
        <v>5</v>
      </c>
      <c r="K220" s="76">
        <f t="shared" si="65"/>
        <v>3</v>
      </c>
      <c r="L220" s="76" t="str">
        <f>VLOOKUP(K220,'Lookup Values'!$F$2:$G$8,2,FALSE)</f>
        <v>Tuesday</v>
      </c>
      <c r="M220" s="3">
        <v>41072</v>
      </c>
      <c r="N220" s="78">
        <f t="shared" si="58"/>
        <v>7</v>
      </c>
      <c r="O220" s="11">
        <v>0.60178395468804557</v>
      </c>
      <c r="P220" s="94">
        <f t="shared" si="66"/>
        <v>14</v>
      </c>
      <c r="Q220" s="94">
        <f t="shared" si="67"/>
        <v>26</v>
      </c>
      <c r="R220" s="94">
        <f t="shared" si="68"/>
        <v>34</v>
      </c>
      <c r="S220" s="94" t="str">
        <f>VLOOKUP(O220,'Lookup Values'!$I$2:$L$8,4,TRUE)</f>
        <v>Afternoon</v>
      </c>
      <c r="T220" t="s">
        <v>86</v>
      </c>
      <c r="U220" t="s">
        <v>87</v>
      </c>
      <c r="V220" t="str">
        <f t="shared" si="69"/>
        <v>Education: Tango Lessons</v>
      </c>
      <c r="W220" t="s">
        <v>85</v>
      </c>
      <c r="X220" t="s">
        <v>91</v>
      </c>
      <c r="Y220" s="1">
        <v>127</v>
      </c>
      <c r="Z220" s="1" t="str">
        <f t="shared" si="70"/>
        <v>Education: $127.00</v>
      </c>
      <c r="AA220" s="1">
        <f>IF(Y220="","",ROUND(Y220*'Lookup Values'!$A$2,2))</f>
        <v>11.27</v>
      </c>
      <c r="AB220" s="12" t="str">
        <f t="shared" si="71"/>
        <v>Expense</v>
      </c>
      <c r="AC220" s="2" t="s">
        <v>370</v>
      </c>
      <c r="AD220" s="3">
        <f t="shared" si="72"/>
        <v>41065</v>
      </c>
      <c r="AE220" s="93" t="str">
        <f t="shared" si="73"/>
        <v>NO</v>
      </c>
      <c r="AF220" s="2" t="str">
        <f t="shared" si="74"/>
        <v>NO</v>
      </c>
      <c r="AG220" t="str">
        <f t="shared" si="75"/>
        <v>CRAP Transaction</v>
      </c>
    </row>
    <row r="221" spans="1:33" x14ac:dyDescent="0.25">
      <c r="A221" s="2">
        <v>220</v>
      </c>
      <c r="B221" s="3" t="str">
        <f t="shared" si="57"/>
        <v>110105-BI-CON</v>
      </c>
      <c r="C221" s="3">
        <v>40548</v>
      </c>
      <c r="D221" s="3">
        <f t="shared" si="59"/>
        <v>40562</v>
      </c>
      <c r="E221" s="3">
        <f t="shared" si="60"/>
        <v>40607</v>
      </c>
      <c r="F221" s="3">
        <f t="shared" si="61"/>
        <v>40574</v>
      </c>
      <c r="G221" s="76">
        <f t="shared" si="62"/>
        <v>2011</v>
      </c>
      <c r="H221" s="76">
        <f t="shared" si="63"/>
        <v>1</v>
      </c>
      <c r="I221" s="76" t="str">
        <f>VLOOKUP(H221,'Lookup Values'!$C$2:$D$13,2,FALSE)</f>
        <v>JAN</v>
      </c>
      <c r="J221" s="76">
        <f t="shared" si="64"/>
        <v>5</v>
      </c>
      <c r="K221" s="76">
        <f t="shared" si="65"/>
        <v>4</v>
      </c>
      <c r="L221" s="76" t="str">
        <f>VLOOKUP(K221,'Lookup Values'!$F$2:$G$8,2,FALSE)</f>
        <v>Wednesday</v>
      </c>
      <c r="M221" s="3">
        <v>40550</v>
      </c>
      <c r="N221" s="78">
        <f t="shared" si="58"/>
        <v>2</v>
      </c>
      <c r="O221" s="11">
        <v>0.54473655723231762</v>
      </c>
      <c r="P221" s="94">
        <f t="shared" si="66"/>
        <v>13</v>
      </c>
      <c r="Q221" s="94">
        <f t="shared" si="67"/>
        <v>4</v>
      </c>
      <c r="R221" s="94">
        <f t="shared" si="68"/>
        <v>25</v>
      </c>
      <c r="S221" s="94" t="str">
        <f>VLOOKUP(O221,'Lookup Values'!$I$2:$L$8,4,TRUE)</f>
        <v>Afternoon</v>
      </c>
      <c r="T221" t="s">
        <v>110</v>
      </c>
      <c r="U221" t="s">
        <v>111</v>
      </c>
      <c r="V221" t="str">
        <f t="shared" si="69"/>
        <v>Bills: Utilities</v>
      </c>
      <c r="W221" t="s">
        <v>109</v>
      </c>
      <c r="X221" t="s">
        <v>91</v>
      </c>
      <c r="Y221" s="1">
        <v>209</v>
      </c>
      <c r="Z221" s="1" t="str">
        <f t="shared" si="70"/>
        <v>Bills: $209.00</v>
      </c>
      <c r="AA221" s="1">
        <f>IF(Y221="","",ROUND(Y221*'Lookup Values'!$A$2,2))</f>
        <v>18.55</v>
      </c>
      <c r="AB221" s="12" t="str">
        <f t="shared" si="71"/>
        <v>Expense</v>
      </c>
      <c r="AC221" s="2" t="s">
        <v>371</v>
      </c>
      <c r="AD221" s="3">
        <f t="shared" si="72"/>
        <v>40548</v>
      </c>
      <c r="AE221" s="93" t="str">
        <f t="shared" si="73"/>
        <v>NO</v>
      </c>
      <c r="AF221" s="2" t="str">
        <f t="shared" si="74"/>
        <v>NO</v>
      </c>
      <c r="AG221" t="str">
        <f t="shared" si="75"/>
        <v>CRAP Transaction</v>
      </c>
    </row>
    <row r="222" spans="1:33" x14ac:dyDescent="0.25">
      <c r="A222" s="2">
        <v>221</v>
      </c>
      <c r="B222" s="3" t="str">
        <f t="shared" si="57"/>
        <v>080419-IN-EZE</v>
      </c>
      <c r="C222" s="3">
        <v>39557</v>
      </c>
      <c r="D222" s="3">
        <f t="shared" si="59"/>
        <v>39570</v>
      </c>
      <c r="E222" s="3">
        <f t="shared" si="60"/>
        <v>39618</v>
      </c>
      <c r="F222" s="3">
        <f t="shared" si="61"/>
        <v>39568</v>
      </c>
      <c r="G222" s="76">
        <f t="shared" si="62"/>
        <v>2008</v>
      </c>
      <c r="H222" s="76">
        <f t="shared" si="63"/>
        <v>4</v>
      </c>
      <c r="I222" s="76" t="str">
        <f>VLOOKUP(H222,'Lookup Values'!$C$2:$D$13,2,FALSE)</f>
        <v>APR</v>
      </c>
      <c r="J222" s="76">
        <f t="shared" si="64"/>
        <v>19</v>
      </c>
      <c r="K222" s="76">
        <f t="shared" si="65"/>
        <v>7</v>
      </c>
      <c r="L222" s="76" t="str">
        <f>VLOOKUP(K222,'Lookup Values'!$F$2:$G$8,2,FALSE)</f>
        <v>Saturday</v>
      </c>
      <c r="M222" s="3">
        <v>39562</v>
      </c>
      <c r="N222" s="78">
        <f t="shared" si="58"/>
        <v>5</v>
      </c>
      <c r="O222" s="11">
        <v>0.43132624370550499</v>
      </c>
      <c r="P222" s="94">
        <f t="shared" si="66"/>
        <v>10</v>
      </c>
      <c r="Q222" s="94">
        <f t="shared" si="67"/>
        <v>21</v>
      </c>
      <c r="R222" s="94">
        <f t="shared" si="68"/>
        <v>7</v>
      </c>
      <c r="S222" s="94" t="str">
        <f>VLOOKUP(O222,'Lookup Values'!$I$2:$L$8,4,TRUE)</f>
        <v>Late Morning</v>
      </c>
      <c r="T222" t="s">
        <v>158</v>
      </c>
      <c r="U222" t="s">
        <v>159</v>
      </c>
      <c r="V222" t="str">
        <f t="shared" si="69"/>
        <v>Income: Salary</v>
      </c>
      <c r="W222" t="s">
        <v>162</v>
      </c>
      <c r="X222" t="s">
        <v>78</v>
      </c>
      <c r="Y222" s="1">
        <v>98</v>
      </c>
      <c r="Z222" s="1" t="str">
        <f t="shared" si="70"/>
        <v>Income: $98.00</v>
      </c>
      <c r="AA222" s="1">
        <f>IF(Y222="","",ROUND(Y222*'Lookup Values'!$A$2,2))</f>
        <v>8.6999999999999993</v>
      </c>
      <c r="AB222" s="12" t="str">
        <f t="shared" si="71"/>
        <v>Income</v>
      </c>
      <c r="AC222" s="2" t="s">
        <v>372</v>
      </c>
      <c r="AD222" s="3">
        <f t="shared" si="72"/>
        <v>39557</v>
      </c>
      <c r="AE222" s="93" t="str">
        <f t="shared" si="73"/>
        <v>NO</v>
      </c>
      <c r="AF222" s="2" t="str">
        <f t="shared" si="74"/>
        <v>NO</v>
      </c>
      <c r="AG222" t="str">
        <f t="shared" si="75"/>
        <v>Late Transaction</v>
      </c>
    </row>
    <row r="223" spans="1:33" x14ac:dyDescent="0.25">
      <c r="A223" s="2">
        <v>222</v>
      </c>
      <c r="B223" s="3" t="str">
        <f t="shared" si="57"/>
        <v>071115-ED-ANT</v>
      </c>
      <c r="C223" s="3">
        <v>39401</v>
      </c>
      <c r="D223" s="3">
        <f t="shared" si="59"/>
        <v>39415</v>
      </c>
      <c r="E223" s="3">
        <f t="shared" si="60"/>
        <v>39462</v>
      </c>
      <c r="F223" s="3">
        <f t="shared" si="61"/>
        <v>39416</v>
      </c>
      <c r="G223" s="76">
        <f t="shared" si="62"/>
        <v>2007</v>
      </c>
      <c r="H223" s="76">
        <f t="shared" si="63"/>
        <v>11</v>
      </c>
      <c r="I223" s="76" t="str">
        <f>VLOOKUP(H223,'Lookup Values'!$C$2:$D$13,2,FALSE)</f>
        <v>NOV</v>
      </c>
      <c r="J223" s="76">
        <f t="shared" si="64"/>
        <v>15</v>
      </c>
      <c r="K223" s="76">
        <f t="shared" si="65"/>
        <v>5</v>
      </c>
      <c r="L223" s="76" t="str">
        <f>VLOOKUP(K223,'Lookup Values'!$F$2:$G$8,2,FALSE)</f>
        <v>Thursday</v>
      </c>
      <c r="M223" s="3">
        <v>39404</v>
      </c>
      <c r="N223" s="78">
        <f t="shared" si="58"/>
        <v>3</v>
      </c>
      <c r="O223" s="11">
        <v>4.8431085664645712E-2</v>
      </c>
      <c r="P223" s="94">
        <f t="shared" si="66"/>
        <v>1</v>
      </c>
      <c r="Q223" s="94">
        <f t="shared" si="67"/>
        <v>9</v>
      </c>
      <c r="R223" s="94">
        <f t="shared" si="68"/>
        <v>44</v>
      </c>
      <c r="S223" s="94" t="str">
        <f>VLOOKUP(O223,'Lookup Values'!$I$2:$L$8,4,TRUE)</f>
        <v>Dead of Night</v>
      </c>
      <c r="T223" t="s">
        <v>86</v>
      </c>
      <c r="U223" t="s">
        <v>87</v>
      </c>
      <c r="V223" t="str">
        <f t="shared" si="69"/>
        <v>Education: Tango Lessons</v>
      </c>
      <c r="W223" t="s">
        <v>85</v>
      </c>
      <c r="X223" t="s">
        <v>88</v>
      </c>
      <c r="Y223" s="1">
        <v>442</v>
      </c>
      <c r="Z223" s="1" t="str">
        <f t="shared" si="70"/>
        <v>Education: $442.00</v>
      </c>
      <c r="AA223" s="1">
        <f>IF(Y223="","",ROUND(Y223*'Lookup Values'!$A$2,2))</f>
        <v>39.229999999999997</v>
      </c>
      <c r="AB223" s="12" t="str">
        <f t="shared" si="71"/>
        <v>Expense</v>
      </c>
      <c r="AC223" s="2" t="s">
        <v>373</v>
      </c>
      <c r="AD223" s="3">
        <f t="shared" si="72"/>
        <v>39401</v>
      </c>
      <c r="AE223" s="93" t="str">
        <f t="shared" si="73"/>
        <v>NO</v>
      </c>
      <c r="AF223" s="2" t="str">
        <f t="shared" si="74"/>
        <v>NO</v>
      </c>
      <c r="AG223" t="str">
        <f t="shared" si="75"/>
        <v>Late Transaction</v>
      </c>
    </row>
    <row r="224" spans="1:33" x14ac:dyDescent="0.25">
      <c r="A224" s="2">
        <v>223</v>
      </c>
      <c r="B224" s="3" t="str">
        <f t="shared" si="57"/>
        <v>110204-HE-FRE</v>
      </c>
      <c r="C224" s="3">
        <v>40578</v>
      </c>
      <c r="D224" s="3">
        <f t="shared" si="59"/>
        <v>40592</v>
      </c>
      <c r="E224" s="3">
        <f t="shared" si="60"/>
        <v>40637</v>
      </c>
      <c r="F224" s="3">
        <f t="shared" si="61"/>
        <v>40602</v>
      </c>
      <c r="G224" s="76">
        <f t="shared" si="62"/>
        <v>2011</v>
      </c>
      <c r="H224" s="76">
        <f t="shared" si="63"/>
        <v>2</v>
      </c>
      <c r="I224" s="76" t="str">
        <f>VLOOKUP(H224,'Lookup Values'!$C$2:$D$13,2,FALSE)</f>
        <v>FEB</v>
      </c>
      <c r="J224" s="76">
        <f t="shared" si="64"/>
        <v>4</v>
      </c>
      <c r="K224" s="76">
        <f t="shared" si="65"/>
        <v>6</v>
      </c>
      <c r="L224" s="76" t="str">
        <f>VLOOKUP(K224,'Lookup Values'!$F$2:$G$8,2,FALSE)</f>
        <v>Friday</v>
      </c>
      <c r="M224" s="3">
        <v>40580</v>
      </c>
      <c r="N224" s="78">
        <f t="shared" si="58"/>
        <v>2</v>
      </c>
      <c r="O224" s="11">
        <v>0.86643658645274557</v>
      </c>
      <c r="P224" s="94">
        <f t="shared" si="66"/>
        <v>20</v>
      </c>
      <c r="Q224" s="94">
        <f t="shared" si="67"/>
        <v>47</v>
      </c>
      <c r="R224" s="94">
        <f t="shared" si="68"/>
        <v>40</v>
      </c>
      <c r="S224" s="94" t="str">
        <f>VLOOKUP(O224,'Lookup Values'!$I$2:$L$8,4,TRUE)</f>
        <v>Evening</v>
      </c>
      <c r="T224" t="s">
        <v>107</v>
      </c>
      <c r="U224" t="s">
        <v>108</v>
      </c>
      <c r="V224" t="str">
        <f t="shared" si="69"/>
        <v>Health: Insurance Premium</v>
      </c>
      <c r="W224" t="s">
        <v>106</v>
      </c>
      <c r="X224" t="s">
        <v>88</v>
      </c>
      <c r="Y224" s="1">
        <v>240</v>
      </c>
      <c r="Z224" s="1" t="str">
        <f t="shared" si="70"/>
        <v>Health: $240.00</v>
      </c>
      <c r="AA224" s="1">
        <f>IF(Y224="","",ROUND(Y224*'Lookup Values'!$A$2,2))</f>
        <v>21.3</v>
      </c>
      <c r="AB224" s="12" t="str">
        <f t="shared" si="71"/>
        <v>Expense</v>
      </c>
      <c r="AC224" s="2" t="s">
        <v>374</v>
      </c>
      <c r="AD224" s="3">
        <f t="shared" si="72"/>
        <v>40578</v>
      </c>
      <c r="AE224" s="93" t="str">
        <f t="shared" si="73"/>
        <v>NO</v>
      </c>
      <c r="AF224" s="2" t="str">
        <f t="shared" si="74"/>
        <v>NO</v>
      </c>
      <c r="AG224" t="str">
        <f t="shared" si="75"/>
        <v>CRAP Transaction</v>
      </c>
    </row>
    <row r="225" spans="1:33" x14ac:dyDescent="0.25">
      <c r="A225" s="2">
        <v>224</v>
      </c>
      <c r="B225" s="3" t="str">
        <f t="shared" si="57"/>
        <v>090727-EN-MOE</v>
      </c>
      <c r="C225" s="3">
        <v>40021</v>
      </c>
      <c r="D225" s="3">
        <f t="shared" si="59"/>
        <v>40035</v>
      </c>
      <c r="E225" s="3">
        <f t="shared" si="60"/>
        <v>40083</v>
      </c>
      <c r="F225" s="3">
        <f t="shared" si="61"/>
        <v>40025</v>
      </c>
      <c r="G225" s="76">
        <f t="shared" si="62"/>
        <v>2009</v>
      </c>
      <c r="H225" s="76">
        <f t="shared" si="63"/>
        <v>7</v>
      </c>
      <c r="I225" s="76" t="str">
        <f>VLOOKUP(H225,'Lookup Values'!$C$2:$D$13,2,FALSE)</f>
        <v>JUL</v>
      </c>
      <c r="J225" s="76">
        <f t="shared" si="64"/>
        <v>27</v>
      </c>
      <c r="K225" s="76">
        <f t="shared" si="65"/>
        <v>2</v>
      </c>
      <c r="L225" s="76" t="str">
        <f>VLOOKUP(K225,'Lookup Values'!$F$2:$G$8,2,FALSE)</f>
        <v>Monday</v>
      </c>
      <c r="M225" s="3">
        <v>40031</v>
      </c>
      <c r="N225" s="78">
        <f t="shared" si="58"/>
        <v>10</v>
      </c>
      <c r="O225" s="11">
        <v>0.15089604312355498</v>
      </c>
      <c r="P225" s="94">
        <f t="shared" si="66"/>
        <v>3</v>
      </c>
      <c r="Q225" s="94">
        <f t="shared" si="67"/>
        <v>37</v>
      </c>
      <c r="R225" s="94">
        <f t="shared" si="68"/>
        <v>17</v>
      </c>
      <c r="S225" s="94" t="str">
        <f>VLOOKUP(O225,'Lookup Values'!$I$2:$L$8,4,TRUE)</f>
        <v>Dead of Night</v>
      </c>
      <c r="T225" t="s">
        <v>76</v>
      </c>
      <c r="U225" t="s">
        <v>77</v>
      </c>
      <c r="V225" t="str">
        <f t="shared" si="69"/>
        <v>Entertainment: Alcohol</v>
      </c>
      <c r="W225" t="s">
        <v>75</v>
      </c>
      <c r="X225" t="s">
        <v>78</v>
      </c>
      <c r="Y225" s="1">
        <v>377</v>
      </c>
      <c r="Z225" s="1" t="str">
        <f t="shared" si="70"/>
        <v>Entertainment: $377.00</v>
      </c>
      <c r="AA225" s="1">
        <f>IF(Y225="","",ROUND(Y225*'Lookup Values'!$A$2,2))</f>
        <v>33.46</v>
      </c>
      <c r="AB225" s="12" t="str">
        <f t="shared" si="71"/>
        <v>Expense</v>
      </c>
      <c r="AC225" s="2" t="s">
        <v>375</v>
      </c>
      <c r="AD225" s="3">
        <f t="shared" si="72"/>
        <v>40021</v>
      </c>
      <c r="AE225" s="93" t="str">
        <f t="shared" si="73"/>
        <v>NO</v>
      </c>
      <c r="AF225" s="2" t="str">
        <f t="shared" si="74"/>
        <v>NO</v>
      </c>
      <c r="AG225" t="str">
        <f t="shared" si="75"/>
        <v>Awesome Transaction</v>
      </c>
    </row>
    <row r="226" spans="1:33" x14ac:dyDescent="0.25">
      <c r="A226" s="2">
        <v>225</v>
      </c>
      <c r="B226" s="3" t="str">
        <f t="shared" si="57"/>
        <v>100527-FO-TRA</v>
      </c>
      <c r="C226" s="3">
        <v>40325</v>
      </c>
      <c r="D226" s="3">
        <f t="shared" si="59"/>
        <v>40339</v>
      </c>
      <c r="E226" s="3">
        <f t="shared" si="60"/>
        <v>40386</v>
      </c>
      <c r="F226" s="3">
        <f t="shared" si="61"/>
        <v>40329</v>
      </c>
      <c r="G226" s="76">
        <f t="shared" si="62"/>
        <v>2010</v>
      </c>
      <c r="H226" s="76">
        <f t="shared" si="63"/>
        <v>5</v>
      </c>
      <c r="I226" s="76" t="str">
        <f>VLOOKUP(H226,'Lookup Values'!$C$2:$D$13,2,FALSE)</f>
        <v>MAY</v>
      </c>
      <c r="J226" s="76">
        <f t="shared" si="64"/>
        <v>27</v>
      </c>
      <c r="K226" s="76">
        <f t="shared" si="65"/>
        <v>5</v>
      </c>
      <c r="L226" s="76" t="str">
        <f>VLOOKUP(K226,'Lookup Values'!$F$2:$G$8,2,FALSE)</f>
        <v>Thursday</v>
      </c>
      <c r="M226" s="3">
        <v>40328</v>
      </c>
      <c r="N226" s="78">
        <f t="shared" si="58"/>
        <v>3</v>
      </c>
      <c r="O226" s="11">
        <v>0.13185663639542899</v>
      </c>
      <c r="P226" s="94">
        <f t="shared" si="66"/>
        <v>3</v>
      </c>
      <c r="Q226" s="94">
        <f t="shared" si="67"/>
        <v>9</v>
      </c>
      <c r="R226" s="94">
        <f t="shared" si="68"/>
        <v>52</v>
      </c>
      <c r="S226" s="94" t="str">
        <f>VLOOKUP(O226,'Lookup Values'!$I$2:$L$8,4,TRUE)</f>
        <v>Dead of Night</v>
      </c>
      <c r="T226" t="s">
        <v>80</v>
      </c>
      <c r="U226" t="s">
        <v>93</v>
      </c>
      <c r="V226" t="str">
        <f t="shared" si="69"/>
        <v>Food: Groceries</v>
      </c>
      <c r="W226" t="s">
        <v>92</v>
      </c>
      <c r="X226" t="s">
        <v>88</v>
      </c>
      <c r="Y226" s="1">
        <v>75</v>
      </c>
      <c r="Z226" s="1" t="str">
        <f t="shared" si="70"/>
        <v>Food: $75.00</v>
      </c>
      <c r="AA226" s="1">
        <f>IF(Y226="","",ROUND(Y226*'Lookup Values'!$A$2,2))</f>
        <v>6.66</v>
      </c>
      <c r="AB226" s="12" t="str">
        <f t="shared" si="71"/>
        <v>Expense</v>
      </c>
      <c r="AC226" s="2" t="s">
        <v>376</v>
      </c>
      <c r="AD226" s="3">
        <f t="shared" si="72"/>
        <v>40325</v>
      </c>
      <c r="AE226" s="93" t="str">
        <f t="shared" si="73"/>
        <v>NO</v>
      </c>
      <c r="AF226" s="2" t="str">
        <f t="shared" si="74"/>
        <v>NO</v>
      </c>
      <c r="AG226" t="str">
        <f t="shared" si="75"/>
        <v>Late Transaction</v>
      </c>
    </row>
    <row r="227" spans="1:33" x14ac:dyDescent="0.25">
      <c r="A227" s="2">
        <v>226</v>
      </c>
      <c r="B227" s="3" t="str">
        <f t="shared" si="57"/>
        <v>090112-ED-ANT</v>
      </c>
      <c r="C227" s="3">
        <v>39825</v>
      </c>
      <c r="D227" s="3">
        <f t="shared" si="59"/>
        <v>39839</v>
      </c>
      <c r="E227" s="3">
        <f t="shared" si="60"/>
        <v>39884</v>
      </c>
      <c r="F227" s="3">
        <f t="shared" si="61"/>
        <v>39844</v>
      </c>
      <c r="G227" s="76">
        <f t="shared" si="62"/>
        <v>2009</v>
      </c>
      <c r="H227" s="76">
        <f t="shared" si="63"/>
        <v>1</v>
      </c>
      <c r="I227" s="76" t="str">
        <f>VLOOKUP(H227,'Lookup Values'!$C$2:$D$13,2,FALSE)</f>
        <v>JAN</v>
      </c>
      <c r="J227" s="76">
        <f t="shared" si="64"/>
        <v>12</v>
      </c>
      <c r="K227" s="76">
        <f t="shared" si="65"/>
        <v>2</v>
      </c>
      <c r="L227" s="76" t="str">
        <f>VLOOKUP(K227,'Lookup Values'!$F$2:$G$8,2,FALSE)</f>
        <v>Monday</v>
      </c>
      <c r="M227" s="3">
        <v>39832</v>
      </c>
      <c r="N227" s="78">
        <f t="shared" si="58"/>
        <v>7</v>
      </c>
      <c r="O227" s="11">
        <v>0.29936719614852181</v>
      </c>
      <c r="P227" s="94">
        <f t="shared" si="66"/>
        <v>7</v>
      </c>
      <c r="Q227" s="94">
        <f t="shared" si="67"/>
        <v>11</v>
      </c>
      <c r="R227" s="94">
        <f t="shared" si="68"/>
        <v>5</v>
      </c>
      <c r="S227" s="94" t="str">
        <f>VLOOKUP(O227,'Lookup Values'!$I$2:$L$8,4,TRUE)</f>
        <v>Morning</v>
      </c>
      <c r="T227" t="s">
        <v>86</v>
      </c>
      <c r="U227" t="s">
        <v>87</v>
      </c>
      <c r="V227" t="str">
        <f t="shared" si="69"/>
        <v>Education: Tango Lessons</v>
      </c>
      <c r="W227" t="s">
        <v>85</v>
      </c>
      <c r="X227" t="s">
        <v>88</v>
      </c>
      <c r="Y227" s="1">
        <v>389</v>
      </c>
      <c r="Z227" s="1" t="str">
        <f t="shared" si="70"/>
        <v>Education: $389.00</v>
      </c>
      <c r="AA227" s="1">
        <f>IF(Y227="","",ROUND(Y227*'Lookup Values'!$A$2,2))</f>
        <v>34.520000000000003</v>
      </c>
      <c r="AB227" s="12" t="str">
        <f t="shared" si="71"/>
        <v>Expense</v>
      </c>
      <c r="AC227" s="2" t="s">
        <v>377</v>
      </c>
      <c r="AD227" s="3">
        <f t="shared" si="72"/>
        <v>39825</v>
      </c>
      <c r="AE227" s="93" t="str">
        <f t="shared" si="73"/>
        <v>NO</v>
      </c>
      <c r="AF227" s="2" t="str">
        <f t="shared" si="74"/>
        <v>NO</v>
      </c>
      <c r="AG227" t="str">
        <f t="shared" si="75"/>
        <v>Late Transaction</v>
      </c>
    </row>
    <row r="228" spans="1:33" x14ac:dyDescent="0.25">
      <c r="A228" s="2">
        <v>227</v>
      </c>
      <c r="B228" s="3" t="str">
        <f t="shared" si="57"/>
        <v>100606-EN-MOE</v>
      </c>
      <c r="C228" s="3">
        <v>40335</v>
      </c>
      <c r="D228" s="3">
        <f t="shared" si="59"/>
        <v>40347</v>
      </c>
      <c r="E228" s="3">
        <f t="shared" si="60"/>
        <v>40396</v>
      </c>
      <c r="F228" s="3">
        <f t="shared" si="61"/>
        <v>40359</v>
      </c>
      <c r="G228" s="76">
        <f t="shared" si="62"/>
        <v>2010</v>
      </c>
      <c r="H228" s="76">
        <f t="shared" si="63"/>
        <v>6</v>
      </c>
      <c r="I228" s="76" t="str">
        <f>VLOOKUP(H228,'Lookup Values'!$C$2:$D$13,2,FALSE)</f>
        <v>JUN</v>
      </c>
      <c r="J228" s="76">
        <f t="shared" si="64"/>
        <v>6</v>
      </c>
      <c r="K228" s="76">
        <f t="shared" si="65"/>
        <v>1</v>
      </c>
      <c r="L228" s="76" t="str">
        <f>VLOOKUP(K228,'Lookup Values'!$F$2:$G$8,2,FALSE)</f>
        <v>Sunday</v>
      </c>
      <c r="M228" s="3">
        <v>40341</v>
      </c>
      <c r="N228" s="78">
        <f t="shared" si="58"/>
        <v>6</v>
      </c>
      <c r="O228" s="11">
        <v>0.32400070503938772</v>
      </c>
      <c r="P228" s="94">
        <f t="shared" si="66"/>
        <v>7</v>
      </c>
      <c r="Q228" s="94">
        <f t="shared" si="67"/>
        <v>46</v>
      </c>
      <c r="R228" s="94">
        <f t="shared" si="68"/>
        <v>34</v>
      </c>
      <c r="S228" s="94" t="str">
        <f>VLOOKUP(O228,'Lookup Values'!$I$2:$L$8,4,TRUE)</f>
        <v>Morning</v>
      </c>
      <c r="T228" t="s">
        <v>76</v>
      </c>
      <c r="U228" t="s">
        <v>77</v>
      </c>
      <c r="V228" t="str">
        <f t="shared" si="69"/>
        <v>Entertainment: Alcohol</v>
      </c>
      <c r="W228" t="s">
        <v>75</v>
      </c>
      <c r="X228" t="s">
        <v>78</v>
      </c>
      <c r="Y228" s="1">
        <v>50</v>
      </c>
      <c r="Z228" s="1" t="str">
        <f t="shared" si="70"/>
        <v>Entertainment: $50.00</v>
      </c>
      <c r="AA228" s="1">
        <f>IF(Y228="","",ROUND(Y228*'Lookup Values'!$A$2,2))</f>
        <v>4.4400000000000004</v>
      </c>
      <c r="AB228" s="12" t="str">
        <f t="shared" si="71"/>
        <v>Expense</v>
      </c>
      <c r="AC228" s="2" t="s">
        <v>378</v>
      </c>
      <c r="AD228" s="3">
        <f t="shared" si="72"/>
        <v>40335</v>
      </c>
      <c r="AE228" s="93" t="str">
        <f t="shared" si="73"/>
        <v>NO</v>
      </c>
      <c r="AF228" s="2" t="str">
        <f t="shared" si="74"/>
        <v>NO</v>
      </c>
      <c r="AG228" t="str">
        <f t="shared" si="75"/>
        <v>CRAP Transaction</v>
      </c>
    </row>
    <row r="229" spans="1:33" x14ac:dyDescent="0.25">
      <c r="A229" s="2">
        <v>228</v>
      </c>
      <c r="B229" s="3" t="str">
        <f t="shared" si="57"/>
        <v>080716-EN-MOE</v>
      </c>
      <c r="C229" s="3">
        <v>39645</v>
      </c>
      <c r="D229" s="3">
        <f t="shared" si="59"/>
        <v>39659</v>
      </c>
      <c r="E229" s="3">
        <f t="shared" si="60"/>
        <v>39707</v>
      </c>
      <c r="F229" s="3">
        <f t="shared" si="61"/>
        <v>39660</v>
      </c>
      <c r="G229" s="76">
        <f t="shared" si="62"/>
        <v>2008</v>
      </c>
      <c r="H229" s="76">
        <f t="shared" si="63"/>
        <v>7</v>
      </c>
      <c r="I229" s="76" t="str">
        <f>VLOOKUP(H229,'Lookup Values'!$C$2:$D$13,2,FALSE)</f>
        <v>JUL</v>
      </c>
      <c r="J229" s="76">
        <f t="shared" si="64"/>
        <v>16</v>
      </c>
      <c r="K229" s="76">
        <f t="shared" si="65"/>
        <v>4</v>
      </c>
      <c r="L229" s="76" t="str">
        <f>VLOOKUP(K229,'Lookup Values'!$F$2:$G$8,2,FALSE)</f>
        <v>Wednesday</v>
      </c>
      <c r="M229" s="3">
        <v>39651</v>
      </c>
      <c r="N229" s="78">
        <f t="shared" si="58"/>
        <v>6</v>
      </c>
      <c r="O229" s="11">
        <v>0.13129288391970961</v>
      </c>
      <c r="P229" s="94">
        <f t="shared" si="66"/>
        <v>3</v>
      </c>
      <c r="Q229" s="94">
        <f t="shared" si="67"/>
        <v>9</v>
      </c>
      <c r="R229" s="94">
        <f t="shared" si="68"/>
        <v>4</v>
      </c>
      <c r="S229" s="94" t="str">
        <f>VLOOKUP(O229,'Lookup Values'!$I$2:$L$8,4,TRUE)</f>
        <v>Dead of Night</v>
      </c>
      <c r="T229" t="s">
        <v>76</v>
      </c>
      <c r="U229" t="s">
        <v>77</v>
      </c>
      <c r="V229" t="str">
        <f t="shared" si="69"/>
        <v>Entertainment: Alcohol</v>
      </c>
      <c r="W229" t="s">
        <v>75</v>
      </c>
      <c r="X229" t="s">
        <v>91</v>
      </c>
      <c r="Y229" s="1">
        <v>127</v>
      </c>
      <c r="Z229" s="1" t="str">
        <f t="shared" si="70"/>
        <v>Entertainment: $127.00</v>
      </c>
      <c r="AA229" s="1">
        <f>IF(Y229="","",ROUND(Y229*'Lookup Values'!$A$2,2))</f>
        <v>11.27</v>
      </c>
      <c r="AB229" s="12" t="str">
        <f t="shared" si="71"/>
        <v>Expense</v>
      </c>
      <c r="AC229" s="2" t="s">
        <v>379</v>
      </c>
      <c r="AD229" s="3">
        <f t="shared" si="72"/>
        <v>39645</v>
      </c>
      <c r="AE229" s="93" t="str">
        <f t="shared" si="73"/>
        <v>NO</v>
      </c>
      <c r="AF229" s="2" t="str">
        <f t="shared" si="74"/>
        <v>NO</v>
      </c>
      <c r="AG229" t="str">
        <f t="shared" si="75"/>
        <v>Awesome Transaction</v>
      </c>
    </row>
    <row r="230" spans="1:33" x14ac:dyDescent="0.25">
      <c r="A230" s="2">
        <v>229</v>
      </c>
      <c r="B230" s="3" t="str">
        <f t="shared" si="57"/>
        <v>080111-IN-AUN</v>
      </c>
      <c r="C230" s="3">
        <v>39458</v>
      </c>
      <c r="D230" s="3">
        <f t="shared" si="59"/>
        <v>39472</v>
      </c>
      <c r="E230" s="3">
        <f t="shared" si="60"/>
        <v>39518</v>
      </c>
      <c r="F230" s="3">
        <f t="shared" si="61"/>
        <v>39478</v>
      </c>
      <c r="G230" s="76">
        <f t="shared" si="62"/>
        <v>2008</v>
      </c>
      <c r="H230" s="76">
        <f t="shared" si="63"/>
        <v>1</v>
      </c>
      <c r="I230" s="76" t="str">
        <f>VLOOKUP(H230,'Lookup Values'!$C$2:$D$13,2,FALSE)</f>
        <v>JAN</v>
      </c>
      <c r="J230" s="76">
        <f t="shared" si="64"/>
        <v>11</v>
      </c>
      <c r="K230" s="76">
        <f t="shared" si="65"/>
        <v>6</v>
      </c>
      <c r="L230" s="76" t="str">
        <f>VLOOKUP(K230,'Lookup Values'!$F$2:$G$8,2,FALSE)</f>
        <v>Friday</v>
      </c>
      <c r="M230" s="3">
        <v>39464</v>
      </c>
      <c r="N230" s="78">
        <f t="shared" si="58"/>
        <v>6</v>
      </c>
      <c r="O230" s="11">
        <v>0.1904301701475769</v>
      </c>
      <c r="P230" s="94">
        <f t="shared" si="66"/>
        <v>4</v>
      </c>
      <c r="Q230" s="94">
        <f t="shared" si="67"/>
        <v>34</v>
      </c>
      <c r="R230" s="94">
        <f t="shared" si="68"/>
        <v>13</v>
      </c>
      <c r="S230" s="94" t="str">
        <f>VLOOKUP(O230,'Lookup Values'!$I$2:$L$8,4,TRUE)</f>
        <v>Early Morning</v>
      </c>
      <c r="T230" t="s">
        <v>158</v>
      </c>
      <c r="U230" t="s">
        <v>161</v>
      </c>
      <c r="V230" t="str">
        <f t="shared" si="69"/>
        <v>Income: Gift Received</v>
      </c>
      <c r="W230" t="s">
        <v>164</v>
      </c>
      <c r="X230" t="s">
        <v>78</v>
      </c>
      <c r="Y230" s="1">
        <v>322</v>
      </c>
      <c r="Z230" s="1" t="str">
        <f t="shared" si="70"/>
        <v>Income: $322.00</v>
      </c>
      <c r="AA230" s="1">
        <f>IF(Y230="","",ROUND(Y230*'Lookup Values'!$A$2,2))</f>
        <v>28.58</v>
      </c>
      <c r="AB230" s="12" t="str">
        <f t="shared" si="71"/>
        <v>Income</v>
      </c>
      <c r="AC230" s="2" t="s">
        <v>236</v>
      </c>
      <c r="AD230" s="3">
        <f t="shared" si="72"/>
        <v>39458</v>
      </c>
      <c r="AE230" s="93" t="str">
        <f t="shared" si="73"/>
        <v>NO</v>
      </c>
      <c r="AF230" s="2" t="str">
        <f t="shared" si="74"/>
        <v>NO</v>
      </c>
      <c r="AG230" t="str">
        <f t="shared" si="75"/>
        <v>Late Transaction</v>
      </c>
    </row>
    <row r="231" spans="1:33" x14ac:dyDescent="0.25">
      <c r="A231" s="2">
        <v>230</v>
      </c>
      <c r="B231" s="3" t="str">
        <f t="shared" si="57"/>
        <v>120702-BI-CON</v>
      </c>
      <c r="C231" s="3">
        <v>41092</v>
      </c>
      <c r="D231" s="3">
        <f t="shared" si="59"/>
        <v>41106</v>
      </c>
      <c r="E231" s="3">
        <f t="shared" si="60"/>
        <v>41154</v>
      </c>
      <c r="F231" s="3">
        <f t="shared" si="61"/>
        <v>41121</v>
      </c>
      <c r="G231" s="76">
        <f t="shared" si="62"/>
        <v>2012</v>
      </c>
      <c r="H231" s="76">
        <f t="shared" si="63"/>
        <v>7</v>
      </c>
      <c r="I231" s="76" t="str">
        <f>VLOOKUP(H231,'Lookup Values'!$C$2:$D$13,2,FALSE)</f>
        <v>JUL</v>
      </c>
      <c r="J231" s="76">
        <f t="shared" si="64"/>
        <v>2</v>
      </c>
      <c r="K231" s="76">
        <f t="shared" si="65"/>
        <v>2</v>
      </c>
      <c r="L231" s="76" t="str">
        <f>VLOOKUP(K231,'Lookup Values'!$F$2:$G$8,2,FALSE)</f>
        <v>Monday</v>
      </c>
      <c r="M231" s="3">
        <v>41100</v>
      </c>
      <c r="N231" s="78">
        <f t="shared" si="58"/>
        <v>8</v>
      </c>
      <c r="O231" s="11">
        <v>0.54604482673092736</v>
      </c>
      <c r="P231" s="94">
        <f t="shared" si="66"/>
        <v>13</v>
      </c>
      <c r="Q231" s="94">
        <f t="shared" si="67"/>
        <v>6</v>
      </c>
      <c r="R231" s="94">
        <f t="shared" si="68"/>
        <v>18</v>
      </c>
      <c r="S231" s="94" t="str">
        <f>VLOOKUP(O231,'Lookup Values'!$I$2:$L$8,4,TRUE)</f>
        <v>Afternoon</v>
      </c>
      <c r="T231" t="s">
        <v>110</v>
      </c>
      <c r="U231" t="s">
        <v>111</v>
      </c>
      <c r="V231" t="str">
        <f t="shared" si="69"/>
        <v>Bills: Utilities</v>
      </c>
      <c r="W231" t="s">
        <v>109</v>
      </c>
      <c r="X231" t="s">
        <v>91</v>
      </c>
      <c r="Y231" s="1">
        <v>133</v>
      </c>
      <c r="Z231" s="1" t="str">
        <f t="shared" si="70"/>
        <v>Bills: $133.00</v>
      </c>
      <c r="AA231" s="1">
        <f>IF(Y231="","",ROUND(Y231*'Lookup Values'!$A$2,2))</f>
        <v>11.8</v>
      </c>
      <c r="AB231" s="12" t="str">
        <f t="shared" si="71"/>
        <v>Expense</v>
      </c>
      <c r="AC231" s="2" t="s">
        <v>380</v>
      </c>
      <c r="AD231" s="3">
        <f t="shared" si="72"/>
        <v>41092</v>
      </c>
      <c r="AE231" s="93" t="str">
        <f t="shared" si="73"/>
        <v>NO</v>
      </c>
      <c r="AF231" s="2" t="str">
        <f t="shared" si="74"/>
        <v>NO</v>
      </c>
      <c r="AG231" t="str">
        <f t="shared" si="75"/>
        <v>CRAP Transaction</v>
      </c>
    </row>
    <row r="232" spans="1:33" x14ac:dyDescent="0.25">
      <c r="A232" s="2">
        <v>231</v>
      </c>
      <c r="B232" s="3" t="str">
        <f t="shared" si="57"/>
        <v>080412-SH-EXP</v>
      </c>
      <c r="C232" s="3">
        <v>39550</v>
      </c>
      <c r="D232" s="3">
        <f t="shared" si="59"/>
        <v>39563</v>
      </c>
      <c r="E232" s="3">
        <f t="shared" si="60"/>
        <v>39611</v>
      </c>
      <c r="F232" s="3">
        <f t="shared" si="61"/>
        <v>39568</v>
      </c>
      <c r="G232" s="76">
        <f t="shared" si="62"/>
        <v>2008</v>
      </c>
      <c r="H232" s="76">
        <f t="shared" si="63"/>
        <v>4</v>
      </c>
      <c r="I232" s="76" t="str">
        <f>VLOOKUP(H232,'Lookup Values'!$C$2:$D$13,2,FALSE)</f>
        <v>APR</v>
      </c>
      <c r="J232" s="76">
        <f t="shared" si="64"/>
        <v>12</v>
      </c>
      <c r="K232" s="76">
        <f t="shared" si="65"/>
        <v>7</v>
      </c>
      <c r="L232" s="76" t="str">
        <f>VLOOKUP(K232,'Lookup Values'!$F$2:$G$8,2,FALSE)</f>
        <v>Saturday</v>
      </c>
      <c r="M232" s="3">
        <v>39558</v>
      </c>
      <c r="N232" s="78">
        <f t="shared" si="58"/>
        <v>8</v>
      </c>
      <c r="O232" s="11">
        <v>0.33463667721481272</v>
      </c>
      <c r="P232" s="94">
        <f t="shared" si="66"/>
        <v>8</v>
      </c>
      <c r="Q232" s="94">
        <f t="shared" si="67"/>
        <v>1</v>
      </c>
      <c r="R232" s="94">
        <f t="shared" si="68"/>
        <v>53</v>
      </c>
      <c r="S232" s="94" t="str">
        <f>VLOOKUP(O232,'Lookup Values'!$I$2:$L$8,4,TRUE)</f>
        <v>Morning</v>
      </c>
      <c r="T232" t="s">
        <v>83</v>
      </c>
      <c r="U232" t="s">
        <v>103</v>
      </c>
      <c r="V232" t="str">
        <f t="shared" si="69"/>
        <v>Shopping: Clothing</v>
      </c>
      <c r="W232" t="s">
        <v>102</v>
      </c>
      <c r="X232" t="s">
        <v>88</v>
      </c>
      <c r="Y232" s="1">
        <v>57</v>
      </c>
      <c r="Z232" s="1" t="str">
        <f t="shared" si="70"/>
        <v>Shopping: $57.00</v>
      </c>
      <c r="AA232" s="1">
        <f>IF(Y232="","",ROUND(Y232*'Lookup Values'!$A$2,2))</f>
        <v>5.0599999999999996</v>
      </c>
      <c r="AB232" s="12" t="str">
        <f t="shared" si="71"/>
        <v>Expense</v>
      </c>
      <c r="AC232" s="2" t="s">
        <v>381</v>
      </c>
      <c r="AD232" s="3">
        <f t="shared" si="72"/>
        <v>39550</v>
      </c>
      <c r="AE232" s="93" t="str">
        <f t="shared" si="73"/>
        <v>NO</v>
      </c>
      <c r="AF232" s="2" t="str">
        <f t="shared" si="74"/>
        <v>NO</v>
      </c>
      <c r="AG232" t="str">
        <f t="shared" si="75"/>
        <v>Awesome Transaction</v>
      </c>
    </row>
    <row r="233" spans="1:33" x14ac:dyDescent="0.25">
      <c r="A233" s="2">
        <v>232</v>
      </c>
      <c r="B233" s="3" t="str">
        <f t="shared" si="57"/>
        <v>110509-HE-FRE</v>
      </c>
      <c r="C233" s="3">
        <v>40672</v>
      </c>
      <c r="D233" s="3">
        <f t="shared" si="59"/>
        <v>40686</v>
      </c>
      <c r="E233" s="3">
        <f t="shared" si="60"/>
        <v>40733</v>
      </c>
      <c r="F233" s="3">
        <f t="shared" si="61"/>
        <v>40694</v>
      </c>
      <c r="G233" s="76">
        <f t="shared" si="62"/>
        <v>2011</v>
      </c>
      <c r="H233" s="76">
        <f t="shared" si="63"/>
        <v>5</v>
      </c>
      <c r="I233" s="76" t="str">
        <f>VLOOKUP(H233,'Lookup Values'!$C$2:$D$13,2,FALSE)</f>
        <v>MAY</v>
      </c>
      <c r="J233" s="76">
        <f t="shared" si="64"/>
        <v>9</v>
      </c>
      <c r="K233" s="76">
        <f t="shared" si="65"/>
        <v>2</v>
      </c>
      <c r="L233" s="76" t="str">
        <f>VLOOKUP(K233,'Lookup Values'!$F$2:$G$8,2,FALSE)</f>
        <v>Monday</v>
      </c>
      <c r="M233" s="3">
        <v>40681</v>
      </c>
      <c r="N233" s="78">
        <f t="shared" si="58"/>
        <v>9</v>
      </c>
      <c r="O233" s="11">
        <v>0.40378126778400969</v>
      </c>
      <c r="P233" s="94">
        <f t="shared" si="66"/>
        <v>9</v>
      </c>
      <c r="Q233" s="94">
        <f t="shared" si="67"/>
        <v>41</v>
      </c>
      <c r="R233" s="94">
        <f t="shared" si="68"/>
        <v>27</v>
      </c>
      <c r="S233" s="94" t="str">
        <f>VLOOKUP(O233,'Lookup Values'!$I$2:$L$8,4,TRUE)</f>
        <v>Morning</v>
      </c>
      <c r="T233" t="s">
        <v>107</v>
      </c>
      <c r="U233" t="s">
        <v>108</v>
      </c>
      <c r="V233" t="str">
        <f t="shared" si="69"/>
        <v>Health: Insurance Premium</v>
      </c>
      <c r="W233" t="s">
        <v>106</v>
      </c>
      <c r="X233" t="s">
        <v>91</v>
      </c>
      <c r="Y233" s="1">
        <v>106</v>
      </c>
      <c r="Z233" s="1" t="str">
        <f t="shared" si="70"/>
        <v>Health: $106.00</v>
      </c>
      <c r="AA233" s="1">
        <f>IF(Y233="","",ROUND(Y233*'Lookup Values'!$A$2,2))</f>
        <v>9.41</v>
      </c>
      <c r="AB233" s="12" t="str">
        <f t="shared" si="71"/>
        <v>Expense</v>
      </c>
      <c r="AC233" s="2" t="s">
        <v>382</v>
      </c>
      <c r="AD233" s="3">
        <f t="shared" si="72"/>
        <v>40672</v>
      </c>
      <c r="AE233" s="93" t="str">
        <f t="shared" si="73"/>
        <v>NO</v>
      </c>
      <c r="AF233" s="2" t="str">
        <f t="shared" si="74"/>
        <v>NO</v>
      </c>
      <c r="AG233" t="str">
        <f t="shared" si="75"/>
        <v>CRAP Transaction</v>
      </c>
    </row>
    <row r="234" spans="1:33" x14ac:dyDescent="0.25">
      <c r="A234" s="2">
        <v>233</v>
      </c>
      <c r="B234" s="3" t="str">
        <f t="shared" si="57"/>
        <v>070706-IN-EZE</v>
      </c>
      <c r="C234" s="3">
        <v>39269</v>
      </c>
      <c r="D234" s="3">
        <f t="shared" si="59"/>
        <v>39283</v>
      </c>
      <c r="E234" s="3">
        <f t="shared" si="60"/>
        <v>39331</v>
      </c>
      <c r="F234" s="3">
        <f t="shared" si="61"/>
        <v>39294</v>
      </c>
      <c r="G234" s="76">
        <f t="shared" si="62"/>
        <v>2007</v>
      </c>
      <c r="H234" s="76">
        <f t="shared" si="63"/>
        <v>7</v>
      </c>
      <c r="I234" s="76" t="str">
        <f>VLOOKUP(H234,'Lookup Values'!$C$2:$D$13,2,FALSE)</f>
        <v>JUL</v>
      </c>
      <c r="J234" s="76">
        <f t="shared" si="64"/>
        <v>6</v>
      </c>
      <c r="K234" s="76">
        <f t="shared" si="65"/>
        <v>6</v>
      </c>
      <c r="L234" s="76" t="str">
        <f>VLOOKUP(K234,'Lookup Values'!$F$2:$G$8,2,FALSE)</f>
        <v>Friday</v>
      </c>
      <c r="M234" s="3">
        <v>39279</v>
      </c>
      <c r="N234" s="78">
        <f t="shared" si="58"/>
        <v>10</v>
      </c>
      <c r="O234" s="11">
        <v>0.54630630952562842</v>
      </c>
      <c r="P234" s="94">
        <f t="shared" si="66"/>
        <v>13</v>
      </c>
      <c r="Q234" s="94">
        <f t="shared" si="67"/>
        <v>6</v>
      </c>
      <c r="R234" s="94">
        <f t="shared" si="68"/>
        <v>41</v>
      </c>
      <c r="S234" s="94" t="str">
        <f>VLOOKUP(O234,'Lookup Values'!$I$2:$L$8,4,TRUE)</f>
        <v>Afternoon</v>
      </c>
      <c r="T234" t="s">
        <v>158</v>
      </c>
      <c r="U234" t="s">
        <v>159</v>
      </c>
      <c r="V234" t="str">
        <f t="shared" si="69"/>
        <v>Income: Salary</v>
      </c>
      <c r="W234" t="s">
        <v>162</v>
      </c>
      <c r="X234" t="s">
        <v>91</v>
      </c>
      <c r="Y234" s="1">
        <v>211</v>
      </c>
      <c r="Z234" s="1" t="str">
        <f t="shared" si="70"/>
        <v>Income: $211.00</v>
      </c>
      <c r="AA234" s="1">
        <f>IF(Y234="","",ROUND(Y234*'Lookup Values'!$A$2,2))</f>
        <v>18.73</v>
      </c>
      <c r="AB234" s="12" t="str">
        <f t="shared" si="71"/>
        <v>Income</v>
      </c>
      <c r="AC234" s="2" t="s">
        <v>383</v>
      </c>
      <c r="AD234" s="3">
        <f t="shared" si="72"/>
        <v>39269</v>
      </c>
      <c r="AE234" s="93" t="str">
        <f t="shared" si="73"/>
        <v>NO</v>
      </c>
      <c r="AF234" s="2" t="str">
        <f t="shared" si="74"/>
        <v>NO</v>
      </c>
      <c r="AG234" t="str">
        <f t="shared" si="75"/>
        <v>Late Transaction</v>
      </c>
    </row>
    <row r="235" spans="1:33" x14ac:dyDescent="0.25">
      <c r="A235" s="2">
        <v>234</v>
      </c>
      <c r="B235" s="3" t="str">
        <f t="shared" si="57"/>
        <v>090325-FO-TRA</v>
      </c>
      <c r="C235" s="3">
        <v>39897</v>
      </c>
      <c r="D235" s="3">
        <f t="shared" si="59"/>
        <v>39911</v>
      </c>
      <c r="E235" s="3">
        <f t="shared" si="60"/>
        <v>39958</v>
      </c>
      <c r="F235" s="3">
        <f t="shared" si="61"/>
        <v>39903</v>
      </c>
      <c r="G235" s="76">
        <f t="shared" si="62"/>
        <v>2009</v>
      </c>
      <c r="H235" s="76">
        <f t="shared" si="63"/>
        <v>3</v>
      </c>
      <c r="I235" s="76" t="str">
        <f>VLOOKUP(H235,'Lookup Values'!$C$2:$D$13,2,FALSE)</f>
        <v>MAR</v>
      </c>
      <c r="J235" s="76">
        <f t="shared" si="64"/>
        <v>25</v>
      </c>
      <c r="K235" s="76">
        <f t="shared" si="65"/>
        <v>4</v>
      </c>
      <c r="L235" s="76" t="str">
        <f>VLOOKUP(K235,'Lookup Values'!$F$2:$G$8,2,FALSE)</f>
        <v>Wednesday</v>
      </c>
      <c r="M235" s="3">
        <v>39898</v>
      </c>
      <c r="N235" s="78">
        <f t="shared" si="58"/>
        <v>1</v>
      </c>
      <c r="O235" s="11">
        <v>0.60013145975222693</v>
      </c>
      <c r="P235" s="94">
        <f t="shared" si="66"/>
        <v>14</v>
      </c>
      <c r="Q235" s="94">
        <f t="shared" si="67"/>
        <v>24</v>
      </c>
      <c r="R235" s="94">
        <f t="shared" si="68"/>
        <v>11</v>
      </c>
      <c r="S235" s="94" t="str">
        <f>VLOOKUP(O235,'Lookup Values'!$I$2:$L$8,4,TRUE)</f>
        <v>Afternoon</v>
      </c>
      <c r="T235" t="s">
        <v>80</v>
      </c>
      <c r="U235" t="s">
        <v>93</v>
      </c>
      <c r="V235" t="str">
        <f t="shared" si="69"/>
        <v>Food: Groceries</v>
      </c>
      <c r="W235" t="s">
        <v>92</v>
      </c>
      <c r="X235" t="s">
        <v>88</v>
      </c>
      <c r="Y235" s="1">
        <v>177</v>
      </c>
      <c r="Z235" s="1" t="str">
        <f t="shared" si="70"/>
        <v>Food: $177.00</v>
      </c>
      <c r="AA235" s="1">
        <f>IF(Y235="","",ROUND(Y235*'Lookup Values'!$A$2,2))</f>
        <v>15.71</v>
      </c>
      <c r="AB235" s="12" t="str">
        <f t="shared" si="71"/>
        <v>Expense</v>
      </c>
      <c r="AC235" s="2" t="s">
        <v>384</v>
      </c>
      <c r="AD235" s="3">
        <f t="shared" si="72"/>
        <v>39897</v>
      </c>
      <c r="AE235" s="93" t="str">
        <f t="shared" si="73"/>
        <v>NO</v>
      </c>
      <c r="AF235" s="2" t="str">
        <f t="shared" si="74"/>
        <v>NO</v>
      </c>
      <c r="AG235" t="str">
        <f t="shared" si="75"/>
        <v>Awesome Transaction</v>
      </c>
    </row>
    <row r="236" spans="1:33" x14ac:dyDescent="0.25">
      <c r="A236" s="2">
        <v>235</v>
      </c>
      <c r="B236" s="3" t="str">
        <f t="shared" si="57"/>
        <v>071130-ED-SKI</v>
      </c>
      <c r="C236" s="3">
        <v>39416</v>
      </c>
      <c r="D236" s="3">
        <f t="shared" si="59"/>
        <v>39430</v>
      </c>
      <c r="E236" s="3">
        <f t="shared" si="60"/>
        <v>39477</v>
      </c>
      <c r="F236" s="3">
        <f t="shared" si="61"/>
        <v>39416</v>
      </c>
      <c r="G236" s="76">
        <f t="shared" si="62"/>
        <v>2007</v>
      </c>
      <c r="H236" s="76">
        <f t="shared" si="63"/>
        <v>11</v>
      </c>
      <c r="I236" s="76" t="str">
        <f>VLOOKUP(H236,'Lookup Values'!$C$2:$D$13,2,FALSE)</f>
        <v>NOV</v>
      </c>
      <c r="J236" s="76">
        <f t="shared" si="64"/>
        <v>30</v>
      </c>
      <c r="K236" s="76">
        <f t="shared" si="65"/>
        <v>6</v>
      </c>
      <c r="L236" s="76" t="str">
        <f>VLOOKUP(K236,'Lookup Values'!$F$2:$G$8,2,FALSE)</f>
        <v>Friday</v>
      </c>
      <c r="M236" s="3">
        <v>39424</v>
      </c>
      <c r="N236" s="78">
        <f t="shared" si="58"/>
        <v>8</v>
      </c>
      <c r="O236" s="11">
        <v>0.44348836724571361</v>
      </c>
      <c r="P236" s="94">
        <f t="shared" si="66"/>
        <v>10</v>
      </c>
      <c r="Q236" s="94">
        <f t="shared" si="67"/>
        <v>38</v>
      </c>
      <c r="R236" s="94">
        <f t="shared" si="68"/>
        <v>37</v>
      </c>
      <c r="S236" s="94" t="str">
        <f>VLOOKUP(O236,'Lookup Values'!$I$2:$L$8,4,TRUE)</f>
        <v>Late Morning</v>
      </c>
      <c r="T236" t="s">
        <v>86</v>
      </c>
      <c r="U236" t="s">
        <v>98</v>
      </c>
      <c r="V236" t="str">
        <f t="shared" si="69"/>
        <v>Education: Professional Development</v>
      </c>
      <c r="W236" t="s">
        <v>97</v>
      </c>
      <c r="X236" t="s">
        <v>91</v>
      </c>
      <c r="Y236" s="1">
        <v>480</v>
      </c>
      <c r="Z236" s="1" t="str">
        <f t="shared" si="70"/>
        <v>Education: $480.00</v>
      </c>
      <c r="AA236" s="1">
        <f>IF(Y236="","",ROUND(Y236*'Lookup Values'!$A$2,2))</f>
        <v>42.6</v>
      </c>
      <c r="AB236" s="12" t="str">
        <f t="shared" si="71"/>
        <v>Expense</v>
      </c>
      <c r="AC236" s="2" t="s">
        <v>385</v>
      </c>
      <c r="AD236" s="3">
        <f t="shared" si="72"/>
        <v>39416</v>
      </c>
      <c r="AE236" s="93" t="str">
        <f t="shared" si="73"/>
        <v>YES</v>
      </c>
      <c r="AF236" s="2" t="str">
        <f t="shared" si="74"/>
        <v>YES</v>
      </c>
      <c r="AG236" t="str">
        <f t="shared" si="75"/>
        <v>Late Transaction</v>
      </c>
    </row>
    <row r="237" spans="1:33" x14ac:dyDescent="0.25">
      <c r="A237" s="2">
        <v>236</v>
      </c>
      <c r="B237" s="3" t="str">
        <f t="shared" si="57"/>
        <v>081230-EN-FAN</v>
      </c>
      <c r="C237" s="3">
        <v>39812</v>
      </c>
      <c r="D237" s="3">
        <f t="shared" si="59"/>
        <v>39826</v>
      </c>
      <c r="E237" s="3">
        <f t="shared" si="60"/>
        <v>39872</v>
      </c>
      <c r="F237" s="3">
        <f t="shared" si="61"/>
        <v>39813</v>
      </c>
      <c r="G237" s="76">
        <f t="shared" si="62"/>
        <v>2008</v>
      </c>
      <c r="H237" s="76">
        <f t="shared" si="63"/>
        <v>12</v>
      </c>
      <c r="I237" s="76" t="str">
        <f>VLOOKUP(H237,'Lookup Values'!$C$2:$D$13,2,FALSE)</f>
        <v>DEC</v>
      </c>
      <c r="J237" s="76">
        <f t="shared" si="64"/>
        <v>30</v>
      </c>
      <c r="K237" s="76">
        <f t="shared" si="65"/>
        <v>3</v>
      </c>
      <c r="L237" s="76" t="str">
        <f>VLOOKUP(K237,'Lookup Values'!$F$2:$G$8,2,FALSE)</f>
        <v>Tuesday</v>
      </c>
      <c r="M237" s="3">
        <v>39821</v>
      </c>
      <c r="N237" s="78">
        <f t="shared" si="58"/>
        <v>9</v>
      </c>
      <c r="O237" s="11">
        <v>0.19186364662484423</v>
      </c>
      <c r="P237" s="94">
        <f t="shared" si="66"/>
        <v>4</v>
      </c>
      <c r="Q237" s="94">
        <f t="shared" si="67"/>
        <v>36</v>
      </c>
      <c r="R237" s="94">
        <f t="shared" si="68"/>
        <v>17</v>
      </c>
      <c r="S237" s="94" t="str">
        <f>VLOOKUP(O237,'Lookup Values'!$I$2:$L$8,4,TRUE)</f>
        <v>Early Morning</v>
      </c>
      <c r="T237" t="s">
        <v>76</v>
      </c>
      <c r="U237" t="s">
        <v>90</v>
      </c>
      <c r="V237" t="str">
        <f t="shared" si="69"/>
        <v>Entertainment: Movies</v>
      </c>
      <c r="W237" t="s">
        <v>89</v>
      </c>
      <c r="X237" t="s">
        <v>78</v>
      </c>
      <c r="Y237" s="1">
        <v>58</v>
      </c>
      <c r="Z237" s="1" t="str">
        <f t="shared" si="70"/>
        <v>Entertainment: $58.00</v>
      </c>
      <c r="AA237" s="1">
        <f>IF(Y237="","",ROUND(Y237*'Lookup Values'!$A$2,2))</f>
        <v>5.15</v>
      </c>
      <c r="AB237" s="12" t="str">
        <f t="shared" si="71"/>
        <v>Expense</v>
      </c>
      <c r="AC237" s="2" t="s">
        <v>386</v>
      </c>
      <c r="AD237" s="3">
        <f t="shared" si="72"/>
        <v>39812</v>
      </c>
      <c r="AE237" s="93" t="str">
        <f t="shared" si="73"/>
        <v>NO</v>
      </c>
      <c r="AF237" s="2" t="str">
        <f t="shared" si="74"/>
        <v>NO</v>
      </c>
      <c r="AG237" t="str">
        <f t="shared" si="75"/>
        <v>Awesome Transaction</v>
      </c>
    </row>
    <row r="238" spans="1:33" x14ac:dyDescent="0.25">
      <c r="A238" s="2">
        <v>237</v>
      </c>
      <c r="B238" s="3" t="str">
        <f t="shared" si="57"/>
        <v>111213-EN-MOE</v>
      </c>
      <c r="C238" s="3">
        <v>40890</v>
      </c>
      <c r="D238" s="3">
        <f t="shared" si="59"/>
        <v>40904</v>
      </c>
      <c r="E238" s="3">
        <f t="shared" si="60"/>
        <v>40952</v>
      </c>
      <c r="F238" s="3">
        <f t="shared" si="61"/>
        <v>40908</v>
      </c>
      <c r="G238" s="76">
        <f t="shared" si="62"/>
        <v>2011</v>
      </c>
      <c r="H238" s="76">
        <f t="shared" si="63"/>
        <v>12</v>
      </c>
      <c r="I238" s="76" t="str">
        <f>VLOOKUP(H238,'Lookup Values'!$C$2:$D$13,2,FALSE)</f>
        <v>DEC</v>
      </c>
      <c r="J238" s="76">
        <f t="shared" si="64"/>
        <v>13</v>
      </c>
      <c r="K238" s="76">
        <f t="shared" si="65"/>
        <v>3</v>
      </c>
      <c r="L238" s="76" t="str">
        <f>VLOOKUP(K238,'Lookup Values'!$F$2:$G$8,2,FALSE)</f>
        <v>Tuesday</v>
      </c>
      <c r="M238" s="3">
        <v>40893</v>
      </c>
      <c r="N238" s="78">
        <f t="shared" si="58"/>
        <v>3</v>
      </c>
      <c r="O238" s="11">
        <v>0.9449126175384408</v>
      </c>
      <c r="P238" s="94">
        <f t="shared" si="66"/>
        <v>22</v>
      </c>
      <c r="Q238" s="94">
        <f t="shared" si="67"/>
        <v>40</v>
      </c>
      <c r="R238" s="94">
        <f t="shared" si="68"/>
        <v>40</v>
      </c>
      <c r="S238" s="94" t="str">
        <f>VLOOKUP(O238,'Lookup Values'!$I$2:$L$8,4,TRUE)</f>
        <v>Late Evening</v>
      </c>
      <c r="T238" t="s">
        <v>76</v>
      </c>
      <c r="U238" t="s">
        <v>77</v>
      </c>
      <c r="V238" t="str">
        <f t="shared" si="69"/>
        <v>Entertainment: Alcohol</v>
      </c>
      <c r="W238" t="s">
        <v>75</v>
      </c>
      <c r="X238" t="s">
        <v>78</v>
      </c>
      <c r="Y238" s="1">
        <v>40</v>
      </c>
      <c r="Z238" s="1" t="str">
        <f t="shared" si="70"/>
        <v>Entertainment: $40.00</v>
      </c>
      <c r="AA238" s="1">
        <f>IF(Y238="","",ROUND(Y238*'Lookup Values'!$A$2,2))</f>
        <v>3.55</v>
      </c>
      <c r="AB238" s="12" t="str">
        <f t="shared" si="71"/>
        <v>Expense</v>
      </c>
      <c r="AC238" s="2" t="s">
        <v>387</v>
      </c>
      <c r="AD238" s="3">
        <f t="shared" si="72"/>
        <v>40890</v>
      </c>
      <c r="AE238" s="93" t="str">
        <f t="shared" si="73"/>
        <v>NO</v>
      </c>
      <c r="AF238" s="2" t="str">
        <f t="shared" si="74"/>
        <v>NO</v>
      </c>
      <c r="AG238" t="str">
        <f t="shared" si="75"/>
        <v>CRAP Transaction</v>
      </c>
    </row>
    <row r="239" spans="1:33" x14ac:dyDescent="0.25">
      <c r="A239" s="2">
        <v>238</v>
      </c>
      <c r="B239" s="3" t="str">
        <f t="shared" si="57"/>
        <v>110609-FO-CIT</v>
      </c>
      <c r="C239" s="3">
        <v>40703</v>
      </c>
      <c r="D239" s="3">
        <f t="shared" si="59"/>
        <v>40717</v>
      </c>
      <c r="E239" s="3">
        <f t="shared" si="60"/>
        <v>40764</v>
      </c>
      <c r="F239" s="3">
        <f t="shared" si="61"/>
        <v>40724</v>
      </c>
      <c r="G239" s="76">
        <f t="shared" si="62"/>
        <v>2011</v>
      </c>
      <c r="H239" s="76">
        <f t="shared" si="63"/>
        <v>6</v>
      </c>
      <c r="I239" s="76" t="str">
        <f>VLOOKUP(H239,'Lookup Values'!$C$2:$D$13,2,FALSE)</f>
        <v>JUN</v>
      </c>
      <c r="J239" s="76">
        <f t="shared" si="64"/>
        <v>9</v>
      </c>
      <c r="K239" s="76">
        <f t="shared" si="65"/>
        <v>5</v>
      </c>
      <c r="L239" s="76" t="str">
        <f>VLOOKUP(K239,'Lookup Values'!$F$2:$G$8,2,FALSE)</f>
        <v>Thursday</v>
      </c>
      <c r="M239" s="3">
        <v>40710</v>
      </c>
      <c r="N239" s="78">
        <f t="shared" si="58"/>
        <v>7</v>
      </c>
      <c r="O239" s="11">
        <v>0.37461828692819144</v>
      </c>
      <c r="P239" s="94">
        <f t="shared" si="66"/>
        <v>8</v>
      </c>
      <c r="Q239" s="94">
        <f t="shared" si="67"/>
        <v>59</v>
      </c>
      <c r="R239" s="94">
        <f t="shared" si="68"/>
        <v>27</v>
      </c>
      <c r="S239" s="94" t="str">
        <f>VLOOKUP(O239,'Lookup Values'!$I$2:$L$8,4,TRUE)</f>
        <v>Morning</v>
      </c>
      <c r="T239" t="s">
        <v>80</v>
      </c>
      <c r="U239" t="s">
        <v>105</v>
      </c>
      <c r="V239" t="str">
        <f t="shared" si="69"/>
        <v>Food: Coffee</v>
      </c>
      <c r="W239" t="s">
        <v>104</v>
      </c>
      <c r="X239" t="s">
        <v>88</v>
      </c>
      <c r="Y239" s="1">
        <v>288</v>
      </c>
      <c r="Z239" s="1" t="str">
        <f t="shared" si="70"/>
        <v>Food: $288.00</v>
      </c>
      <c r="AA239" s="1">
        <f>IF(Y239="","",ROUND(Y239*'Lookup Values'!$A$2,2))</f>
        <v>25.56</v>
      </c>
      <c r="AB239" s="12" t="str">
        <f t="shared" si="71"/>
        <v>Expense</v>
      </c>
      <c r="AC239" s="2" t="s">
        <v>388</v>
      </c>
      <c r="AD239" s="3">
        <f t="shared" si="72"/>
        <v>40703</v>
      </c>
      <c r="AE239" s="93" t="str">
        <f t="shared" si="73"/>
        <v>NO</v>
      </c>
      <c r="AF239" s="2" t="str">
        <f t="shared" si="74"/>
        <v>NO</v>
      </c>
      <c r="AG239" t="str">
        <f t="shared" si="75"/>
        <v>CRAP Transaction</v>
      </c>
    </row>
    <row r="240" spans="1:33" x14ac:dyDescent="0.25">
      <c r="A240" s="2">
        <v>239</v>
      </c>
      <c r="B240" s="3" t="str">
        <f t="shared" si="57"/>
        <v>070727-IN-LEG</v>
      </c>
      <c r="C240" s="3">
        <v>39290</v>
      </c>
      <c r="D240" s="3">
        <f t="shared" si="59"/>
        <v>39304</v>
      </c>
      <c r="E240" s="3">
        <f t="shared" si="60"/>
        <v>39352</v>
      </c>
      <c r="F240" s="3">
        <f t="shared" si="61"/>
        <v>39294</v>
      </c>
      <c r="G240" s="76">
        <f t="shared" si="62"/>
        <v>2007</v>
      </c>
      <c r="H240" s="76">
        <f t="shared" si="63"/>
        <v>7</v>
      </c>
      <c r="I240" s="76" t="str">
        <f>VLOOKUP(H240,'Lookup Values'!$C$2:$D$13,2,FALSE)</f>
        <v>JUL</v>
      </c>
      <c r="J240" s="76">
        <f t="shared" si="64"/>
        <v>27</v>
      </c>
      <c r="K240" s="76">
        <f t="shared" si="65"/>
        <v>6</v>
      </c>
      <c r="L240" s="76" t="str">
        <f>VLOOKUP(K240,'Lookup Values'!$F$2:$G$8,2,FALSE)</f>
        <v>Friday</v>
      </c>
      <c r="M240" s="3">
        <v>39291</v>
      </c>
      <c r="N240" s="78">
        <f t="shared" si="58"/>
        <v>1</v>
      </c>
      <c r="O240" s="11">
        <v>0.14790288827015596</v>
      </c>
      <c r="P240" s="94">
        <f t="shared" si="66"/>
        <v>3</v>
      </c>
      <c r="Q240" s="94">
        <f t="shared" si="67"/>
        <v>32</v>
      </c>
      <c r="R240" s="94">
        <f t="shared" si="68"/>
        <v>59</v>
      </c>
      <c r="S240" s="94" t="str">
        <f>VLOOKUP(O240,'Lookup Values'!$I$2:$L$8,4,TRUE)</f>
        <v>Dead of Night</v>
      </c>
      <c r="T240" t="s">
        <v>158</v>
      </c>
      <c r="U240" t="s">
        <v>160</v>
      </c>
      <c r="V240" t="str">
        <f t="shared" si="69"/>
        <v>Income: Freelance Project</v>
      </c>
      <c r="W240" t="s">
        <v>163</v>
      </c>
      <c r="X240" t="s">
        <v>88</v>
      </c>
      <c r="Y240" s="1">
        <v>395</v>
      </c>
      <c r="Z240" s="1" t="str">
        <f t="shared" si="70"/>
        <v>Income: $395.00</v>
      </c>
      <c r="AA240" s="1">
        <f>IF(Y240="","",ROUND(Y240*'Lookup Values'!$A$2,2))</f>
        <v>35.06</v>
      </c>
      <c r="AB240" s="12" t="str">
        <f t="shared" si="71"/>
        <v>Income</v>
      </c>
      <c r="AC240" s="2" t="s">
        <v>389</v>
      </c>
      <c r="AD240" s="3">
        <f t="shared" si="72"/>
        <v>39290</v>
      </c>
      <c r="AE240" s="93" t="str">
        <f t="shared" si="73"/>
        <v>NO</v>
      </c>
      <c r="AF240" s="2" t="str">
        <f t="shared" si="74"/>
        <v>NO</v>
      </c>
      <c r="AG240" t="str">
        <f t="shared" si="75"/>
        <v>Late Transaction</v>
      </c>
    </row>
    <row r="241" spans="1:33" x14ac:dyDescent="0.25">
      <c r="A241" s="2">
        <v>240</v>
      </c>
      <c r="B241" s="3" t="str">
        <f t="shared" si="57"/>
        <v>071104-FO-CIT</v>
      </c>
      <c r="C241" s="3">
        <v>39390</v>
      </c>
      <c r="D241" s="3">
        <f t="shared" si="59"/>
        <v>39402</v>
      </c>
      <c r="E241" s="3">
        <f t="shared" si="60"/>
        <v>39451</v>
      </c>
      <c r="F241" s="3">
        <f t="shared" si="61"/>
        <v>39416</v>
      </c>
      <c r="G241" s="76">
        <f t="shared" si="62"/>
        <v>2007</v>
      </c>
      <c r="H241" s="76">
        <f t="shared" si="63"/>
        <v>11</v>
      </c>
      <c r="I241" s="76" t="str">
        <f>VLOOKUP(H241,'Lookup Values'!$C$2:$D$13,2,FALSE)</f>
        <v>NOV</v>
      </c>
      <c r="J241" s="76">
        <f t="shared" si="64"/>
        <v>4</v>
      </c>
      <c r="K241" s="76">
        <f t="shared" si="65"/>
        <v>1</v>
      </c>
      <c r="L241" s="76" t="str">
        <f>VLOOKUP(K241,'Lookup Values'!$F$2:$G$8,2,FALSE)</f>
        <v>Sunday</v>
      </c>
      <c r="M241" s="3">
        <v>39397</v>
      </c>
      <c r="N241" s="78">
        <f t="shared" si="58"/>
        <v>7</v>
      </c>
      <c r="O241" s="11">
        <v>0.1865331781116385</v>
      </c>
      <c r="P241" s="94">
        <f t="shared" si="66"/>
        <v>4</v>
      </c>
      <c r="Q241" s="94">
        <f t="shared" si="67"/>
        <v>28</v>
      </c>
      <c r="R241" s="94">
        <f t="shared" si="68"/>
        <v>36</v>
      </c>
      <c r="S241" s="94" t="str">
        <f>VLOOKUP(O241,'Lookup Values'!$I$2:$L$8,4,TRUE)</f>
        <v>Early Morning</v>
      </c>
      <c r="T241" t="s">
        <v>80</v>
      </c>
      <c r="U241" t="s">
        <v>105</v>
      </c>
      <c r="V241" t="str">
        <f t="shared" si="69"/>
        <v>Food: Coffee</v>
      </c>
      <c r="W241" t="s">
        <v>104</v>
      </c>
      <c r="X241" t="s">
        <v>91</v>
      </c>
      <c r="Y241" s="1">
        <v>461</v>
      </c>
      <c r="Z241" s="1" t="str">
        <f t="shared" si="70"/>
        <v>Food: $461.00</v>
      </c>
      <c r="AA241" s="1">
        <f>IF(Y241="","",ROUND(Y241*'Lookup Values'!$A$2,2))</f>
        <v>40.909999999999997</v>
      </c>
      <c r="AB241" s="12" t="str">
        <f t="shared" si="71"/>
        <v>Expense</v>
      </c>
      <c r="AC241" s="2" t="s">
        <v>390</v>
      </c>
      <c r="AD241" s="3">
        <f t="shared" si="72"/>
        <v>39390</v>
      </c>
      <c r="AE241" s="93" t="str">
        <f t="shared" si="73"/>
        <v>NO</v>
      </c>
      <c r="AF241" s="2" t="str">
        <f t="shared" si="74"/>
        <v>NO</v>
      </c>
      <c r="AG241" t="str">
        <f t="shared" si="75"/>
        <v>Awesome Transaction</v>
      </c>
    </row>
    <row r="242" spans="1:33" x14ac:dyDescent="0.25">
      <c r="A242" s="2">
        <v>241</v>
      </c>
      <c r="B242" s="3" t="str">
        <f t="shared" si="57"/>
        <v>070722-BI-CON</v>
      </c>
      <c r="C242" s="3">
        <v>39285</v>
      </c>
      <c r="D242" s="3">
        <f t="shared" si="59"/>
        <v>39297</v>
      </c>
      <c r="E242" s="3">
        <f t="shared" si="60"/>
        <v>39347</v>
      </c>
      <c r="F242" s="3">
        <f t="shared" si="61"/>
        <v>39294</v>
      </c>
      <c r="G242" s="76">
        <f t="shared" si="62"/>
        <v>2007</v>
      </c>
      <c r="H242" s="76">
        <f t="shared" si="63"/>
        <v>7</v>
      </c>
      <c r="I242" s="76" t="str">
        <f>VLOOKUP(H242,'Lookup Values'!$C$2:$D$13,2,FALSE)</f>
        <v>JUL</v>
      </c>
      <c r="J242" s="76">
        <f t="shared" si="64"/>
        <v>22</v>
      </c>
      <c r="K242" s="76">
        <f t="shared" si="65"/>
        <v>1</v>
      </c>
      <c r="L242" s="76" t="str">
        <f>VLOOKUP(K242,'Lookup Values'!$F$2:$G$8,2,FALSE)</f>
        <v>Sunday</v>
      </c>
      <c r="M242" s="3">
        <v>39295</v>
      </c>
      <c r="N242" s="78">
        <f t="shared" si="58"/>
        <v>10</v>
      </c>
      <c r="O242" s="11">
        <v>0.54590691817322368</v>
      </c>
      <c r="P242" s="94">
        <f t="shared" si="66"/>
        <v>13</v>
      </c>
      <c r="Q242" s="94">
        <f t="shared" si="67"/>
        <v>6</v>
      </c>
      <c r="R242" s="94">
        <f t="shared" si="68"/>
        <v>6</v>
      </c>
      <c r="S242" s="94" t="str">
        <f>VLOOKUP(O242,'Lookup Values'!$I$2:$L$8,4,TRUE)</f>
        <v>Afternoon</v>
      </c>
      <c r="T242" t="s">
        <v>110</v>
      </c>
      <c r="U242" t="s">
        <v>111</v>
      </c>
      <c r="V242" t="str">
        <f t="shared" si="69"/>
        <v>Bills: Utilities</v>
      </c>
      <c r="W242" t="s">
        <v>109</v>
      </c>
      <c r="X242" t="s">
        <v>88</v>
      </c>
      <c r="Y242" s="1">
        <v>404</v>
      </c>
      <c r="Z242" s="1" t="str">
        <f t="shared" si="70"/>
        <v>Bills: $404.00</v>
      </c>
      <c r="AA242" s="1">
        <f>IF(Y242="","",ROUND(Y242*'Lookup Values'!$A$2,2))</f>
        <v>35.86</v>
      </c>
      <c r="AB242" s="12" t="str">
        <f t="shared" si="71"/>
        <v>Expense</v>
      </c>
      <c r="AC242" s="2" t="s">
        <v>391</v>
      </c>
      <c r="AD242" s="3">
        <f t="shared" si="72"/>
        <v>39285</v>
      </c>
      <c r="AE242" s="93" t="str">
        <f t="shared" si="73"/>
        <v>NO</v>
      </c>
      <c r="AF242" s="2" t="str">
        <f t="shared" si="74"/>
        <v>NO</v>
      </c>
      <c r="AG242" t="str">
        <f t="shared" si="75"/>
        <v>Late Transaction</v>
      </c>
    </row>
    <row r="243" spans="1:33" x14ac:dyDescent="0.25">
      <c r="A243" s="2">
        <v>242</v>
      </c>
      <c r="B243" s="3" t="str">
        <f t="shared" si="57"/>
        <v>101108-ED-ANT</v>
      </c>
      <c r="C243" s="3">
        <v>40490</v>
      </c>
      <c r="D243" s="3">
        <f t="shared" si="59"/>
        <v>40504</v>
      </c>
      <c r="E243" s="3">
        <f t="shared" si="60"/>
        <v>40551</v>
      </c>
      <c r="F243" s="3">
        <f t="shared" si="61"/>
        <v>40512</v>
      </c>
      <c r="G243" s="76">
        <f t="shared" si="62"/>
        <v>2010</v>
      </c>
      <c r="H243" s="76">
        <f t="shared" si="63"/>
        <v>11</v>
      </c>
      <c r="I243" s="76" t="str">
        <f>VLOOKUP(H243,'Lookup Values'!$C$2:$D$13,2,FALSE)</f>
        <v>NOV</v>
      </c>
      <c r="J243" s="76">
        <f t="shared" si="64"/>
        <v>8</v>
      </c>
      <c r="K243" s="76">
        <f t="shared" si="65"/>
        <v>2</v>
      </c>
      <c r="L243" s="76" t="str">
        <f>VLOOKUP(K243,'Lookup Values'!$F$2:$G$8,2,FALSE)</f>
        <v>Monday</v>
      </c>
      <c r="M243" s="3">
        <v>40499</v>
      </c>
      <c r="N243" s="78">
        <f t="shared" si="58"/>
        <v>9</v>
      </c>
      <c r="O243" s="11">
        <v>0.86125789311968382</v>
      </c>
      <c r="P243" s="94">
        <f t="shared" si="66"/>
        <v>20</v>
      </c>
      <c r="Q243" s="94">
        <f t="shared" si="67"/>
        <v>40</v>
      </c>
      <c r="R243" s="94">
        <f t="shared" si="68"/>
        <v>13</v>
      </c>
      <c r="S243" s="94" t="str">
        <f>VLOOKUP(O243,'Lookup Values'!$I$2:$L$8,4,TRUE)</f>
        <v>Evening</v>
      </c>
      <c r="T243" t="s">
        <v>86</v>
      </c>
      <c r="U243" t="s">
        <v>87</v>
      </c>
      <c r="V243" t="str">
        <f t="shared" si="69"/>
        <v>Education: Tango Lessons</v>
      </c>
      <c r="W243" t="s">
        <v>85</v>
      </c>
      <c r="X243" t="s">
        <v>78</v>
      </c>
      <c r="Y243" s="1">
        <v>406</v>
      </c>
      <c r="Z243" s="1" t="str">
        <f t="shared" si="70"/>
        <v>Education: $406.00</v>
      </c>
      <c r="AA243" s="1">
        <f>IF(Y243="","",ROUND(Y243*'Lookup Values'!$A$2,2))</f>
        <v>36.03</v>
      </c>
      <c r="AB243" s="12" t="str">
        <f t="shared" si="71"/>
        <v>Expense</v>
      </c>
      <c r="AC243" s="2" t="s">
        <v>392</v>
      </c>
      <c r="AD243" s="3">
        <f t="shared" si="72"/>
        <v>40490</v>
      </c>
      <c r="AE243" s="93" t="str">
        <f t="shared" si="73"/>
        <v>NO</v>
      </c>
      <c r="AF243" s="2" t="str">
        <f t="shared" si="74"/>
        <v>NO</v>
      </c>
      <c r="AG243" t="str">
        <f t="shared" si="75"/>
        <v>Late Transaction</v>
      </c>
    </row>
    <row r="244" spans="1:33" x14ac:dyDescent="0.25">
      <c r="A244" s="2">
        <v>243</v>
      </c>
      <c r="B244" s="3" t="str">
        <f t="shared" si="57"/>
        <v>090307-EN-FAN</v>
      </c>
      <c r="C244" s="3">
        <v>39879</v>
      </c>
      <c r="D244" s="3">
        <f t="shared" si="59"/>
        <v>39892</v>
      </c>
      <c r="E244" s="3">
        <f t="shared" si="60"/>
        <v>39940</v>
      </c>
      <c r="F244" s="3">
        <f t="shared" si="61"/>
        <v>39903</v>
      </c>
      <c r="G244" s="76">
        <f t="shared" si="62"/>
        <v>2009</v>
      </c>
      <c r="H244" s="76">
        <f t="shared" si="63"/>
        <v>3</v>
      </c>
      <c r="I244" s="76" t="str">
        <f>VLOOKUP(H244,'Lookup Values'!$C$2:$D$13,2,FALSE)</f>
        <v>MAR</v>
      </c>
      <c r="J244" s="76">
        <f t="shared" si="64"/>
        <v>7</v>
      </c>
      <c r="K244" s="76">
        <f t="shared" si="65"/>
        <v>7</v>
      </c>
      <c r="L244" s="76" t="str">
        <f>VLOOKUP(K244,'Lookup Values'!$F$2:$G$8,2,FALSE)</f>
        <v>Saturday</v>
      </c>
      <c r="M244" s="3">
        <v>39885</v>
      </c>
      <c r="N244" s="78">
        <f t="shared" si="58"/>
        <v>6</v>
      </c>
      <c r="O244" s="11">
        <v>0.15955109191320072</v>
      </c>
      <c r="P244" s="94">
        <f t="shared" si="66"/>
        <v>3</v>
      </c>
      <c r="Q244" s="94">
        <f t="shared" si="67"/>
        <v>49</v>
      </c>
      <c r="R244" s="94">
        <f t="shared" si="68"/>
        <v>45</v>
      </c>
      <c r="S244" s="94" t="str">
        <f>VLOOKUP(O244,'Lookup Values'!$I$2:$L$8,4,TRUE)</f>
        <v>Dead of Night</v>
      </c>
      <c r="T244" t="s">
        <v>76</v>
      </c>
      <c r="U244" t="s">
        <v>90</v>
      </c>
      <c r="V244" t="str">
        <f t="shared" si="69"/>
        <v>Entertainment: Movies</v>
      </c>
      <c r="W244" t="s">
        <v>89</v>
      </c>
      <c r="X244" t="s">
        <v>78</v>
      </c>
      <c r="Y244" s="1">
        <v>180</v>
      </c>
      <c r="Z244" s="1" t="str">
        <f t="shared" si="70"/>
        <v>Entertainment: $180.00</v>
      </c>
      <c r="AA244" s="1">
        <f>IF(Y244="","",ROUND(Y244*'Lookup Values'!$A$2,2))</f>
        <v>15.98</v>
      </c>
      <c r="AB244" s="12" t="str">
        <f t="shared" si="71"/>
        <v>Expense</v>
      </c>
      <c r="AC244" s="2" t="s">
        <v>393</v>
      </c>
      <c r="AD244" s="3">
        <f t="shared" si="72"/>
        <v>39879</v>
      </c>
      <c r="AE244" s="93" t="str">
        <f t="shared" si="73"/>
        <v>NO</v>
      </c>
      <c r="AF244" s="2" t="str">
        <f t="shared" si="74"/>
        <v>NO</v>
      </c>
      <c r="AG244" t="str">
        <f t="shared" si="75"/>
        <v>Awesome Transaction</v>
      </c>
    </row>
    <row r="245" spans="1:33" x14ac:dyDescent="0.25">
      <c r="A245" s="2">
        <v>244</v>
      </c>
      <c r="B245" s="3" t="str">
        <f t="shared" si="57"/>
        <v>090208-EN-FAN</v>
      </c>
      <c r="C245" s="3">
        <v>39852</v>
      </c>
      <c r="D245" s="3">
        <f t="shared" si="59"/>
        <v>39864</v>
      </c>
      <c r="E245" s="3">
        <f t="shared" si="60"/>
        <v>39911</v>
      </c>
      <c r="F245" s="3">
        <f t="shared" si="61"/>
        <v>39872</v>
      </c>
      <c r="G245" s="76">
        <f t="shared" si="62"/>
        <v>2009</v>
      </c>
      <c r="H245" s="76">
        <f t="shared" si="63"/>
        <v>2</v>
      </c>
      <c r="I245" s="76" t="str">
        <f>VLOOKUP(H245,'Lookup Values'!$C$2:$D$13,2,FALSE)</f>
        <v>FEB</v>
      </c>
      <c r="J245" s="76">
        <f t="shared" si="64"/>
        <v>8</v>
      </c>
      <c r="K245" s="76">
        <f t="shared" si="65"/>
        <v>1</v>
      </c>
      <c r="L245" s="76" t="str">
        <f>VLOOKUP(K245,'Lookup Values'!$F$2:$G$8,2,FALSE)</f>
        <v>Sunday</v>
      </c>
      <c r="M245" s="3">
        <v>39857</v>
      </c>
      <c r="N245" s="78">
        <f t="shared" si="58"/>
        <v>5</v>
      </c>
      <c r="O245" s="11">
        <v>0.2900046303689674</v>
      </c>
      <c r="P245" s="94">
        <f t="shared" si="66"/>
        <v>6</v>
      </c>
      <c r="Q245" s="94">
        <f t="shared" si="67"/>
        <v>57</v>
      </c>
      <c r="R245" s="94">
        <f t="shared" si="68"/>
        <v>36</v>
      </c>
      <c r="S245" s="94" t="str">
        <f>VLOOKUP(O245,'Lookup Values'!$I$2:$L$8,4,TRUE)</f>
        <v>Early Morning</v>
      </c>
      <c r="T245" t="s">
        <v>76</v>
      </c>
      <c r="U245" t="s">
        <v>90</v>
      </c>
      <c r="V245" t="str">
        <f t="shared" si="69"/>
        <v>Entertainment: Movies</v>
      </c>
      <c r="W245" t="s">
        <v>89</v>
      </c>
      <c r="X245" t="s">
        <v>88</v>
      </c>
      <c r="Y245" s="1">
        <v>230</v>
      </c>
      <c r="Z245" s="1" t="str">
        <f t="shared" si="70"/>
        <v>Entertainment: $230.00</v>
      </c>
      <c r="AA245" s="1">
        <f>IF(Y245="","",ROUND(Y245*'Lookup Values'!$A$2,2))</f>
        <v>20.41</v>
      </c>
      <c r="AB245" s="12" t="str">
        <f t="shared" si="71"/>
        <v>Expense</v>
      </c>
      <c r="AC245" s="2" t="s">
        <v>394</v>
      </c>
      <c r="AD245" s="3">
        <f t="shared" si="72"/>
        <v>39852</v>
      </c>
      <c r="AE245" s="93" t="str">
        <f t="shared" si="73"/>
        <v>NO</v>
      </c>
      <c r="AF245" s="2" t="str">
        <f t="shared" si="74"/>
        <v>NO</v>
      </c>
      <c r="AG245" t="str">
        <f t="shared" si="75"/>
        <v>Awesome Transaction</v>
      </c>
    </row>
    <row r="246" spans="1:33" x14ac:dyDescent="0.25">
      <c r="A246" s="2">
        <v>245</v>
      </c>
      <c r="B246" s="3" t="str">
        <f t="shared" si="57"/>
        <v>070202-EN-MOE</v>
      </c>
      <c r="C246" s="3">
        <v>39115</v>
      </c>
      <c r="D246" s="3">
        <f t="shared" si="59"/>
        <v>39129</v>
      </c>
      <c r="E246" s="3">
        <f t="shared" si="60"/>
        <v>39174</v>
      </c>
      <c r="F246" s="3">
        <f t="shared" si="61"/>
        <v>39141</v>
      </c>
      <c r="G246" s="76">
        <f t="shared" si="62"/>
        <v>2007</v>
      </c>
      <c r="H246" s="76">
        <f t="shared" si="63"/>
        <v>2</v>
      </c>
      <c r="I246" s="76" t="str">
        <f>VLOOKUP(H246,'Lookup Values'!$C$2:$D$13,2,FALSE)</f>
        <v>FEB</v>
      </c>
      <c r="J246" s="76">
        <f t="shared" si="64"/>
        <v>2</v>
      </c>
      <c r="K246" s="76">
        <f t="shared" si="65"/>
        <v>6</v>
      </c>
      <c r="L246" s="76" t="str">
        <f>VLOOKUP(K246,'Lookup Values'!$F$2:$G$8,2,FALSE)</f>
        <v>Friday</v>
      </c>
      <c r="M246" s="3">
        <v>39119</v>
      </c>
      <c r="N246" s="78">
        <f t="shared" si="58"/>
        <v>4</v>
      </c>
      <c r="O246" s="11">
        <v>0.54948482522816378</v>
      </c>
      <c r="P246" s="94">
        <f t="shared" si="66"/>
        <v>13</v>
      </c>
      <c r="Q246" s="94">
        <f t="shared" si="67"/>
        <v>11</v>
      </c>
      <c r="R246" s="94">
        <f t="shared" si="68"/>
        <v>15</v>
      </c>
      <c r="S246" s="94" t="str">
        <f>VLOOKUP(O246,'Lookup Values'!$I$2:$L$8,4,TRUE)</f>
        <v>Afternoon</v>
      </c>
      <c r="T246" t="s">
        <v>76</v>
      </c>
      <c r="U246" t="s">
        <v>77</v>
      </c>
      <c r="V246" t="str">
        <f t="shared" si="69"/>
        <v>Entertainment: Alcohol</v>
      </c>
      <c r="W246" t="s">
        <v>75</v>
      </c>
      <c r="X246" t="s">
        <v>88</v>
      </c>
      <c r="Y246" s="1">
        <v>138</v>
      </c>
      <c r="Z246" s="1" t="str">
        <f t="shared" si="70"/>
        <v>Entertainment: $138.00</v>
      </c>
      <c r="AA246" s="1">
        <f>IF(Y246="","",ROUND(Y246*'Lookup Values'!$A$2,2))</f>
        <v>12.25</v>
      </c>
      <c r="AB246" s="12" t="str">
        <f t="shared" si="71"/>
        <v>Expense</v>
      </c>
      <c r="AC246" s="2" t="s">
        <v>395</v>
      </c>
      <c r="AD246" s="3">
        <f t="shared" si="72"/>
        <v>39115</v>
      </c>
      <c r="AE246" s="93" t="str">
        <f t="shared" si="73"/>
        <v>NO</v>
      </c>
      <c r="AF246" s="2" t="str">
        <f t="shared" si="74"/>
        <v>NO</v>
      </c>
      <c r="AG246" t="str">
        <f t="shared" si="75"/>
        <v>Awesome Transaction</v>
      </c>
    </row>
    <row r="247" spans="1:33" x14ac:dyDescent="0.25">
      <c r="A247" s="2">
        <v>246</v>
      </c>
      <c r="B247" s="3" t="str">
        <f t="shared" si="57"/>
        <v>120725-ED-SKI</v>
      </c>
      <c r="C247" s="3">
        <v>41115</v>
      </c>
      <c r="D247" s="3">
        <f t="shared" si="59"/>
        <v>41129</v>
      </c>
      <c r="E247" s="3">
        <f t="shared" si="60"/>
        <v>41177</v>
      </c>
      <c r="F247" s="3">
        <f t="shared" si="61"/>
        <v>41121</v>
      </c>
      <c r="G247" s="76">
        <f t="shared" si="62"/>
        <v>2012</v>
      </c>
      <c r="H247" s="76">
        <f t="shared" si="63"/>
        <v>7</v>
      </c>
      <c r="I247" s="76" t="str">
        <f>VLOOKUP(H247,'Lookup Values'!$C$2:$D$13,2,FALSE)</f>
        <v>JUL</v>
      </c>
      <c r="J247" s="76">
        <f t="shared" si="64"/>
        <v>25</v>
      </c>
      <c r="K247" s="76">
        <f t="shared" si="65"/>
        <v>4</v>
      </c>
      <c r="L247" s="76" t="str">
        <f>VLOOKUP(K247,'Lookup Values'!$F$2:$G$8,2,FALSE)</f>
        <v>Wednesday</v>
      </c>
      <c r="M247" s="3">
        <v>41119</v>
      </c>
      <c r="N247" s="78">
        <f t="shared" si="58"/>
        <v>4</v>
      </c>
      <c r="O247" s="11">
        <v>6.8342771694934967E-2</v>
      </c>
      <c r="P247" s="94">
        <f t="shared" si="66"/>
        <v>1</v>
      </c>
      <c r="Q247" s="94">
        <f t="shared" si="67"/>
        <v>38</v>
      </c>
      <c r="R247" s="94">
        <f t="shared" si="68"/>
        <v>25</v>
      </c>
      <c r="S247" s="94" t="str">
        <f>VLOOKUP(O247,'Lookup Values'!$I$2:$L$8,4,TRUE)</f>
        <v>Dead of Night</v>
      </c>
      <c r="T247" t="s">
        <v>86</v>
      </c>
      <c r="U247" t="s">
        <v>98</v>
      </c>
      <c r="V247" t="str">
        <f t="shared" si="69"/>
        <v>Education: Professional Development</v>
      </c>
      <c r="W247" t="s">
        <v>97</v>
      </c>
      <c r="X247" t="s">
        <v>78</v>
      </c>
      <c r="Y247" s="1">
        <v>260</v>
      </c>
      <c r="Z247" s="1" t="str">
        <f t="shared" si="70"/>
        <v>Education: $260.00</v>
      </c>
      <c r="AA247" s="1">
        <f>IF(Y247="","",ROUND(Y247*'Lookup Values'!$A$2,2))</f>
        <v>23.08</v>
      </c>
      <c r="AB247" s="12" t="str">
        <f t="shared" si="71"/>
        <v>Expense</v>
      </c>
      <c r="AC247" s="2" t="s">
        <v>203</v>
      </c>
      <c r="AD247" s="3">
        <f t="shared" si="72"/>
        <v>41115</v>
      </c>
      <c r="AE247" s="93" t="str">
        <f t="shared" si="73"/>
        <v>YES</v>
      </c>
      <c r="AF247" s="2" t="str">
        <f t="shared" si="74"/>
        <v>NO</v>
      </c>
      <c r="AG247" t="str">
        <f t="shared" si="75"/>
        <v>CRAP Transaction</v>
      </c>
    </row>
    <row r="248" spans="1:33" x14ac:dyDescent="0.25">
      <c r="A248" s="2">
        <v>247</v>
      </c>
      <c r="B248" s="3" t="str">
        <f t="shared" si="57"/>
        <v>100226-EN-FAN</v>
      </c>
      <c r="C248" s="3">
        <v>40235</v>
      </c>
      <c r="D248" s="3">
        <f t="shared" si="59"/>
        <v>40249</v>
      </c>
      <c r="E248" s="3">
        <f t="shared" si="60"/>
        <v>40294</v>
      </c>
      <c r="F248" s="3">
        <f t="shared" si="61"/>
        <v>40237</v>
      </c>
      <c r="G248" s="76">
        <f t="shared" si="62"/>
        <v>2010</v>
      </c>
      <c r="H248" s="76">
        <f t="shared" si="63"/>
        <v>2</v>
      </c>
      <c r="I248" s="76" t="str">
        <f>VLOOKUP(H248,'Lookup Values'!$C$2:$D$13,2,FALSE)</f>
        <v>FEB</v>
      </c>
      <c r="J248" s="76">
        <f t="shared" si="64"/>
        <v>26</v>
      </c>
      <c r="K248" s="76">
        <f t="shared" si="65"/>
        <v>6</v>
      </c>
      <c r="L248" s="76" t="str">
        <f>VLOOKUP(K248,'Lookup Values'!$F$2:$G$8,2,FALSE)</f>
        <v>Friday</v>
      </c>
      <c r="M248" s="3">
        <v>40237</v>
      </c>
      <c r="N248" s="78">
        <f t="shared" si="58"/>
        <v>2</v>
      </c>
      <c r="O248" s="11">
        <v>0.10897373529596033</v>
      </c>
      <c r="P248" s="94">
        <f t="shared" si="66"/>
        <v>2</v>
      </c>
      <c r="Q248" s="94">
        <f t="shared" si="67"/>
        <v>36</v>
      </c>
      <c r="R248" s="94">
        <f t="shared" si="68"/>
        <v>55</v>
      </c>
      <c r="S248" s="94" t="str">
        <f>VLOOKUP(O248,'Lookup Values'!$I$2:$L$8,4,TRUE)</f>
        <v>Dead of Night</v>
      </c>
      <c r="T248" t="s">
        <v>76</v>
      </c>
      <c r="U248" t="s">
        <v>90</v>
      </c>
      <c r="V248" t="str">
        <f t="shared" si="69"/>
        <v>Entertainment: Movies</v>
      </c>
      <c r="W248" t="s">
        <v>89</v>
      </c>
      <c r="X248" t="s">
        <v>78</v>
      </c>
      <c r="Y248" s="1">
        <v>286</v>
      </c>
      <c r="Z248" s="1" t="str">
        <f t="shared" si="70"/>
        <v>Entertainment: $286.00</v>
      </c>
      <c r="AA248" s="1">
        <f>IF(Y248="","",ROUND(Y248*'Lookup Values'!$A$2,2))</f>
        <v>25.38</v>
      </c>
      <c r="AB248" s="12" t="str">
        <f t="shared" si="71"/>
        <v>Expense</v>
      </c>
      <c r="AC248" s="2" t="s">
        <v>396</v>
      </c>
      <c r="AD248" s="3">
        <f t="shared" si="72"/>
        <v>40235</v>
      </c>
      <c r="AE248" s="93" t="str">
        <f t="shared" si="73"/>
        <v>NO</v>
      </c>
      <c r="AF248" s="2" t="str">
        <f t="shared" si="74"/>
        <v>NO</v>
      </c>
      <c r="AG248" t="str">
        <f t="shared" si="75"/>
        <v>Late Transaction</v>
      </c>
    </row>
    <row r="249" spans="1:33" x14ac:dyDescent="0.25">
      <c r="A249" s="2">
        <v>248</v>
      </c>
      <c r="B249" s="3" t="str">
        <f t="shared" si="57"/>
        <v>080713-IN-EZE</v>
      </c>
      <c r="C249" s="3">
        <v>39642</v>
      </c>
      <c r="D249" s="3">
        <f t="shared" si="59"/>
        <v>39654</v>
      </c>
      <c r="E249" s="3">
        <f t="shared" si="60"/>
        <v>39704</v>
      </c>
      <c r="F249" s="3">
        <f t="shared" si="61"/>
        <v>39660</v>
      </c>
      <c r="G249" s="76">
        <f t="shared" si="62"/>
        <v>2008</v>
      </c>
      <c r="H249" s="76">
        <f t="shared" si="63"/>
        <v>7</v>
      </c>
      <c r="I249" s="76" t="str">
        <f>VLOOKUP(H249,'Lookup Values'!$C$2:$D$13,2,FALSE)</f>
        <v>JUL</v>
      </c>
      <c r="J249" s="76">
        <f t="shared" si="64"/>
        <v>13</v>
      </c>
      <c r="K249" s="76">
        <f t="shared" si="65"/>
        <v>1</v>
      </c>
      <c r="L249" s="76" t="str">
        <f>VLOOKUP(K249,'Lookup Values'!$F$2:$G$8,2,FALSE)</f>
        <v>Sunday</v>
      </c>
      <c r="M249" s="3">
        <v>39645</v>
      </c>
      <c r="N249" s="78">
        <f t="shared" si="58"/>
        <v>3</v>
      </c>
      <c r="O249" s="11">
        <v>0.40858443388985355</v>
      </c>
      <c r="P249" s="94">
        <f t="shared" si="66"/>
        <v>9</v>
      </c>
      <c r="Q249" s="94">
        <f t="shared" si="67"/>
        <v>48</v>
      </c>
      <c r="R249" s="94">
        <f t="shared" si="68"/>
        <v>22</v>
      </c>
      <c r="S249" s="94" t="str">
        <f>VLOOKUP(O249,'Lookup Values'!$I$2:$L$8,4,TRUE)</f>
        <v>Morning</v>
      </c>
      <c r="T249" t="s">
        <v>158</v>
      </c>
      <c r="U249" t="s">
        <v>159</v>
      </c>
      <c r="V249" t="str">
        <f t="shared" si="69"/>
        <v>Income: Salary</v>
      </c>
      <c r="W249" t="s">
        <v>162</v>
      </c>
      <c r="X249" t="s">
        <v>88</v>
      </c>
      <c r="Y249" s="1">
        <v>323</v>
      </c>
      <c r="Z249" s="1" t="str">
        <f t="shared" si="70"/>
        <v>Income: $323.00</v>
      </c>
      <c r="AA249" s="1">
        <f>IF(Y249="","",ROUND(Y249*'Lookup Values'!$A$2,2))</f>
        <v>28.67</v>
      </c>
      <c r="AB249" s="12" t="str">
        <f t="shared" si="71"/>
        <v>Income</v>
      </c>
      <c r="AC249" s="2" t="s">
        <v>397</v>
      </c>
      <c r="AD249" s="3">
        <f t="shared" si="72"/>
        <v>39642</v>
      </c>
      <c r="AE249" s="93" t="str">
        <f t="shared" si="73"/>
        <v>NO</v>
      </c>
      <c r="AF249" s="2" t="str">
        <f t="shared" si="74"/>
        <v>NO</v>
      </c>
      <c r="AG249" t="str">
        <f t="shared" si="75"/>
        <v>Late Transaction</v>
      </c>
    </row>
    <row r="250" spans="1:33" x14ac:dyDescent="0.25">
      <c r="A250" s="2">
        <v>249</v>
      </c>
      <c r="B250" s="3" t="str">
        <f t="shared" si="57"/>
        <v>110903-HE-FRE</v>
      </c>
      <c r="C250" s="3">
        <v>40789</v>
      </c>
      <c r="D250" s="3">
        <f t="shared" si="59"/>
        <v>40802</v>
      </c>
      <c r="E250" s="3">
        <f t="shared" si="60"/>
        <v>40850</v>
      </c>
      <c r="F250" s="3">
        <f t="shared" si="61"/>
        <v>40816</v>
      </c>
      <c r="G250" s="76">
        <f t="shared" si="62"/>
        <v>2011</v>
      </c>
      <c r="H250" s="76">
        <f t="shared" si="63"/>
        <v>9</v>
      </c>
      <c r="I250" s="76" t="str">
        <f>VLOOKUP(H250,'Lookup Values'!$C$2:$D$13,2,FALSE)</f>
        <v>SEP</v>
      </c>
      <c r="J250" s="76">
        <f t="shared" si="64"/>
        <v>3</v>
      </c>
      <c r="K250" s="76">
        <f t="shared" si="65"/>
        <v>7</v>
      </c>
      <c r="L250" s="76" t="str">
        <f>VLOOKUP(K250,'Lookup Values'!$F$2:$G$8,2,FALSE)</f>
        <v>Saturday</v>
      </c>
      <c r="M250" s="3">
        <v>40795</v>
      </c>
      <c r="N250" s="78">
        <f t="shared" si="58"/>
        <v>6</v>
      </c>
      <c r="O250" s="11">
        <v>0.39625782660984588</v>
      </c>
      <c r="P250" s="94">
        <f t="shared" si="66"/>
        <v>9</v>
      </c>
      <c r="Q250" s="94">
        <f t="shared" si="67"/>
        <v>30</v>
      </c>
      <c r="R250" s="94">
        <f t="shared" si="68"/>
        <v>37</v>
      </c>
      <c r="S250" s="94" t="str">
        <f>VLOOKUP(O250,'Lookup Values'!$I$2:$L$8,4,TRUE)</f>
        <v>Morning</v>
      </c>
      <c r="T250" t="s">
        <v>107</v>
      </c>
      <c r="U250" t="s">
        <v>108</v>
      </c>
      <c r="V250" t="str">
        <f t="shared" si="69"/>
        <v>Health: Insurance Premium</v>
      </c>
      <c r="W250" t="s">
        <v>106</v>
      </c>
      <c r="X250" t="s">
        <v>78</v>
      </c>
      <c r="Y250" s="1">
        <v>182</v>
      </c>
      <c r="Z250" s="1" t="str">
        <f t="shared" si="70"/>
        <v>Health: $182.00</v>
      </c>
      <c r="AA250" s="1">
        <f>IF(Y250="","",ROUND(Y250*'Lookup Values'!$A$2,2))</f>
        <v>16.149999999999999</v>
      </c>
      <c r="AB250" s="12" t="str">
        <f t="shared" si="71"/>
        <v>Expense</v>
      </c>
      <c r="AC250" s="2" t="s">
        <v>398</v>
      </c>
      <c r="AD250" s="3">
        <f t="shared" si="72"/>
        <v>40789</v>
      </c>
      <c r="AE250" s="93" t="str">
        <f t="shared" si="73"/>
        <v>NO</v>
      </c>
      <c r="AF250" s="2" t="str">
        <f t="shared" si="74"/>
        <v>NO</v>
      </c>
      <c r="AG250" t="str">
        <f t="shared" si="75"/>
        <v>CRAP Transaction</v>
      </c>
    </row>
    <row r="251" spans="1:33" x14ac:dyDescent="0.25">
      <c r="A251" s="2">
        <v>250</v>
      </c>
      <c r="B251" s="3" t="str">
        <f t="shared" si="57"/>
        <v>071103-EN-FAN</v>
      </c>
      <c r="C251" s="3">
        <v>39389</v>
      </c>
      <c r="D251" s="3">
        <f t="shared" si="59"/>
        <v>39402</v>
      </c>
      <c r="E251" s="3">
        <f t="shared" si="60"/>
        <v>39450</v>
      </c>
      <c r="F251" s="3">
        <f t="shared" si="61"/>
        <v>39416</v>
      </c>
      <c r="G251" s="76">
        <f t="shared" si="62"/>
        <v>2007</v>
      </c>
      <c r="H251" s="76">
        <f t="shared" si="63"/>
        <v>11</v>
      </c>
      <c r="I251" s="76" t="str">
        <f>VLOOKUP(H251,'Lookup Values'!$C$2:$D$13,2,FALSE)</f>
        <v>NOV</v>
      </c>
      <c r="J251" s="76">
        <f t="shared" si="64"/>
        <v>3</v>
      </c>
      <c r="K251" s="76">
        <f t="shared" si="65"/>
        <v>7</v>
      </c>
      <c r="L251" s="76" t="str">
        <f>VLOOKUP(K251,'Lookup Values'!$F$2:$G$8,2,FALSE)</f>
        <v>Saturday</v>
      </c>
      <c r="M251" s="3">
        <v>39395</v>
      </c>
      <c r="N251" s="78">
        <f t="shared" si="58"/>
        <v>6</v>
      </c>
      <c r="O251" s="11">
        <v>0.78802445008593958</v>
      </c>
      <c r="P251" s="94">
        <f t="shared" si="66"/>
        <v>18</v>
      </c>
      <c r="Q251" s="94">
        <f t="shared" si="67"/>
        <v>54</v>
      </c>
      <c r="R251" s="94">
        <f t="shared" si="68"/>
        <v>45</v>
      </c>
      <c r="S251" s="94" t="str">
        <f>VLOOKUP(O251,'Lookup Values'!$I$2:$L$8,4,TRUE)</f>
        <v>Evening</v>
      </c>
      <c r="T251" t="s">
        <v>76</v>
      </c>
      <c r="U251" t="s">
        <v>90</v>
      </c>
      <c r="V251" t="str">
        <f t="shared" si="69"/>
        <v>Entertainment: Movies</v>
      </c>
      <c r="W251" t="s">
        <v>89</v>
      </c>
      <c r="X251" t="s">
        <v>78</v>
      </c>
      <c r="Y251" s="1">
        <v>14</v>
      </c>
      <c r="Z251" s="1" t="str">
        <f t="shared" si="70"/>
        <v>Entertainment: $14.00</v>
      </c>
      <c r="AA251" s="1">
        <f>IF(Y251="","",ROUND(Y251*'Lookup Values'!$A$2,2))</f>
        <v>1.24</v>
      </c>
      <c r="AB251" s="12" t="str">
        <f t="shared" si="71"/>
        <v>Expense</v>
      </c>
      <c r="AC251" s="2" t="s">
        <v>399</v>
      </c>
      <c r="AD251" s="3">
        <f t="shared" si="72"/>
        <v>39389</v>
      </c>
      <c r="AE251" s="93" t="str">
        <f t="shared" si="73"/>
        <v>NO</v>
      </c>
      <c r="AF251" s="2" t="str">
        <f t="shared" si="74"/>
        <v>NO</v>
      </c>
      <c r="AG251" t="str">
        <f t="shared" si="75"/>
        <v>Awesome Transaction</v>
      </c>
    </row>
    <row r="252" spans="1:33" x14ac:dyDescent="0.25">
      <c r="A252" s="2">
        <v>251</v>
      </c>
      <c r="B252" s="3" t="str">
        <f t="shared" si="57"/>
        <v>090510-BI-CON</v>
      </c>
      <c r="C252" s="3">
        <v>39943</v>
      </c>
      <c r="D252" s="3">
        <f t="shared" si="59"/>
        <v>39955</v>
      </c>
      <c r="E252" s="3">
        <f t="shared" si="60"/>
        <v>40004</v>
      </c>
      <c r="F252" s="3">
        <f t="shared" si="61"/>
        <v>39964</v>
      </c>
      <c r="G252" s="76">
        <f t="shared" si="62"/>
        <v>2009</v>
      </c>
      <c r="H252" s="76">
        <f t="shared" si="63"/>
        <v>5</v>
      </c>
      <c r="I252" s="76" t="str">
        <f>VLOOKUP(H252,'Lookup Values'!$C$2:$D$13,2,FALSE)</f>
        <v>MAY</v>
      </c>
      <c r="J252" s="76">
        <f t="shared" si="64"/>
        <v>10</v>
      </c>
      <c r="K252" s="76">
        <f t="shared" si="65"/>
        <v>1</v>
      </c>
      <c r="L252" s="76" t="str">
        <f>VLOOKUP(K252,'Lookup Values'!$F$2:$G$8,2,FALSE)</f>
        <v>Sunday</v>
      </c>
      <c r="M252" s="3">
        <v>39945</v>
      </c>
      <c r="N252" s="78">
        <f t="shared" si="58"/>
        <v>2</v>
      </c>
      <c r="O252" s="11">
        <v>0.62260302696533587</v>
      </c>
      <c r="P252" s="94">
        <f t="shared" si="66"/>
        <v>14</v>
      </c>
      <c r="Q252" s="94">
        <f t="shared" si="67"/>
        <v>56</v>
      </c>
      <c r="R252" s="94">
        <f t="shared" si="68"/>
        <v>33</v>
      </c>
      <c r="S252" s="94" t="str">
        <f>VLOOKUP(O252,'Lookup Values'!$I$2:$L$8,4,TRUE)</f>
        <v>Afternoon</v>
      </c>
      <c r="T252" t="s">
        <v>110</v>
      </c>
      <c r="U252" t="s">
        <v>111</v>
      </c>
      <c r="V252" t="str">
        <f t="shared" si="69"/>
        <v>Bills: Utilities</v>
      </c>
      <c r="W252" t="s">
        <v>109</v>
      </c>
      <c r="X252" t="s">
        <v>78</v>
      </c>
      <c r="Y252" s="1">
        <v>280</v>
      </c>
      <c r="Z252" s="1" t="str">
        <f t="shared" si="70"/>
        <v>Bills: $280.00</v>
      </c>
      <c r="AA252" s="1">
        <f>IF(Y252="","",ROUND(Y252*'Lookup Values'!$A$2,2))</f>
        <v>24.85</v>
      </c>
      <c r="AB252" s="12" t="str">
        <f t="shared" si="71"/>
        <v>Expense</v>
      </c>
      <c r="AC252" s="2" t="s">
        <v>400</v>
      </c>
      <c r="AD252" s="3">
        <f t="shared" si="72"/>
        <v>39943</v>
      </c>
      <c r="AE252" s="93" t="str">
        <f t="shared" si="73"/>
        <v>NO</v>
      </c>
      <c r="AF252" s="2" t="str">
        <f t="shared" si="74"/>
        <v>NO</v>
      </c>
      <c r="AG252" t="str">
        <f t="shared" si="75"/>
        <v>Late Transaction</v>
      </c>
    </row>
    <row r="253" spans="1:33" x14ac:dyDescent="0.25">
      <c r="A253" s="2">
        <v>252</v>
      </c>
      <c r="B253" s="3" t="str">
        <f t="shared" si="57"/>
        <v>100926-ED-SKI</v>
      </c>
      <c r="C253" s="3">
        <v>40447</v>
      </c>
      <c r="D253" s="3">
        <f t="shared" si="59"/>
        <v>40459</v>
      </c>
      <c r="E253" s="3">
        <f t="shared" si="60"/>
        <v>40508</v>
      </c>
      <c r="F253" s="3">
        <f t="shared" si="61"/>
        <v>40451</v>
      </c>
      <c r="G253" s="76">
        <f t="shared" si="62"/>
        <v>2010</v>
      </c>
      <c r="H253" s="76">
        <f t="shared" si="63"/>
        <v>9</v>
      </c>
      <c r="I253" s="76" t="str">
        <f>VLOOKUP(H253,'Lookup Values'!$C$2:$D$13,2,FALSE)</f>
        <v>SEP</v>
      </c>
      <c r="J253" s="76">
        <f t="shared" si="64"/>
        <v>26</v>
      </c>
      <c r="K253" s="76">
        <f t="shared" si="65"/>
        <v>1</v>
      </c>
      <c r="L253" s="76" t="str">
        <f>VLOOKUP(K253,'Lookup Values'!$F$2:$G$8,2,FALSE)</f>
        <v>Sunday</v>
      </c>
      <c r="M253" s="3">
        <v>40453</v>
      </c>
      <c r="N253" s="78">
        <f t="shared" si="58"/>
        <v>6</v>
      </c>
      <c r="O253" s="11">
        <v>0.43648089129554535</v>
      </c>
      <c r="P253" s="94">
        <f t="shared" si="66"/>
        <v>10</v>
      </c>
      <c r="Q253" s="94">
        <f t="shared" si="67"/>
        <v>28</v>
      </c>
      <c r="R253" s="94">
        <f t="shared" si="68"/>
        <v>32</v>
      </c>
      <c r="S253" s="94" t="str">
        <f>VLOOKUP(O253,'Lookup Values'!$I$2:$L$8,4,TRUE)</f>
        <v>Late Morning</v>
      </c>
      <c r="T253" t="s">
        <v>86</v>
      </c>
      <c r="U253" t="s">
        <v>98</v>
      </c>
      <c r="V253" t="str">
        <f t="shared" si="69"/>
        <v>Education: Professional Development</v>
      </c>
      <c r="W253" t="s">
        <v>97</v>
      </c>
      <c r="X253" t="s">
        <v>91</v>
      </c>
      <c r="Y253" s="1">
        <v>327</v>
      </c>
      <c r="Z253" s="1" t="str">
        <f t="shared" si="70"/>
        <v>Education: $327.00</v>
      </c>
      <c r="AA253" s="1">
        <f>IF(Y253="","",ROUND(Y253*'Lookup Values'!$A$2,2))</f>
        <v>29.02</v>
      </c>
      <c r="AB253" s="12" t="str">
        <f t="shared" si="71"/>
        <v>Expense</v>
      </c>
      <c r="AC253" s="2" t="s">
        <v>401</v>
      </c>
      <c r="AD253" s="3">
        <f t="shared" si="72"/>
        <v>40447</v>
      </c>
      <c r="AE253" s="93" t="str">
        <f t="shared" si="73"/>
        <v>YES</v>
      </c>
      <c r="AF253" s="2" t="str">
        <f t="shared" si="74"/>
        <v>NO</v>
      </c>
      <c r="AG253" t="str">
        <f t="shared" si="75"/>
        <v>Late Transaction</v>
      </c>
    </row>
    <row r="254" spans="1:33" x14ac:dyDescent="0.25">
      <c r="A254" s="2">
        <v>253</v>
      </c>
      <c r="B254" s="3" t="str">
        <f t="shared" si="57"/>
        <v>121016-IN-AUN</v>
      </c>
      <c r="C254" s="3">
        <v>41198</v>
      </c>
      <c r="D254" s="3">
        <f t="shared" si="59"/>
        <v>41212</v>
      </c>
      <c r="E254" s="3">
        <f t="shared" si="60"/>
        <v>41259</v>
      </c>
      <c r="F254" s="3">
        <f t="shared" si="61"/>
        <v>41213</v>
      </c>
      <c r="G254" s="76">
        <f t="shared" si="62"/>
        <v>2012</v>
      </c>
      <c r="H254" s="76">
        <f t="shared" si="63"/>
        <v>10</v>
      </c>
      <c r="I254" s="76" t="str">
        <f>VLOOKUP(H254,'Lookup Values'!$C$2:$D$13,2,FALSE)</f>
        <v>OCT</v>
      </c>
      <c r="J254" s="76">
        <f t="shared" si="64"/>
        <v>16</v>
      </c>
      <c r="K254" s="76">
        <f t="shared" si="65"/>
        <v>3</v>
      </c>
      <c r="L254" s="76" t="str">
        <f>VLOOKUP(K254,'Lookup Values'!$F$2:$G$8,2,FALSE)</f>
        <v>Tuesday</v>
      </c>
      <c r="M254" s="3">
        <v>41200</v>
      </c>
      <c r="N254" s="78">
        <f t="shared" si="58"/>
        <v>2</v>
      </c>
      <c r="O254" s="11">
        <v>0.84762216882223118</v>
      </c>
      <c r="P254" s="94">
        <f t="shared" si="66"/>
        <v>20</v>
      </c>
      <c r="Q254" s="94">
        <f t="shared" si="67"/>
        <v>20</v>
      </c>
      <c r="R254" s="94">
        <f t="shared" si="68"/>
        <v>35</v>
      </c>
      <c r="S254" s="94" t="str">
        <f>VLOOKUP(O254,'Lookup Values'!$I$2:$L$8,4,TRUE)</f>
        <v>Evening</v>
      </c>
      <c r="T254" t="s">
        <v>158</v>
      </c>
      <c r="U254" t="s">
        <v>161</v>
      </c>
      <c r="V254" t="str">
        <f t="shared" si="69"/>
        <v>Income: Gift Received</v>
      </c>
      <c r="W254" t="s">
        <v>164</v>
      </c>
      <c r="X254" t="s">
        <v>88</v>
      </c>
      <c r="Y254" s="1">
        <v>94</v>
      </c>
      <c r="Z254" s="1" t="str">
        <f t="shared" si="70"/>
        <v>Income: $94.00</v>
      </c>
      <c r="AA254" s="1">
        <f>IF(Y254="","",ROUND(Y254*'Lookup Values'!$A$2,2))</f>
        <v>8.34</v>
      </c>
      <c r="AB254" s="12" t="str">
        <f t="shared" si="71"/>
        <v>Income</v>
      </c>
      <c r="AC254" s="2" t="s">
        <v>402</v>
      </c>
      <c r="AD254" s="3">
        <f t="shared" si="72"/>
        <v>41198</v>
      </c>
      <c r="AE254" s="93" t="str">
        <f t="shared" si="73"/>
        <v>NO</v>
      </c>
      <c r="AF254" s="2" t="str">
        <f t="shared" si="74"/>
        <v>NO</v>
      </c>
      <c r="AG254" t="str">
        <f t="shared" si="75"/>
        <v>CRAP Transaction</v>
      </c>
    </row>
    <row r="255" spans="1:33" x14ac:dyDescent="0.25">
      <c r="A255" s="2">
        <v>254</v>
      </c>
      <c r="B255" s="3" t="str">
        <f t="shared" si="57"/>
        <v>090104-SH-EXP</v>
      </c>
      <c r="C255" s="3">
        <v>39817</v>
      </c>
      <c r="D255" s="3">
        <f t="shared" si="59"/>
        <v>39829</v>
      </c>
      <c r="E255" s="3">
        <f t="shared" si="60"/>
        <v>39876</v>
      </c>
      <c r="F255" s="3">
        <f t="shared" si="61"/>
        <v>39844</v>
      </c>
      <c r="G255" s="76">
        <f t="shared" si="62"/>
        <v>2009</v>
      </c>
      <c r="H255" s="76">
        <f t="shared" si="63"/>
        <v>1</v>
      </c>
      <c r="I255" s="76" t="str">
        <f>VLOOKUP(H255,'Lookup Values'!$C$2:$D$13,2,FALSE)</f>
        <v>JAN</v>
      </c>
      <c r="J255" s="76">
        <f t="shared" si="64"/>
        <v>4</v>
      </c>
      <c r="K255" s="76">
        <f t="shared" si="65"/>
        <v>1</v>
      </c>
      <c r="L255" s="76" t="str">
        <f>VLOOKUP(K255,'Lookup Values'!$F$2:$G$8,2,FALSE)</f>
        <v>Sunday</v>
      </c>
      <c r="M255" s="3">
        <v>39822</v>
      </c>
      <c r="N255" s="78">
        <f t="shared" si="58"/>
        <v>5</v>
      </c>
      <c r="O255" s="11">
        <v>0.47208913265913421</v>
      </c>
      <c r="P255" s="94">
        <f t="shared" si="66"/>
        <v>11</v>
      </c>
      <c r="Q255" s="94">
        <f t="shared" si="67"/>
        <v>19</v>
      </c>
      <c r="R255" s="94">
        <f t="shared" si="68"/>
        <v>49</v>
      </c>
      <c r="S255" s="94" t="str">
        <f>VLOOKUP(O255,'Lookup Values'!$I$2:$L$8,4,TRUE)</f>
        <v>Late Morning</v>
      </c>
      <c r="T255" t="s">
        <v>83</v>
      </c>
      <c r="U255" t="s">
        <v>103</v>
      </c>
      <c r="V255" t="str">
        <f t="shared" si="69"/>
        <v>Shopping: Clothing</v>
      </c>
      <c r="W255" t="s">
        <v>102</v>
      </c>
      <c r="X255" t="s">
        <v>91</v>
      </c>
      <c r="Y255" s="1">
        <v>311</v>
      </c>
      <c r="Z255" s="1" t="str">
        <f t="shared" si="70"/>
        <v>Shopping: $311.00</v>
      </c>
      <c r="AA255" s="1">
        <f>IF(Y255="","",ROUND(Y255*'Lookup Values'!$A$2,2))</f>
        <v>27.6</v>
      </c>
      <c r="AB255" s="12" t="str">
        <f t="shared" si="71"/>
        <v>Expense</v>
      </c>
      <c r="AC255" s="2" t="s">
        <v>403</v>
      </c>
      <c r="AD255" s="3">
        <f t="shared" si="72"/>
        <v>39817</v>
      </c>
      <c r="AE255" s="93" t="str">
        <f t="shared" si="73"/>
        <v>NO</v>
      </c>
      <c r="AF255" s="2" t="str">
        <f t="shared" si="74"/>
        <v>NO</v>
      </c>
      <c r="AG255" t="str">
        <f t="shared" si="75"/>
        <v>Awesome Transaction</v>
      </c>
    </row>
    <row r="256" spans="1:33" x14ac:dyDescent="0.25">
      <c r="A256" s="2">
        <v>255</v>
      </c>
      <c r="B256" s="3" t="str">
        <f t="shared" si="57"/>
        <v>080301-ED-ANT</v>
      </c>
      <c r="C256" s="3">
        <v>39508</v>
      </c>
      <c r="D256" s="3">
        <f t="shared" si="59"/>
        <v>39521</v>
      </c>
      <c r="E256" s="3">
        <f t="shared" si="60"/>
        <v>39569</v>
      </c>
      <c r="F256" s="3">
        <f t="shared" si="61"/>
        <v>39538</v>
      </c>
      <c r="G256" s="76">
        <f t="shared" si="62"/>
        <v>2008</v>
      </c>
      <c r="H256" s="76">
        <f t="shared" si="63"/>
        <v>3</v>
      </c>
      <c r="I256" s="76" t="str">
        <f>VLOOKUP(H256,'Lookup Values'!$C$2:$D$13,2,FALSE)</f>
        <v>MAR</v>
      </c>
      <c r="J256" s="76">
        <f t="shared" si="64"/>
        <v>1</v>
      </c>
      <c r="K256" s="76">
        <f t="shared" si="65"/>
        <v>7</v>
      </c>
      <c r="L256" s="76" t="str">
        <f>VLOOKUP(K256,'Lookup Values'!$F$2:$G$8,2,FALSE)</f>
        <v>Saturday</v>
      </c>
      <c r="M256" s="3">
        <v>39515</v>
      </c>
      <c r="N256" s="78">
        <f t="shared" si="58"/>
        <v>7</v>
      </c>
      <c r="O256" s="11">
        <v>0.2145887828096219</v>
      </c>
      <c r="P256" s="94">
        <f t="shared" si="66"/>
        <v>5</v>
      </c>
      <c r="Q256" s="94">
        <f t="shared" si="67"/>
        <v>9</v>
      </c>
      <c r="R256" s="94">
        <f t="shared" si="68"/>
        <v>0</v>
      </c>
      <c r="S256" s="94" t="str">
        <f>VLOOKUP(O256,'Lookup Values'!$I$2:$L$8,4,TRUE)</f>
        <v>Early Morning</v>
      </c>
      <c r="T256" t="s">
        <v>86</v>
      </c>
      <c r="U256" t="s">
        <v>87</v>
      </c>
      <c r="V256" t="str">
        <f t="shared" si="69"/>
        <v>Education: Tango Lessons</v>
      </c>
      <c r="W256" t="s">
        <v>85</v>
      </c>
      <c r="X256" t="s">
        <v>91</v>
      </c>
      <c r="Y256" s="1">
        <v>122</v>
      </c>
      <c r="Z256" s="1" t="str">
        <f t="shared" si="70"/>
        <v>Education: $122.00</v>
      </c>
      <c r="AA256" s="1">
        <f>IF(Y256="","",ROUND(Y256*'Lookup Values'!$A$2,2))</f>
        <v>10.83</v>
      </c>
      <c r="AB256" s="12" t="str">
        <f t="shared" si="71"/>
        <v>Expense</v>
      </c>
      <c r="AC256" s="2" t="s">
        <v>404</v>
      </c>
      <c r="AD256" s="3">
        <f t="shared" si="72"/>
        <v>39508</v>
      </c>
      <c r="AE256" s="93" t="str">
        <f t="shared" si="73"/>
        <v>NO</v>
      </c>
      <c r="AF256" s="2" t="str">
        <f t="shared" si="74"/>
        <v>NO</v>
      </c>
      <c r="AG256" t="str">
        <f t="shared" si="75"/>
        <v>Late Transaction</v>
      </c>
    </row>
    <row r="257" spans="1:33" x14ac:dyDescent="0.25">
      <c r="A257" s="2">
        <v>256</v>
      </c>
      <c r="B257" s="3" t="str">
        <f t="shared" si="57"/>
        <v>101209-ED-SKI</v>
      </c>
      <c r="C257" s="3">
        <v>40521</v>
      </c>
      <c r="D257" s="3">
        <f t="shared" si="59"/>
        <v>40535</v>
      </c>
      <c r="E257" s="3">
        <f t="shared" si="60"/>
        <v>40583</v>
      </c>
      <c r="F257" s="3">
        <f t="shared" si="61"/>
        <v>40543</v>
      </c>
      <c r="G257" s="76">
        <f t="shared" si="62"/>
        <v>2010</v>
      </c>
      <c r="H257" s="76">
        <f t="shared" si="63"/>
        <v>12</v>
      </c>
      <c r="I257" s="76" t="str">
        <f>VLOOKUP(H257,'Lookup Values'!$C$2:$D$13,2,FALSE)</f>
        <v>DEC</v>
      </c>
      <c r="J257" s="76">
        <f t="shared" si="64"/>
        <v>9</v>
      </c>
      <c r="K257" s="76">
        <f t="shared" si="65"/>
        <v>5</v>
      </c>
      <c r="L257" s="76" t="str">
        <f>VLOOKUP(K257,'Lookup Values'!$F$2:$G$8,2,FALSE)</f>
        <v>Thursday</v>
      </c>
      <c r="M257" s="3">
        <v>40523</v>
      </c>
      <c r="N257" s="78">
        <f t="shared" si="58"/>
        <v>2</v>
      </c>
      <c r="O257" s="11">
        <v>0.81028616473457382</v>
      </c>
      <c r="P257" s="94">
        <f t="shared" si="66"/>
        <v>19</v>
      </c>
      <c r="Q257" s="94">
        <f t="shared" si="67"/>
        <v>26</v>
      </c>
      <c r="R257" s="94">
        <f t="shared" si="68"/>
        <v>49</v>
      </c>
      <c r="S257" s="94" t="str">
        <f>VLOOKUP(O257,'Lookup Values'!$I$2:$L$8,4,TRUE)</f>
        <v>Evening</v>
      </c>
      <c r="T257" t="s">
        <v>86</v>
      </c>
      <c r="U257" t="s">
        <v>98</v>
      </c>
      <c r="V257" t="str">
        <f t="shared" si="69"/>
        <v>Education: Professional Development</v>
      </c>
      <c r="W257" t="s">
        <v>97</v>
      </c>
      <c r="X257" t="s">
        <v>91</v>
      </c>
      <c r="Y257" s="1">
        <v>461</v>
      </c>
      <c r="Z257" s="1" t="str">
        <f t="shared" si="70"/>
        <v>Education: $461.00</v>
      </c>
      <c r="AA257" s="1">
        <f>IF(Y257="","",ROUND(Y257*'Lookup Values'!$A$2,2))</f>
        <v>40.909999999999997</v>
      </c>
      <c r="AB257" s="12" t="str">
        <f t="shared" si="71"/>
        <v>Expense</v>
      </c>
      <c r="AC257" s="2" t="s">
        <v>405</v>
      </c>
      <c r="AD257" s="3">
        <f t="shared" si="72"/>
        <v>40521</v>
      </c>
      <c r="AE257" s="93" t="str">
        <f t="shared" si="73"/>
        <v>YES</v>
      </c>
      <c r="AF257" s="2" t="str">
        <f t="shared" si="74"/>
        <v>YES</v>
      </c>
      <c r="AG257" t="str">
        <f t="shared" si="75"/>
        <v>Late Transaction</v>
      </c>
    </row>
    <row r="258" spans="1:33" x14ac:dyDescent="0.25">
      <c r="A258" s="2">
        <v>257</v>
      </c>
      <c r="B258" s="3" t="str">
        <f t="shared" ref="B258:B321" si="76">TEXT(C258,"yymmdd") &amp; "-" &amp; UPPER(LEFT(T258,2)) &amp; "-" &amp; UPPER(LEFT(W258,3))</f>
        <v>100403-EN-FAN</v>
      </c>
      <c r="C258" s="3">
        <v>40271</v>
      </c>
      <c r="D258" s="3">
        <f t="shared" si="59"/>
        <v>40284</v>
      </c>
      <c r="E258" s="3">
        <f t="shared" si="60"/>
        <v>40332</v>
      </c>
      <c r="F258" s="3">
        <f t="shared" si="61"/>
        <v>40298</v>
      </c>
      <c r="G258" s="76">
        <f t="shared" si="62"/>
        <v>2010</v>
      </c>
      <c r="H258" s="76">
        <f t="shared" si="63"/>
        <v>4</v>
      </c>
      <c r="I258" s="76" t="str">
        <f>VLOOKUP(H258,'Lookup Values'!$C$2:$D$13,2,FALSE)</f>
        <v>APR</v>
      </c>
      <c r="J258" s="76">
        <f t="shared" si="64"/>
        <v>3</v>
      </c>
      <c r="K258" s="76">
        <f t="shared" si="65"/>
        <v>7</v>
      </c>
      <c r="L258" s="76" t="str">
        <f>VLOOKUP(K258,'Lookup Values'!$F$2:$G$8,2,FALSE)</f>
        <v>Saturday</v>
      </c>
      <c r="M258" s="3">
        <v>40272</v>
      </c>
      <c r="N258" s="78">
        <f t="shared" ref="N258:N321" si="77">M258-C258</f>
        <v>1</v>
      </c>
      <c r="O258" s="11">
        <v>0.28101391976329559</v>
      </c>
      <c r="P258" s="94">
        <f t="shared" si="66"/>
        <v>6</v>
      </c>
      <c r="Q258" s="94">
        <f t="shared" si="67"/>
        <v>44</v>
      </c>
      <c r="R258" s="94">
        <f t="shared" si="68"/>
        <v>40</v>
      </c>
      <c r="S258" s="94" t="str">
        <f>VLOOKUP(O258,'Lookup Values'!$I$2:$L$8,4,TRUE)</f>
        <v>Early Morning</v>
      </c>
      <c r="T258" t="s">
        <v>76</v>
      </c>
      <c r="U258" t="s">
        <v>90</v>
      </c>
      <c r="V258" t="str">
        <f t="shared" si="69"/>
        <v>Entertainment: Movies</v>
      </c>
      <c r="W258" t="s">
        <v>89</v>
      </c>
      <c r="X258" t="s">
        <v>78</v>
      </c>
      <c r="Y258" s="1">
        <v>368</v>
      </c>
      <c r="Z258" s="1" t="str">
        <f t="shared" si="70"/>
        <v>Entertainment: $368.00</v>
      </c>
      <c r="AA258" s="1">
        <f>IF(Y258="","",ROUND(Y258*'Lookup Values'!$A$2,2))</f>
        <v>32.659999999999997</v>
      </c>
      <c r="AB258" s="12" t="str">
        <f t="shared" si="71"/>
        <v>Expense</v>
      </c>
      <c r="AC258" s="2" t="s">
        <v>406</v>
      </c>
      <c r="AD258" s="3">
        <f t="shared" si="72"/>
        <v>40271</v>
      </c>
      <c r="AE258" s="93" t="str">
        <f t="shared" si="73"/>
        <v>NO</v>
      </c>
      <c r="AF258" s="2" t="str">
        <f t="shared" si="74"/>
        <v>NO</v>
      </c>
      <c r="AG258" t="str">
        <f t="shared" si="75"/>
        <v>Late Transaction</v>
      </c>
    </row>
    <row r="259" spans="1:33" x14ac:dyDescent="0.25">
      <c r="A259" s="2">
        <v>258</v>
      </c>
      <c r="B259" s="3" t="str">
        <f t="shared" si="76"/>
        <v>100627-FO-TRA</v>
      </c>
      <c r="C259" s="3">
        <v>40356</v>
      </c>
      <c r="D259" s="3">
        <f t="shared" ref="D259:D322" si="78">WORKDAY(C259,10)</f>
        <v>40368</v>
      </c>
      <c r="E259" s="3">
        <f t="shared" ref="E259:E322" si="79">EDATE(C259,2)</f>
        <v>40417</v>
      </c>
      <c r="F259" s="3">
        <f t="shared" ref="F259:F322" si="80">EOMONTH(C259,0)</f>
        <v>40359</v>
      </c>
      <c r="G259" s="76">
        <f t="shared" ref="G259:G322" si="81">YEAR(C259)</f>
        <v>2010</v>
      </c>
      <c r="H259" s="76">
        <f t="shared" ref="H259:H322" si="82">MONTH(C259)</f>
        <v>6</v>
      </c>
      <c r="I259" s="76" t="str">
        <f>VLOOKUP(H259,'Lookup Values'!$C$2:$D$13,2,FALSE)</f>
        <v>JUN</v>
      </c>
      <c r="J259" s="76">
        <f t="shared" ref="J259:J322" si="83">DAY(C259)</f>
        <v>27</v>
      </c>
      <c r="K259" s="76">
        <f t="shared" ref="K259:K322" si="84">WEEKDAY(C259)</f>
        <v>1</v>
      </c>
      <c r="L259" s="76" t="str">
        <f>VLOOKUP(K259,'Lookup Values'!$F$2:$G$8,2,FALSE)</f>
        <v>Sunday</v>
      </c>
      <c r="M259" s="3">
        <v>40361</v>
      </c>
      <c r="N259" s="78">
        <f t="shared" si="77"/>
        <v>5</v>
      </c>
      <c r="O259" s="11">
        <v>0.54853220917621404</v>
      </c>
      <c r="P259" s="94">
        <f t="shared" ref="P259:P322" si="85">HOUR(O259)</f>
        <v>13</v>
      </c>
      <c r="Q259" s="94">
        <f t="shared" ref="Q259:Q322" si="86">MINUTE(O259)</f>
        <v>9</v>
      </c>
      <c r="R259" s="94">
        <f t="shared" ref="R259:R322" si="87">SECOND(O259)</f>
        <v>53</v>
      </c>
      <c r="S259" s="94" t="str">
        <f>VLOOKUP(O259,'Lookup Values'!$I$2:$L$8,4,TRUE)</f>
        <v>Afternoon</v>
      </c>
      <c r="T259" t="s">
        <v>80</v>
      </c>
      <c r="U259" t="s">
        <v>93</v>
      </c>
      <c r="V259" t="str">
        <f t="shared" ref="V259:V322" si="88">T259 &amp; ": " &amp; U259</f>
        <v>Food: Groceries</v>
      </c>
      <c r="W259" t="s">
        <v>92</v>
      </c>
      <c r="X259" t="s">
        <v>91</v>
      </c>
      <c r="Y259" s="1">
        <v>329</v>
      </c>
      <c r="Z259" s="1" t="str">
        <f t="shared" ref="Z259:Z322" si="89">T259 &amp; ": " &amp; TEXT(Y259,"$#,###.00")</f>
        <v>Food: $329.00</v>
      </c>
      <c r="AA259" s="1">
        <f>IF(Y259="","",ROUND(Y259*'Lookup Values'!$A$2,2))</f>
        <v>29.2</v>
      </c>
      <c r="AB259" s="12" t="str">
        <f t="shared" ref="AB259:AB322" si="90">IF(T259="Income","Income","Expense")</f>
        <v>Expense</v>
      </c>
      <c r="AC259" s="2" t="s">
        <v>407</v>
      </c>
      <c r="AD259" s="3">
        <f t="shared" ref="AD259:AD322" si="91">VALUE(SUBSTITUTE(AC259,".","/"))</f>
        <v>40356</v>
      </c>
      <c r="AE259" s="93" t="str">
        <f t="shared" ref="AE259:AE322" si="92">IF(OR(T259="Transportation",U259="Professional Development",U259="Electronics"),"YES","NO")</f>
        <v>NO</v>
      </c>
      <c r="AF259" s="2" t="str">
        <f t="shared" ref="AF259:AF322" si="93">IF(AND(AE259="YES",Y259&gt;=400),"YES","NO")</f>
        <v>NO</v>
      </c>
      <c r="AG259" t="str">
        <f t="shared" ref="AG259:AG322" si="94">IF(AND(AND(G259&gt;=2007,G259&lt;=2009),OR(W259&lt;&gt;"MTA",W259&lt;&gt;"Fandango"),OR(T259="Food",T259="Shopping",T259="Entertainment")),"Awesome Transaction",IF(AND(G259&lt;=2010,U259&lt;&gt;"Alcohol"),"Late Transaction",IF(G259=2006,"Early Transaction","CRAP Transaction")))</f>
        <v>Late Transaction</v>
      </c>
    </row>
    <row r="260" spans="1:33" x14ac:dyDescent="0.25">
      <c r="A260" s="2">
        <v>259</v>
      </c>
      <c r="B260" s="3" t="str">
        <f t="shared" si="76"/>
        <v>091205-EN-MOE</v>
      </c>
      <c r="C260" s="3">
        <v>40152</v>
      </c>
      <c r="D260" s="3">
        <f t="shared" si="78"/>
        <v>40165</v>
      </c>
      <c r="E260" s="3">
        <f t="shared" si="79"/>
        <v>40214</v>
      </c>
      <c r="F260" s="3">
        <f t="shared" si="80"/>
        <v>40178</v>
      </c>
      <c r="G260" s="76">
        <f t="shared" si="81"/>
        <v>2009</v>
      </c>
      <c r="H260" s="76">
        <f t="shared" si="82"/>
        <v>12</v>
      </c>
      <c r="I260" s="76" t="str">
        <f>VLOOKUP(H260,'Lookup Values'!$C$2:$D$13,2,FALSE)</f>
        <v>DEC</v>
      </c>
      <c r="J260" s="76">
        <f t="shared" si="83"/>
        <v>5</v>
      </c>
      <c r="K260" s="76">
        <f t="shared" si="84"/>
        <v>7</v>
      </c>
      <c r="L260" s="76" t="str">
        <f>VLOOKUP(K260,'Lookup Values'!$F$2:$G$8,2,FALSE)</f>
        <v>Saturday</v>
      </c>
      <c r="M260" s="3">
        <v>40156</v>
      </c>
      <c r="N260" s="78">
        <f t="shared" si="77"/>
        <v>4</v>
      </c>
      <c r="O260" s="11">
        <v>0.90567347770323026</v>
      </c>
      <c r="P260" s="94">
        <f t="shared" si="85"/>
        <v>21</v>
      </c>
      <c r="Q260" s="94">
        <f t="shared" si="86"/>
        <v>44</v>
      </c>
      <c r="R260" s="94">
        <f t="shared" si="87"/>
        <v>10</v>
      </c>
      <c r="S260" s="94" t="str">
        <f>VLOOKUP(O260,'Lookup Values'!$I$2:$L$8,4,TRUE)</f>
        <v>Late Evening</v>
      </c>
      <c r="T260" t="s">
        <v>76</v>
      </c>
      <c r="U260" t="s">
        <v>77</v>
      </c>
      <c r="V260" t="str">
        <f t="shared" si="88"/>
        <v>Entertainment: Alcohol</v>
      </c>
      <c r="W260" t="s">
        <v>75</v>
      </c>
      <c r="X260" t="s">
        <v>91</v>
      </c>
      <c r="Y260" s="1">
        <v>328</v>
      </c>
      <c r="Z260" s="1" t="str">
        <f t="shared" si="89"/>
        <v>Entertainment: $328.00</v>
      </c>
      <c r="AA260" s="1">
        <f>IF(Y260="","",ROUND(Y260*'Lookup Values'!$A$2,2))</f>
        <v>29.11</v>
      </c>
      <c r="AB260" s="12" t="str">
        <f t="shared" si="90"/>
        <v>Expense</v>
      </c>
      <c r="AC260" s="2" t="s">
        <v>408</v>
      </c>
      <c r="AD260" s="3">
        <f t="shared" si="91"/>
        <v>40152</v>
      </c>
      <c r="AE260" s="93" t="str">
        <f t="shared" si="92"/>
        <v>NO</v>
      </c>
      <c r="AF260" s="2" t="str">
        <f t="shared" si="93"/>
        <v>NO</v>
      </c>
      <c r="AG260" t="str">
        <f t="shared" si="94"/>
        <v>Awesome Transaction</v>
      </c>
    </row>
    <row r="261" spans="1:33" x14ac:dyDescent="0.25">
      <c r="A261" s="2">
        <v>260</v>
      </c>
      <c r="B261" s="3" t="str">
        <f t="shared" si="76"/>
        <v>080723-IN-AUN</v>
      </c>
      <c r="C261" s="3">
        <v>39652</v>
      </c>
      <c r="D261" s="3">
        <f t="shared" si="78"/>
        <v>39666</v>
      </c>
      <c r="E261" s="3">
        <f t="shared" si="79"/>
        <v>39714</v>
      </c>
      <c r="F261" s="3">
        <f t="shared" si="80"/>
        <v>39660</v>
      </c>
      <c r="G261" s="76">
        <f t="shared" si="81"/>
        <v>2008</v>
      </c>
      <c r="H261" s="76">
        <f t="shared" si="82"/>
        <v>7</v>
      </c>
      <c r="I261" s="76" t="str">
        <f>VLOOKUP(H261,'Lookup Values'!$C$2:$D$13,2,FALSE)</f>
        <v>JUL</v>
      </c>
      <c r="J261" s="76">
        <f t="shared" si="83"/>
        <v>23</v>
      </c>
      <c r="K261" s="76">
        <f t="shared" si="84"/>
        <v>4</v>
      </c>
      <c r="L261" s="76" t="str">
        <f>VLOOKUP(K261,'Lookup Values'!$F$2:$G$8,2,FALSE)</f>
        <v>Wednesday</v>
      </c>
      <c r="M261" s="3">
        <v>39659</v>
      </c>
      <c r="N261" s="78">
        <f t="shared" si="77"/>
        <v>7</v>
      </c>
      <c r="O261" s="11">
        <v>0.982505635587408</v>
      </c>
      <c r="P261" s="94">
        <f t="shared" si="85"/>
        <v>23</v>
      </c>
      <c r="Q261" s="94">
        <f t="shared" si="86"/>
        <v>34</v>
      </c>
      <c r="R261" s="94">
        <f t="shared" si="87"/>
        <v>48</v>
      </c>
      <c r="S261" s="94" t="str">
        <f>VLOOKUP(O261,'Lookup Values'!$I$2:$L$8,4,TRUE)</f>
        <v>Late Evening</v>
      </c>
      <c r="T261" t="s">
        <v>158</v>
      </c>
      <c r="U261" t="s">
        <v>161</v>
      </c>
      <c r="V261" t="str">
        <f t="shared" si="88"/>
        <v>Income: Gift Received</v>
      </c>
      <c r="W261" t="s">
        <v>164</v>
      </c>
      <c r="X261" t="s">
        <v>88</v>
      </c>
      <c r="Y261" s="1">
        <v>327</v>
      </c>
      <c r="Z261" s="1" t="str">
        <f t="shared" si="89"/>
        <v>Income: $327.00</v>
      </c>
      <c r="AA261" s="1">
        <f>IF(Y261="","",ROUND(Y261*'Lookup Values'!$A$2,2))</f>
        <v>29.02</v>
      </c>
      <c r="AB261" s="12" t="str">
        <f t="shared" si="90"/>
        <v>Income</v>
      </c>
      <c r="AC261" s="2" t="s">
        <v>409</v>
      </c>
      <c r="AD261" s="3">
        <f t="shared" si="91"/>
        <v>39652</v>
      </c>
      <c r="AE261" s="93" t="str">
        <f t="shared" si="92"/>
        <v>NO</v>
      </c>
      <c r="AF261" s="2" t="str">
        <f t="shared" si="93"/>
        <v>NO</v>
      </c>
      <c r="AG261" t="str">
        <f t="shared" si="94"/>
        <v>Late Transaction</v>
      </c>
    </row>
    <row r="262" spans="1:33" x14ac:dyDescent="0.25">
      <c r="A262" s="2">
        <v>261</v>
      </c>
      <c r="B262" s="3" t="str">
        <f t="shared" si="76"/>
        <v>071123-IN-LEG</v>
      </c>
      <c r="C262" s="3">
        <v>39409</v>
      </c>
      <c r="D262" s="3">
        <f t="shared" si="78"/>
        <v>39423</v>
      </c>
      <c r="E262" s="3">
        <f t="shared" si="79"/>
        <v>39470</v>
      </c>
      <c r="F262" s="3">
        <f t="shared" si="80"/>
        <v>39416</v>
      </c>
      <c r="G262" s="76">
        <f t="shared" si="81"/>
        <v>2007</v>
      </c>
      <c r="H262" s="76">
        <f t="shared" si="82"/>
        <v>11</v>
      </c>
      <c r="I262" s="76" t="str">
        <f>VLOOKUP(H262,'Lookup Values'!$C$2:$D$13,2,FALSE)</f>
        <v>NOV</v>
      </c>
      <c r="J262" s="76">
        <f t="shared" si="83"/>
        <v>23</v>
      </c>
      <c r="K262" s="76">
        <f t="shared" si="84"/>
        <v>6</v>
      </c>
      <c r="L262" s="76" t="str">
        <f>VLOOKUP(K262,'Lookup Values'!$F$2:$G$8,2,FALSE)</f>
        <v>Friday</v>
      </c>
      <c r="M262" s="3">
        <v>39419</v>
      </c>
      <c r="N262" s="78">
        <f t="shared" si="77"/>
        <v>10</v>
      </c>
      <c r="O262" s="11">
        <v>0.62734476272366968</v>
      </c>
      <c r="P262" s="94">
        <f t="shared" si="85"/>
        <v>15</v>
      </c>
      <c r="Q262" s="94">
        <f t="shared" si="86"/>
        <v>3</v>
      </c>
      <c r="R262" s="94">
        <f t="shared" si="87"/>
        <v>23</v>
      </c>
      <c r="S262" s="94" t="str">
        <f>VLOOKUP(O262,'Lookup Values'!$I$2:$L$8,4,TRUE)</f>
        <v>Afternoon</v>
      </c>
      <c r="T262" t="s">
        <v>158</v>
      </c>
      <c r="U262" t="s">
        <v>160</v>
      </c>
      <c r="V262" t="str">
        <f t="shared" si="88"/>
        <v>Income: Freelance Project</v>
      </c>
      <c r="W262" t="s">
        <v>163</v>
      </c>
      <c r="X262" t="s">
        <v>88</v>
      </c>
      <c r="Y262" s="1">
        <v>353</v>
      </c>
      <c r="Z262" s="1" t="str">
        <f t="shared" si="89"/>
        <v>Income: $353.00</v>
      </c>
      <c r="AA262" s="1">
        <f>IF(Y262="","",ROUND(Y262*'Lookup Values'!$A$2,2))</f>
        <v>31.33</v>
      </c>
      <c r="AB262" s="12" t="str">
        <f t="shared" si="90"/>
        <v>Income</v>
      </c>
      <c r="AC262" s="2" t="s">
        <v>410</v>
      </c>
      <c r="AD262" s="3">
        <f t="shared" si="91"/>
        <v>39409</v>
      </c>
      <c r="AE262" s="93" t="str">
        <f t="shared" si="92"/>
        <v>NO</v>
      </c>
      <c r="AF262" s="2" t="str">
        <f t="shared" si="93"/>
        <v>NO</v>
      </c>
      <c r="AG262" t="str">
        <f t="shared" si="94"/>
        <v>Late Transaction</v>
      </c>
    </row>
    <row r="263" spans="1:33" x14ac:dyDescent="0.25">
      <c r="A263" s="2">
        <v>262</v>
      </c>
      <c r="B263" s="3" t="str">
        <f t="shared" si="76"/>
        <v>071105-BI-CON</v>
      </c>
      <c r="C263" s="3">
        <v>39391</v>
      </c>
      <c r="D263" s="3">
        <f t="shared" si="78"/>
        <v>39405</v>
      </c>
      <c r="E263" s="3">
        <f t="shared" si="79"/>
        <v>39452</v>
      </c>
      <c r="F263" s="3">
        <f t="shared" si="80"/>
        <v>39416</v>
      </c>
      <c r="G263" s="76">
        <f t="shared" si="81"/>
        <v>2007</v>
      </c>
      <c r="H263" s="76">
        <f t="shared" si="82"/>
        <v>11</v>
      </c>
      <c r="I263" s="76" t="str">
        <f>VLOOKUP(H263,'Lookup Values'!$C$2:$D$13,2,FALSE)</f>
        <v>NOV</v>
      </c>
      <c r="J263" s="76">
        <f t="shared" si="83"/>
        <v>5</v>
      </c>
      <c r="K263" s="76">
        <f t="shared" si="84"/>
        <v>2</v>
      </c>
      <c r="L263" s="76" t="str">
        <f>VLOOKUP(K263,'Lookup Values'!$F$2:$G$8,2,FALSE)</f>
        <v>Monday</v>
      </c>
      <c r="M263" s="3">
        <v>39393</v>
      </c>
      <c r="N263" s="78">
        <f t="shared" si="77"/>
        <v>2</v>
      </c>
      <c r="O263" s="11">
        <v>0.19668945740237742</v>
      </c>
      <c r="P263" s="94">
        <f t="shared" si="85"/>
        <v>4</v>
      </c>
      <c r="Q263" s="94">
        <f t="shared" si="86"/>
        <v>43</v>
      </c>
      <c r="R263" s="94">
        <f t="shared" si="87"/>
        <v>14</v>
      </c>
      <c r="S263" s="94" t="str">
        <f>VLOOKUP(O263,'Lookup Values'!$I$2:$L$8,4,TRUE)</f>
        <v>Early Morning</v>
      </c>
      <c r="T263" t="s">
        <v>110</v>
      </c>
      <c r="U263" t="s">
        <v>111</v>
      </c>
      <c r="V263" t="str">
        <f t="shared" si="88"/>
        <v>Bills: Utilities</v>
      </c>
      <c r="W263" t="s">
        <v>109</v>
      </c>
      <c r="X263" t="s">
        <v>88</v>
      </c>
      <c r="Y263" s="1">
        <v>255</v>
      </c>
      <c r="Z263" s="1" t="str">
        <f t="shared" si="89"/>
        <v>Bills: $255.00</v>
      </c>
      <c r="AA263" s="1">
        <f>IF(Y263="","",ROUND(Y263*'Lookup Values'!$A$2,2))</f>
        <v>22.63</v>
      </c>
      <c r="AB263" s="12" t="str">
        <f t="shared" si="90"/>
        <v>Expense</v>
      </c>
      <c r="AC263" s="2" t="s">
        <v>411</v>
      </c>
      <c r="AD263" s="3">
        <f t="shared" si="91"/>
        <v>39391</v>
      </c>
      <c r="AE263" s="93" t="str">
        <f t="shared" si="92"/>
        <v>NO</v>
      </c>
      <c r="AF263" s="2" t="str">
        <f t="shared" si="93"/>
        <v>NO</v>
      </c>
      <c r="AG263" t="str">
        <f t="shared" si="94"/>
        <v>Late Transaction</v>
      </c>
    </row>
    <row r="264" spans="1:33" x14ac:dyDescent="0.25">
      <c r="A264" s="2">
        <v>263</v>
      </c>
      <c r="B264" s="3" t="str">
        <f t="shared" si="76"/>
        <v>080909-EN-FAN</v>
      </c>
      <c r="C264" s="3">
        <v>39700</v>
      </c>
      <c r="D264" s="3">
        <f t="shared" si="78"/>
        <v>39714</v>
      </c>
      <c r="E264" s="3">
        <f t="shared" si="79"/>
        <v>39761</v>
      </c>
      <c r="F264" s="3">
        <f t="shared" si="80"/>
        <v>39721</v>
      </c>
      <c r="G264" s="76">
        <f t="shared" si="81"/>
        <v>2008</v>
      </c>
      <c r="H264" s="76">
        <f t="shared" si="82"/>
        <v>9</v>
      </c>
      <c r="I264" s="76" t="str">
        <f>VLOOKUP(H264,'Lookup Values'!$C$2:$D$13,2,FALSE)</f>
        <v>SEP</v>
      </c>
      <c r="J264" s="76">
        <f t="shared" si="83"/>
        <v>9</v>
      </c>
      <c r="K264" s="76">
        <f t="shared" si="84"/>
        <v>3</v>
      </c>
      <c r="L264" s="76" t="str">
        <f>VLOOKUP(K264,'Lookup Values'!$F$2:$G$8,2,FALSE)</f>
        <v>Tuesday</v>
      </c>
      <c r="M264" s="3">
        <v>39710</v>
      </c>
      <c r="N264" s="78">
        <f t="shared" si="77"/>
        <v>10</v>
      </c>
      <c r="O264" s="11">
        <v>0.51989253318120898</v>
      </c>
      <c r="P264" s="94">
        <f t="shared" si="85"/>
        <v>12</v>
      </c>
      <c r="Q264" s="94">
        <f t="shared" si="86"/>
        <v>28</v>
      </c>
      <c r="R264" s="94">
        <f t="shared" si="87"/>
        <v>39</v>
      </c>
      <c r="S264" s="94" t="str">
        <f>VLOOKUP(O264,'Lookup Values'!$I$2:$L$8,4,TRUE)</f>
        <v>Afternoon</v>
      </c>
      <c r="T264" t="s">
        <v>76</v>
      </c>
      <c r="U264" t="s">
        <v>90</v>
      </c>
      <c r="V264" t="str">
        <f t="shared" si="88"/>
        <v>Entertainment: Movies</v>
      </c>
      <c r="W264" t="s">
        <v>89</v>
      </c>
      <c r="X264" t="s">
        <v>78</v>
      </c>
      <c r="Y264" s="1">
        <v>337</v>
      </c>
      <c r="Z264" s="1" t="str">
        <f t="shared" si="89"/>
        <v>Entertainment: $337.00</v>
      </c>
      <c r="AA264" s="1">
        <f>IF(Y264="","",ROUND(Y264*'Lookup Values'!$A$2,2))</f>
        <v>29.91</v>
      </c>
      <c r="AB264" s="12" t="str">
        <f t="shared" si="90"/>
        <v>Expense</v>
      </c>
      <c r="AC264" s="2" t="s">
        <v>412</v>
      </c>
      <c r="AD264" s="3">
        <f t="shared" si="91"/>
        <v>39700</v>
      </c>
      <c r="AE264" s="93" t="str">
        <f t="shared" si="92"/>
        <v>NO</v>
      </c>
      <c r="AF264" s="2" t="str">
        <f t="shared" si="93"/>
        <v>NO</v>
      </c>
      <c r="AG264" t="str">
        <f t="shared" si="94"/>
        <v>Awesome Transaction</v>
      </c>
    </row>
    <row r="265" spans="1:33" x14ac:dyDescent="0.25">
      <c r="A265" s="2">
        <v>264</v>
      </c>
      <c r="B265" s="3" t="str">
        <f t="shared" si="76"/>
        <v>110211-IN-LEG</v>
      </c>
      <c r="C265" s="3">
        <v>40585</v>
      </c>
      <c r="D265" s="3">
        <f t="shared" si="78"/>
        <v>40599</v>
      </c>
      <c r="E265" s="3">
        <f t="shared" si="79"/>
        <v>40644</v>
      </c>
      <c r="F265" s="3">
        <f t="shared" si="80"/>
        <v>40602</v>
      </c>
      <c r="G265" s="76">
        <f t="shared" si="81"/>
        <v>2011</v>
      </c>
      <c r="H265" s="76">
        <f t="shared" si="82"/>
        <v>2</v>
      </c>
      <c r="I265" s="76" t="str">
        <f>VLOOKUP(H265,'Lookup Values'!$C$2:$D$13,2,FALSE)</f>
        <v>FEB</v>
      </c>
      <c r="J265" s="76">
        <f t="shared" si="83"/>
        <v>11</v>
      </c>
      <c r="K265" s="76">
        <f t="shared" si="84"/>
        <v>6</v>
      </c>
      <c r="L265" s="76" t="str">
        <f>VLOOKUP(K265,'Lookup Values'!$F$2:$G$8,2,FALSE)</f>
        <v>Friday</v>
      </c>
      <c r="M265" s="3">
        <v>40592</v>
      </c>
      <c r="N265" s="78">
        <f t="shared" si="77"/>
        <v>7</v>
      </c>
      <c r="O265" s="11">
        <v>3.4552088449911089E-2</v>
      </c>
      <c r="P265" s="94">
        <f t="shared" si="85"/>
        <v>0</v>
      </c>
      <c r="Q265" s="94">
        <f t="shared" si="86"/>
        <v>49</v>
      </c>
      <c r="R265" s="94">
        <f t="shared" si="87"/>
        <v>45</v>
      </c>
      <c r="S265" s="94" t="str">
        <f>VLOOKUP(O265,'Lookup Values'!$I$2:$L$8,4,TRUE)</f>
        <v>Dead of Night</v>
      </c>
      <c r="T265" t="s">
        <v>158</v>
      </c>
      <c r="U265" t="s">
        <v>160</v>
      </c>
      <c r="V265" t="str">
        <f t="shared" si="88"/>
        <v>Income: Freelance Project</v>
      </c>
      <c r="W265" t="s">
        <v>163</v>
      </c>
      <c r="X265" t="s">
        <v>78</v>
      </c>
      <c r="Y265" s="1">
        <v>188</v>
      </c>
      <c r="Z265" s="1" t="str">
        <f t="shared" si="89"/>
        <v>Income: $188.00</v>
      </c>
      <c r="AA265" s="1">
        <f>IF(Y265="","",ROUND(Y265*'Lookup Values'!$A$2,2))</f>
        <v>16.690000000000001</v>
      </c>
      <c r="AB265" s="12" t="str">
        <f t="shared" si="90"/>
        <v>Income</v>
      </c>
      <c r="AC265" s="2" t="s">
        <v>413</v>
      </c>
      <c r="AD265" s="3">
        <f t="shared" si="91"/>
        <v>40585</v>
      </c>
      <c r="AE265" s="93" t="str">
        <f t="shared" si="92"/>
        <v>NO</v>
      </c>
      <c r="AF265" s="2" t="str">
        <f t="shared" si="93"/>
        <v>NO</v>
      </c>
      <c r="AG265" t="str">
        <f t="shared" si="94"/>
        <v>CRAP Transaction</v>
      </c>
    </row>
    <row r="266" spans="1:33" x14ac:dyDescent="0.25">
      <c r="A266" s="2">
        <v>265</v>
      </c>
      <c r="B266" s="3" t="str">
        <f t="shared" si="76"/>
        <v>090503-FO-BAN</v>
      </c>
      <c r="C266" s="3">
        <v>39936</v>
      </c>
      <c r="D266" s="3">
        <f t="shared" si="78"/>
        <v>39948</v>
      </c>
      <c r="E266" s="3">
        <f t="shared" si="79"/>
        <v>39997</v>
      </c>
      <c r="F266" s="3">
        <f t="shared" si="80"/>
        <v>39964</v>
      </c>
      <c r="G266" s="76">
        <f t="shared" si="81"/>
        <v>2009</v>
      </c>
      <c r="H266" s="76">
        <f t="shared" si="82"/>
        <v>5</v>
      </c>
      <c r="I266" s="76" t="str">
        <f>VLOOKUP(H266,'Lookup Values'!$C$2:$D$13,2,FALSE)</f>
        <v>MAY</v>
      </c>
      <c r="J266" s="76">
        <f t="shared" si="83"/>
        <v>3</v>
      </c>
      <c r="K266" s="76">
        <f t="shared" si="84"/>
        <v>1</v>
      </c>
      <c r="L266" s="76" t="str">
        <f>VLOOKUP(K266,'Lookup Values'!$F$2:$G$8,2,FALSE)</f>
        <v>Sunday</v>
      </c>
      <c r="M266" s="3">
        <v>39944</v>
      </c>
      <c r="N266" s="78">
        <f t="shared" si="77"/>
        <v>8</v>
      </c>
      <c r="O266" s="11">
        <v>0.39729564849403753</v>
      </c>
      <c r="P266" s="94">
        <f t="shared" si="85"/>
        <v>9</v>
      </c>
      <c r="Q266" s="94">
        <f t="shared" si="86"/>
        <v>32</v>
      </c>
      <c r="R266" s="94">
        <f t="shared" si="87"/>
        <v>6</v>
      </c>
      <c r="S266" s="94" t="str">
        <f>VLOOKUP(O266,'Lookup Values'!$I$2:$L$8,4,TRUE)</f>
        <v>Morning</v>
      </c>
      <c r="T266" t="s">
        <v>80</v>
      </c>
      <c r="U266" t="s">
        <v>81</v>
      </c>
      <c r="V266" t="str">
        <f t="shared" si="88"/>
        <v>Food: Restaurants</v>
      </c>
      <c r="W266" t="s">
        <v>79</v>
      </c>
      <c r="X266" t="s">
        <v>78</v>
      </c>
      <c r="Y266" s="1">
        <v>251</v>
      </c>
      <c r="Z266" s="1" t="str">
        <f t="shared" si="89"/>
        <v>Food: $251.00</v>
      </c>
      <c r="AA266" s="1">
        <f>IF(Y266="","",ROUND(Y266*'Lookup Values'!$A$2,2))</f>
        <v>22.28</v>
      </c>
      <c r="AB266" s="12" t="str">
        <f t="shared" si="90"/>
        <v>Expense</v>
      </c>
      <c r="AC266" s="2" t="s">
        <v>414</v>
      </c>
      <c r="AD266" s="3">
        <f t="shared" si="91"/>
        <v>39936</v>
      </c>
      <c r="AE266" s="93" t="str">
        <f t="shared" si="92"/>
        <v>NO</v>
      </c>
      <c r="AF266" s="2" t="str">
        <f t="shared" si="93"/>
        <v>NO</v>
      </c>
      <c r="AG266" t="str">
        <f t="shared" si="94"/>
        <v>Awesome Transaction</v>
      </c>
    </row>
    <row r="267" spans="1:33" x14ac:dyDescent="0.25">
      <c r="A267" s="2">
        <v>266</v>
      </c>
      <c r="B267" s="3" t="str">
        <f t="shared" si="76"/>
        <v>120309-ED-SKI</v>
      </c>
      <c r="C267" s="3">
        <v>40977</v>
      </c>
      <c r="D267" s="3">
        <f t="shared" si="78"/>
        <v>40991</v>
      </c>
      <c r="E267" s="3">
        <f t="shared" si="79"/>
        <v>41038</v>
      </c>
      <c r="F267" s="3">
        <f t="shared" si="80"/>
        <v>40999</v>
      </c>
      <c r="G267" s="76">
        <f t="shared" si="81"/>
        <v>2012</v>
      </c>
      <c r="H267" s="76">
        <f t="shared" si="82"/>
        <v>3</v>
      </c>
      <c r="I267" s="76" t="str">
        <f>VLOOKUP(H267,'Lookup Values'!$C$2:$D$13,2,FALSE)</f>
        <v>MAR</v>
      </c>
      <c r="J267" s="76">
        <f t="shared" si="83"/>
        <v>9</v>
      </c>
      <c r="K267" s="76">
        <f t="shared" si="84"/>
        <v>6</v>
      </c>
      <c r="L267" s="76" t="str">
        <f>VLOOKUP(K267,'Lookup Values'!$F$2:$G$8,2,FALSE)</f>
        <v>Friday</v>
      </c>
      <c r="M267" s="3">
        <v>40987</v>
      </c>
      <c r="N267" s="78">
        <f t="shared" si="77"/>
        <v>10</v>
      </c>
      <c r="O267" s="11">
        <v>0.36804428815784684</v>
      </c>
      <c r="P267" s="94">
        <f t="shared" si="85"/>
        <v>8</v>
      </c>
      <c r="Q267" s="94">
        <f t="shared" si="86"/>
        <v>49</v>
      </c>
      <c r="R267" s="94">
        <f t="shared" si="87"/>
        <v>59</v>
      </c>
      <c r="S267" s="94" t="str">
        <f>VLOOKUP(O267,'Lookup Values'!$I$2:$L$8,4,TRUE)</f>
        <v>Morning</v>
      </c>
      <c r="T267" t="s">
        <v>86</v>
      </c>
      <c r="U267" t="s">
        <v>98</v>
      </c>
      <c r="V267" t="str">
        <f t="shared" si="88"/>
        <v>Education: Professional Development</v>
      </c>
      <c r="W267" t="s">
        <v>97</v>
      </c>
      <c r="X267" t="s">
        <v>88</v>
      </c>
      <c r="Y267" s="1">
        <v>483</v>
      </c>
      <c r="Z267" s="1" t="str">
        <f t="shared" si="89"/>
        <v>Education: $483.00</v>
      </c>
      <c r="AA267" s="1">
        <f>IF(Y267="","",ROUND(Y267*'Lookup Values'!$A$2,2))</f>
        <v>42.87</v>
      </c>
      <c r="AB267" s="12" t="str">
        <f t="shared" si="90"/>
        <v>Expense</v>
      </c>
      <c r="AC267" s="2" t="s">
        <v>415</v>
      </c>
      <c r="AD267" s="3">
        <f t="shared" si="91"/>
        <v>40977</v>
      </c>
      <c r="AE267" s="93" t="str">
        <f t="shared" si="92"/>
        <v>YES</v>
      </c>
      <c r="AF267" s="2" t="str">
        <f t="shared" si="93"/>
        <v>YES</v>
      </c>
      <c r="AG267" t="str">
        <f t="shared" si="94"/>
        <v>CRAP Transaction</v>
      </c>
    </row>
    <row r="268" spans="1:33" x14ac:dyDescent="0.25">
      <c r="A268" s="2">
        <v>267</v>
      </c>
      <c r="B268" s="3" t="str">
        <f t="shared" si="76"/>
        <v>090913-ED-SKI</v>
      </c>
      <c r="C268" s="3">
        <v>40069</v>
      </c>
      <c r="D268" s="3">
        <f t="shared" si="78"/>
        <v>40081</v>
      </c>
      <c r="E268" s="3">
        <f t="shared" si="79"/>
        <v>40130</v>
      </c>
      <c r="F268" s="3">
        <f t="shared" si="80"/>
        <v>40086</v>
      </c>
      <c r="G268" s="76">
        <f t="shared" si="81"/>
        <v>2009</v>
      </c>
      <c r="H268" s="76">
        <f t="shared" si="82"/>
        <v>9</v>
      </c>
      <c r="I268" s="76" t="str">
        <f>VLOOKUP(H268,'Lookup Values'!$C$2:$D$13,2,FALSE)</f>
        <v>SEP</v>
      </c>
      <c r="J268" s="76">
        <f t="shared" si="83"/>
        <v>13</v>
      </c>
      <c r="K268" s="76">
        <f t="shared" si="84"/>
        <v>1</v>
      </c>
      <c r="L268" s="76" t="str">
        <f>VLOOKUP(K268,'Lookup Values'!$F$2:$G$8,2,FALSE)</f>
        <v>Sunday</v>
      </c>
      <c r="M268" s="3">
        <v>40075</v>
      </c>
      <c r="N268" s="78">
        <f t="shared" si="77"/>
        <v>6</v>
      </c>
      <c r="O268" s="11">
        <v>0.18392527795189606</v>
      </c>
      <c r="P268" s="94">
        <f t="shared" si="85"/>
        <v>4</v>
      </c>
      <c r="Q268" s="94">
        <f t="shared" si="86"/>
        <v>24</v>
      </c>
      <c r="R268" s="94">
        <f t="shared" si="87"/>
        <v>51</v>
      </c>
      <c r="S268" s="94" t="str">
        <f>VLOOKUP(O268,'Lookup Values'!$I$2:$L$8,4,TRUE)</f>
        <v>Early Morning</v>
      </c>
      <c r="T268" t="s">
        <v>86</v>
      </c>
      <c r="U268" t="s">
        <v>98</v>
      </c>
      <c r="V268" t="str">
        <f t="shared" si="88"/>
        <v>Education: Professional Development</v>
      </c>
      <c r="W268" t="s">
        <v>97</v>
      </c>
      <c r="X268" t="s">
        <v>78</v>
      </c>
      <c r="Y268" s="1">
        <v>477</v>
      </c>
      <c r="Z268" s="1" t="str">
        <f t="shared" si="89"/>
        <v>Education: $477.00</v>
      </c>
      <c r="AA268" s="1">
        <f>IF(Y268="","",ROUND(Y268*'Lookup Values'!$A$2,2))</f>
        <v>42.33</v>
      </c>
      <c r="AB268" s="12" t="str">
        <f t="shared" si="90"/>
        <v>Expense</v>
      </c>
      <c r="AC268" s="2" t="s">
        <v>416</v>
      </c>
      <c r="AD268" s="3">
        <f t="shared" si="91"/>
        <v>40069</v>
      </c>
      <c r="AE268" s="93" t="str">
        <f t="shared" si="92"/>
        <v>YES</v>
      </c>
      <c r="AF268" s="2" t="str">
        <f t="shared" si="93"/>
        <v>YES</v>
      </c>
      <c r="AG268" t="str">
        <f t="shared" si="94"/>
        <v>Late Transaction</v>
      </c>
    </row>
    <row r="269" spans="1:33" x14ac:dyDescent="0.25">
      <c r="A269" s="2">
        <v>268</v>
      </c>
      <c r="B269" s="3" t="str">
        <f t="shared" si="76"/>
        <v>071024-SH-EXP</v>
      </c>
      <c r="C269" s="3">
        <v>39379</v>
      </c>
      <c r="D269" s="3">
        <f t="shared" si="78"/>
        <v>39393</v>
      </c>
      <c r="E269" s="3">
        <f t="shared" si="79"/>
        <v>39440</v>
      </c>
      <c r="F269" s="3">
        <f t="shared" si="80"/>
        <v>39386</v>
      </c>
      <c r="G269" s="76">
        <f t="shared" si="81"/>
        <v>2007</v>
      </c>
      <c r="H269" s="76">
        <f t="shared" si="82"/>
        <v>10</v>
      </c>
      <c r="I269" s="76" t="str">
        <f>VLOOKUP(H269,'Lookup Values'!$C$2:$D$13,2,FALSE)</f>
        <v>OCT</v>
      </c>
      <c r="J269" s="76">
        <f t="shared" si="83"/>
        <v>24</v>
      </c>
      <c r="K269" s="76">
        <f t="shared" si="84"/>
        <v>4</v>
      </c>
      <c r="L269" s="76" t="str">
        <f>VLOOKUP(K269,'Lookup Values'!$F$2:$G$8,2,FALSE)</f>
        <v>Wednesday</v>
      </c>
      <c r="M269" s="3">
        <v>39381</v>
      </c>
      <c r="N269" s="78">
        <f t="shared" si="77"/>
        <v>2</v>
      </c>
      <c r="O269" s="11">
        <v>0.27423618532544392</v>
      </c>
      <c r="P269" s="94">
        <f t="shared" si="85"/>
        <v>6</v>
      </c>
      <c r="Q269" s="94">
        <f t="shared" si="86"/>
        <v>34</v>
      </c>
      <c r="R269" s="94">
        <f t="shared" si="87"/>
        <v>54</v>
      </c>
      <c r="S269" s="94" t="str">
        <f>VLOOKUP(O269,'Lookup Values'!$I$2:$L$8,4,TRUE)</f>
        <v>Early Morning</v>
      </c>
      <c r="T269" t="s">
        <v>83</v>
      </c>
      <c r="U269" t="s">
        <v>103</v>
      </c>
      <c r="V269" t="str">
        <f t="shared" si="88"/>
        <v>Shopping: Clothing</v>
      </c>
      <c r="W269" t="s">
        <v>102</v>
      </c>
      <c r="X269" t="s">
        <v>91</v>
      </c>
      <c r="Y269" s="1">
        <v>35</v>
      </c>
      <c r="Z269" s="1" t="str">
        <f t="shared" si="89"/>
        <v>Shopping: $35.00</v>
      </c>
      <c r="AA269" s="1">
        <f>IF(Y269="","",ROUND(Y269*'Lookup Values'!$A$2,2))</f>
        <v>3.11</v>
      </c>
      <c r="AB269" s="12" t="str">
        <f t="shared" si="90"/>
        <v>Expense</v>
      </c>
      <c r="AC269" s="2" t="s">
        <v>417</v>
      </c>
      <c r="AD269" s="3">
        <f t="shared" si="91"/>
        <v>39379</v>
      </c>
      <c r="AE269" s="93" t="str">
        <f t="shared" si="92"/>
        <v>NO</v>
      </c>
      <c r="AF269" s="2" t="str">
        <f t="shared" si="93"/>
        <v>NO</v>
      </c>
      <c r="AG269" t="str">
        <f t="shared" si="94"/>
        <v>Awesome Transaction</v>
      </c>
    </row>
    <row r="270" spans="1:33" x14ac:dyDescent="0.25">
      <c r="A270" s="2">
        <v>269</v>
      </c>
      <c r="B270" s="3" t="str">
        <f t="shared" si="76"/>
        <v>070601-SH-AMA</v>
      </c>
      <c r="C270" s="3">
        <v>39234</v>
      </c>
      <c r="D270" s="3">
        <f t="shared" si="78"/>
        <v>39248</v>
      </c>
      <c r="E270" s="3">
        <f t="shared" si="79"/>
        <v>39295</v>
      </c>
      <c r="F270" s="3">
        <f t="shared" si="80"/>
        <v>39263</v>
      </c>
      <c r="G270" s="76">
        <f t="shared" si="81"/>
        <v>2007</v>
      </c>
      <c r="H270" s="76">
        <f t="shared" si="82"/>
        <v>6</v>
      </c>
      <c r="I270" s="76" t="str">
        <f>VLOOKUP(H270,'Lookup Values'!$C$2:$D$13,2,FALSE)</f>
        <v>JUN</v>
      </c>
      <c r="J270" s="76">
        <f t="shared" si="83"/>
        <v>1</v>
      </c>
      <c r="K270" s="76">
        <f t="shared" si="84"/>
        <v>6</v>
      </c>
      <c r="L270" s="76" t="str">
        <f>VLOOKUP(K270,'Lookup Values'!$F$2:$G$8,2,FALSE)</f>
        <v>Friday</v>
      </c>
      <c r="M270" s="3">
        <v>39236</v>
      </c>
      <c r="N270" s="78">
        <f t="shared" si="77"/>
        <v>2</v>
      </c>
      <c r="O270" s="11">
        <v>0.45149589738414342</v>
      </c>
      <c r="P270" s="94">
        <f t="shared" si="85"/>
        <v>10</v>
      </c>
      <c r="Q270" s="94">
        <f t="shared" si="86"/>
        <v>50</v>
      </c>
      <c r="R270" s="94">
        <f t="shared" si="87"/>
        <v>9</v>
      </c>
      <c r="S270" s="94" t="str">
        <f>VLOOKUP(O270,'Lookup Values'!$I$2:$L$8,4,TRUE)</f>
        <v>Late Morning</v>
      </c>
      <c r="T270" t="s">
        <v>83</v>
      </c>
      <c r="U270" t="s">
        <v>84</v>
      </c>
      <c r="V270" t="str">
        <f t="shared" si="88"/>
        <v>Shopping: Electronics</v>
      </c>
      <c r="W270" t="s">
        <v>82</v>
      </c>
      <c r="X270" t="s">
        <v>88</v>
      </c>
      <c r="Y270" s="1">
        <v>111</v>
      </c>
      <c r="Z270" s="1" t="str">
        <f t="shared" si="89"/>
        <v>Shopping: $111.00</v>
      </c>
      <c r="AA270" s="1">
        <f>IF(Y270="","",ROUND(Y270*'Lookup Values'!$A$2,2))</f>
        <v>9.85</v>
      </c>
      <c r="AB270" s="12" t="str">
        <f t="shared" si="90"/>
        <v>Expense</v>
      </c>
      <c r="AC270" s="2" t="s">
        <v>418</v>
      </c>
      <c r="AD270" s="3">
        <f t="shared" si="91"/>
        <v>39234</v>
      </c>
      <c r="AE270" s="93" t="str">
        <f t="shared" si="92"/>
        <v>YES</v>
      </c>
      <c r="AF270" s="2" t="str">
        <f t="shared" si="93"/>
        <v>NO</v>
      </c>
      <c r="AG270" t="str">
        <f t="shared" si="94"/>
        <v>Awesome Transaction</v>
      </c>
    </row>
    <row r="271" spans="1:33" x14ac:dyDescent="0.25">
      <c r="A271" s="2">
        <v>270</v>
      </c>
      <c r="B271" s="3" t="str">
        <f t="shared" si="76"/>
        <v>100114-HO-BED</v>
      </c>
      <c r="C271" s="3">
        <v>40192</v>
      </c>
      <c r="D271" s="3">
        <f t="shared" si="78"/>
        <v>40206</v>
      </c>
      <c r="E271" s="3">
        <f t="shared" si="79"/>
        <v>40251</v>
      </c>
      <c r="F271" s="3">
        <f t="shared" si="80"/>
        <v>40209</v>
      </c>
      <c r="G271" s="76">
        <f t="shared" si="81"/>
        <v>2010</v>
      </c>
      <c r="H271" s="76">
        <f t="shared" si="82"/>
        <v>1</v>
      </c>
      <c r="I271" s="76" t="str">
        <f>VLOOKUP(H271,'Lookup Values'!$C$2:$D$13,2,FALSE)</f>
        <v>JAN</v>
      </c>
      <c r="J271" s="76">
        <f t="shared" si="83"/>
        <v>14</v>
      </c>
      <c r="K271" s="76">
        <f t="shared" si="84"/>
        <v>5</v>
      </c>
      <c r="L271" s="76" t="str">
        <f>VLOOKUP(K271,'Lookup Values'!$F$2:$G$8,2,FALSE)</f>
        <v>Thursday</v>
      </c>
      <c r="M271" s="3">
        <v>40199</v>
      </c>
      <c r="N271" s="78">
        <f t="shared" si="77"/>
        <v>7</v>
      </c>
      <c r="O271" s="11">
        <v>0.86770232653802559</v>
      </c>
      <c r="P271" s="94">
        <f t="shared" si="85"/>
        <v>20</v>
      </c>
      <c r="Q271" s="94">
        <f t="shared" si="86"/>
        <v>49</v>
      </c>
      <c r="R271" s="94">
        <f t="shared" si="87"/>
        <v>29</v>
      </c>
      <c r="S271" s="94" t="str">
        <f>VLOOKUP(O271,'Lookup Values'!$I$2:$L$8,4,TRUE)</f>
        <v>Evening</v>
      </c>
      <c r="T271" t="s">
        <v>100</v>
      </c>
      <c r="U271" t="s">
        <v>101</v>
      </c>
      <c r="V271" t="str">
        <f t="shared" si="88"/>
        <v>Home: Cleaning Supplies</v>
      </c>
      <c r="W271" t="s">
        <v>99</v>
      </c>
      <c r="X271" t="s">
        <v>78</v>
      </c>
      <c r="Y271" s="1">
        <v>18</v>
      </c>
      <c r="Z271" s="1" t="str">
        <f t="shared" si="89"/>
        <v>Home: $18.00</v>
      </c>
      <c r="AA271" s="1">
        <f>IF(Y271="","",ROUND(Y271*'Lookup Values'!$A$2,2))</f>
        <v>1.6</v>
      </c>
      <c r="AB271" s="12" t="str">
        <f t="shared" si="90"/>
        <v>Expense</v>
      </c>
      <c r="AC271" s="2" t="s">
        <v>419</v>
      </c>
      <c r="AD271" s="3">
        <f t="shared" si="91"/>
        <v>40192</v>
      </c>
      <c r="AE271" s="93" t="str">
        <f t="shared" si="92"/>
        <v>NO</v>
      </c>
      <c r="AF271" s="2" t="str">
        <f t="shared" si="93"/>
        <v>NO</v>
      </c>
      <c r="AG271" t="str">
        <f t="shared" si="94"/>
        <v>Late Transaction</v>
      </c>
    </row>
    <row r="272" spans="1:33" x14ac:dyDescent="0.25">
      <c r="A272" s="2">
        <v>271</v>
      </c>
      <c r="B272" s="3" t="str">
        <f t="shared" si="76"/>
        <v>070327-SH-EXP</v>
      </c>
      <c r="C272" s="3">
        <v>39168</v>
      </c>
      <c r="D272" s="3">
        <f t="shared" si="78"/>
        <v>39182</v>
      </c>
      <c r="E272" s="3">
        <f t="shared" si="79"/>
        <v>39229</v>
      </c>
      <c r="F272" s="3">
        <f t="shared" si="80"/>
        <v>39172</v>
      </c>
      <c r="G272" s="76">
        <f t="shared" si="81"/>
        <v>2007</v>
      </c>
      <c r="H272" s="76">
        <f t="shared" si="82"/>
        <v>3</v>
      </c>
      <c r="I272" s="76" t="str">
        <f>VLOOKUP(H272,'Lookup Values'!$C$2:$D$13,2,FALSE)</f>
        <v>MAR</v>
      </c>
      <c r="J272" s="76">
        <f t="shared" si="83"/>
        <v>27</v>
      </c>
      <c r="K272" s="76">
        <f t="shared" si="84"/>
        <v>3</v>
      </c>
      <c r="L272" s="76" t="str">
        <f>VLOOKUP(K272,'Lookup Values'!$F$2:$G$8,2,FALSE)</f>
        <v>Tuesday</v>
      </c>
      <c r="M272" s="3">
        <v>39174</v>
      </c>
      <c r="N272" s="78">
        <f t="shared" si="77"/>
        <v>6</v>
      </c>
      <c r="O272" s="11">
        <v>0.22231933487700495</v>
      </c>
      <c r="P272" s="94">
        <f t="shared" si="85"/>
        <v>5</v>
      </c>
      <c r="Q272" s="94">
        <f t="shared" si="86"/>
        <v>20</v>
      </c>
      <c r="R272" s="94">
        <f t="shared" si="87"/>
        <v>8</v>
      </c>
      <c r="S272" s="94" t="str">
        <f>VLOOKUP(O272,'Lookup Values'!$I$2:$L$8,4,TRUE)</f>
        <v>Early Morning</v>
      </c>
      <c r="T272" t="s">
        <v>83</v>
      </c>
      <c r="U272" t="s">
        <v>103</v>
      </c>
      <c r="V272" t="str">
        <f t="shared" si="88"/>
        <v>Shopping: Clothing</v>
      </c>
      <c r="W272" t="s">
        <v>102</v>
      </c>
      <c r="X272" t="s">
        <v>91</v>
      </c>
      <c r="Y272" s="1">
        <v>106</v>
      </c>
      <c r="Z272" s="1" t="str">
        <f t="shared" si="89"/>
        <v>Shopping: $106.00</v>
      </c>
      <c r="AA272" s="1">
        <f>IF(Y272="","",ROUND(Y272*'Lookup Values'!$A$2,2))</f>
        <v>9.41</v>
      </c>
      <c r="AB272" s="12" t="str">
        <f t="shared" si="90"/>
        <v>Expense</v>
      </c>
      <c r="AC272" s="2" t="s">
        <v>420</v>
      </c>
      <c r="AD272" s="3">
        <f t="shared" si="91"/>
        <v>39168</v>
      </c>
      <c r="AE272" s="93" t="str">
        <f t="shared" si="92"/>
        <v>NO</v>
      </c>
      <c r="AF272" s="2" t="str">
        <f t="shared" si="93"/>
        <v>NO</v>
      </c>
      <c r="AG272" t="str">
        <f t="shared" si="94"/>
        <v>Awesome Transaction</v>
      </c>
    </row>
    <row r="273" spans="1:33" x14ac:dyDescent="0.25">
      <c r="A273" s="2">
        <v>272</v>
      </c>
      <c r="B273" s="3" t="str">
        <f t="shared" si="76"/>
        <v>120719-HO-BED</v>
      </c>
      <c r="C273" s="3">
        <v>41109</v>
      </c>
      <c r="D273" s="3">
        <f t="shared" si="78"/>
        <v>41123</v>
      </c>
      <c r="E273" s="3">
        <f t="shared" si="79"/>
        <v>41171</v>
      </c>
      <c r="F273" s="3">
        <f t="shared" si="80"/>
        <v>41121</v>
      </c>
      <c r="G273" s="76">
        <f t="shared" si="81"/>
        <v>2012</v>
      </c>
      <c r="H273" s="76">
        <f t="shared" si="82"/>
        <v>7</v>
      </c>
      <c r="I273" s="76" t="str">
        <f>VLOOKUP(H273,'Lookup Values'!$C$2:$D$13,2,FALSE)</f>
        <v>JUL</v>
      </c>
      <c r="J273" s="76">
        <f t="shared" si="83"/>
        <v>19</v>
      </c>
      <c r="K273" s="76">
        <f t="shared" si="84"/>
        <v>5</v>
      </c>
      <c r="L273" s="76" t="str">
        <f>VLOOKUP(K273,'Lookup Values'!$F$2:$G$8,2,FALSE)</f>
        <v>Thursday</v>
      </c>
      <c r="M273" s="3">
        <v>41119</v>
      </c>
      <c r="N273" s="78">
        <f t="shared" si="77"/>
        <v>10</v>
      </c>
      <c r="O273" s="11">
        <v>0.63073100481854083</v>
      </c>
      <c r="P273" s="94">
        <f t="shared" si="85"/>
        <v>15</v>
      </c>
      <c r="Q273" s="94">
        <f t="shared" si="86"/>
        <v>8</v>
      </c>
      <c r="R273" s="94">
        <f t="shared" si="87"/>
        <v>15</v>
      </c>
      <c r="S273" s="94" t="str">
        <f>VLOOKUP(O273,'Lookup Values'!$I$2:$L$8,4,TRUE)</f>
        <v>Afternoon</v>
      </c>
      <c r="T273" t="s">
        <v>100</v>
      </c>
      <c r="U273" t="s">
        <v>101</v>
      </c>
      <c r="V273" t="str">
        <f t="shared" si="88"/>
        <v>Home: Cleaning Supplies</v>
      </c>
      <c r="W273" t="s">
        <v>99</v>
      </c>
      <c r="X273" t="s">
        <v>78</v>
      </c>
      <c r="Y273" s="1">
        <v>141</v>
      </c>
      <c r="Z273" s="1" t="str">
        <f t="shared" si="89"/>
        <v>Home: $141.00</v>
      </c>
      <c r="AA273" s="1">
        <f>IF(Y273="","",ROUND(Y273*'Lookup Values'!$A$2,2))</f>
        <v>12.51</v>
      </c>
      <c r="AB273" s="12" t="str">
        <f t="shared" si="90"/>
        <v>Expense</v>
      </c>
      <c r="AC273" s="2" t="s">
        <v>421</v>
      </c>
      <c r="AD273" s="3">
        <f t="shared" si="91"/>
        <v>41109</v>
      </c>
      <c r="AE273" s="93" t="str">
        <f t="shared" si="92"/>
        <v>NO</v>
      </c>
      <c r="AF273" s="2" t="str">
        <f t="shared" si="93"/>
        <v>NO</v>
      </c>
      <c r="AG273" t="str">
        <f t="shared" si="94"/>
        <v>CRAP Transaction</v>
      </c>
    </row>
    <row r="274" spans="1:33" x14ac:dyDescent="0.25">
      <c r="A274" s="2">
        <v>273</v>
      </c>
      <c r="B274" s="3" t="str">
        <f t="shared" si="76"/>
        <v>120126-TR-MTA</v>
      </c>
      <c r="C274" s="3">
        <v>40934</v>
      </c>
      <c r="D274" s="3">
        <f t="shared" si="78"/>
        <v>40948</v>
      </c>
      <c r="E274" s="3">
        <f t="shared" si="79"/>
        <v>40994</v>
      </c>
      <c r="F274" s="3">
        <f t="shared" si="80"/>
        <v>40939</v>
      </c>
      <c r="G274" s="76">
        <f t="shared" si="81"/>
        <v>2012</v>
      </c>
      <c r="H274" s="76">
        <f t="shared" si="82"/>
        <v>1</v>
      </c>
      <c r="I274" s="76" t="str">
        <f>VLOOKUP(H274,'Lookup Values'!$C$2:$D$13,2,FALSE)</f>
        <v>JAN</v>
      </c>
      <c r="J274" s="76">
        <f t="shared" si="83"/>
        <v>26</v>
      </c>
      <c r="K274" s="76">
        <f t="shared" si="84"/>
        <v>5</v>
      </c>
      <c r="L274" s="76" t="str">
        <f>VLOOKUP(K274,'Lookup Values'!$F$2:$G$8,2,FALSE)</f>
        <v>Thursday</v>
      </c>
      <c r="M274" s="3">
        <v>40939</v>
      </c>
      <c r="N274" s="78">
        <f t="shared" si="77"/>
        <v>5</v>
      </c>
      <c r="O274" s="11">
        <v>0.25243776728654255</v>
      </c>
      <c r="P274" s="94">
        <f t="shared" si="85"/>
        <v>6</v>
      </c>
      <c r="Q274" s="94">
        <f t="shared" si="86"/>
        <v>3</v>
      </c>
      <c r="R274" s="94">
        <f t="shared" si="87"/>
        <v>31</v>
      </c>
      <c r="S274" s="94" t="str">
        <f>VLOOKUP(O274,'Lookup Values'!$I$2:$L$8,4,TRUE)</f>
        <v>Early Morning</v>
      </c>
      <c r="T274" t="s">
        <v>95</v>
      </c>
      <c r="U274" t="s">
        <v>96</v>
      </c>
      <c r="V274" t="str">
        <f t="shared" si="88"/>
        <v>Transportation: Subway</v>
      </c>
      <c r="W274" t="s">
        <v>94</v>
      </c>
      <c r="X274" t="s">
        <v>91</v>
      </c>
      <c r="Y274" s="1">
        <v>422</v>
      </c>
      <c r="Z274" s="1" t="str">
        <f t="shared" si="89"/>
        <v>Transportation: $422.00</v>
      </c>
      <c r="AA274" s="1">
        <f>IF(Y274="","",ROUND(Y274*'Lookup Values'!$A$2,2))</f>
        <v>37.450000000000003</v>
      </c>
      <c r="AB274" s="12" t="str">
        <f t="shared" si="90"/>
        <v>Expense</v>
      </c>
      <c r="AC274" s="2" t="s">
        <v>422</v>
      </c>
      <c r="AD274" s="3">
        <f t="shared" si="91"/>
        <v>40934</v>
      </c>
      <c r="AE274" s="93" t="str">
        <f t="shared" si="92"/>
        <v>YES</v>
      </c>
      <c r="AF274" s="2" t="str">
        <f t="shared" si="93"/>
        <v>YES</v>
      </c>
      <c r="AG274" t="str">
        <f t="shared" si="94"/>
        <v>CRAP Transaction</v>
      </c>
    </row>
    <row r="275" spans="1:33" x14ac:dyDescent="0.25">
      <c r="A275" s="2">
        <v>274</v>
      </c>
      <c r="B275" s="3" t="str">
        <f t="shared" si="76"/>
        <v>080215-IN-EZE</v>
      </c>
      <c r="C275" s="3">
        <v>39493</v>
      </c>
      <c r="D275" s="3">
        <f t="shared" si="78"/>
        <v>39507</v>
      </c>
      <c r="E275" s="3">
        <f t="shared" si="79"/>
        <v>39553</v>
      </c>
      <c r="F275" s="3">
        <f t="shared" si="80"/>
        <v>39507</v>
      </c>
      <c r="G275" s="76">
        <f t="shared" si="81"/>
        <v>2008</v>
      </c>
      <c r="H275" s="76">
        <f t="shared" si="82"/>
        <v>2</v>
      </c>
      <c r="I275" s="76" t="str">
        <f>VLOOKUP(H275,'Lookup Values'!$C$2:$D$13,2,FALSE)</f>
        <v>FEB</v>
      </c>
      <c r="J275" s="76">
        <f t="shared" si="83"/>
        <v>15</v>
      </c>
      <c r="K275" s="76">
        <f t="shared" si="84"/>
        <v>6</v>
      </c>
      <c r="L275" s="76" t="str">
        <f>VLOOKUP(K275,'Lookup Values'!$F$2:$G$8,2,FALSE)</f>
        <v>Friday</v>
      </c>
      <c r="M275" s="3">
        <v>39496</v>
      </c>
      <c r="N275" s="78">
        <f t="shared" si="77"/>
        <v>3</v>
      </c>
      <c r="O275" s="11">
        <v>3.7852002675884178E-2</v>
      </c>
      <c r="P275" s="94">
        <f t="shared" si="85"/>
        <v>0</v>
      </c>
      <c r="Q275" s="94">
        <f t="shared" si="86"/>
        <v>54</v>
      </c>
      <c r="R275" s="94">
        <f t="shared" si="87"/>
        <v>30</v>
      </c>
      <c r="S275" s="94" t="str">
        <f>VLOOKUP(O275,'Lookup Values'!$I$2:$L$8,4,TRUE)</f>
        <v>Dead of Night</v>
      </c>
      <c r="T275" t="s">
        <v>158</v>
      </c>
      <c r="U275" t="s">
        <v>159</v>
      </c>
      <c r="V275" t="str">
        <f t="shared" si="88"/>
        <v>Income: Salary</v>
      </c>
      <c r="W275" t="s">
        <v>162</v>
      </c>
      <c r="X275" t="s">
        <v>88</v>
      </c>
      <c r="Y275" s="1">
        <v>68</v>
      </c>
      <c r="Z275" s="1" t="str">
        <f t="shared" si="89"/>
        <v>Income: $68.00</v>
      </c>
      <c r="AA275" s="1">
        <f>IF(Y275="","",ROUND(Y275*'Lookup Values'!$A$2,2))</f>
        <v>6.04</v>
      </c>
      <c r="AB275" s="12" t="str">
        <f t="shared" si="90"/>
        <v>Income</v>
      </c>
      <c r="AC275" s="2" t="s">
        <v>423</v>
      </c>
      <c r="AD275" s="3">
        <f t="shared" si="91"/>
        <v>39493</v>
      </c>
      <c r="AE275" s="93" t="str">
        <f t="shared" si="92"/>
        <v>NO</v>
      </c>
      <c r="AF275" s="2" t="str">
        <f t="shared" si="93"/>
        <v>NO</v>
      </c>
      <c r="AG275" t="str">
        <f t="shared" si="94"/>
        <v>Late Transaction</v>
      </c>
    </row>
    <row r="276" spans="1:33" x14ac:dyDescent="0.25">
      <c r="A276" s="2">
        <v>275</v>
      </c>
      <c r="B276" s="3" t="str">
        <f t="shared" si="76"/>
        <v>090620-EN-FAN</v>
      </c>
      <c r="C276" s="3">
        <v>39984</v>
      </c>
      <c r="D276" s="3">
        <f t="shared" si="78"/>
        <v>39997</v>
      </c>
      <c r="E276" s="3">
        <f t="shared" si="79"/>
        <v>40045</v>
      </c>
      <c r="F276" s="3">
        <f t="shared" si="80"/>
        <v>39994</v>
      </c>
      <c r="G276" s="76">
        <f t="shared" si="81"/>
        <v>2009</v>
      </c>
      <c r="H276" s="76">
        <f t="shared" si="82"/>
        <v>6</v>
      </c>
      <c r="I276" s="76" t="str">
        <f>VLOOKUP(H276,'Lookup Values'!$C$2:$D$13,2,FALSE)</f>
        <v>JUN</v>
      </c>
      <c r="J276" s="76">
        <f t="shared" si="83"/>
        <v>20</v>
      </c>
      <c r="K276" s="76">
        <f t="shared" si="84"/>
        <v>7</v>
      </c>
      <c r="L276" s="76" t="str">
        <f>VLOOKUP(K276,'Lookup Values'!$F$2:$G$8,2,FALSE)</f>
        <v>Saturday</v>
      </c>
      <c r="M276" s="3">
        <v>39986</v>
      </c>
      <c r="N276" s="78">
        <f t="shared" si="77"/>
        <v>2</v>
      </c>
      <c r="O276" s="11">
        <v>8.4113919977552687E-2</v>
      </c>
      <c r="P276" s="94">
        <f t="shared" si="85"/>
        <v>2</v>
      </c>
      <c r="Q276" s="94">
        <f t="shared" si="86"/>
        <v>1</v>
      </c>
      <c r="R276" s="94">
        <f t="shared" si="87"/>
        <v>7</v>
      </c>
      <c r="S276" s="94" t="str">
        <f>VLOOKUP(O276,'Lookup Values'!$I$2:$L$8,4,TRUE)</f>
        <v>Dead of Night</v>
      </c>
      <c r="T276" t="s">
        <v>76</v>
      </c>
      <c r="U276" t="s">
        <v>90</v>
      </c>
      <c r="V276" t="str">
        <f t="shared" si="88"/>
        <v>Entertainment: Movies</v>
      </c>
      <c r="W276" t="s">
        <v>89</v>
      </c>
      <c r="X276" t="s">
        <v>91</v>
      </c>
      <c r="Y276" s="1">
        <v>319</v>
      </c>
      <c r="Z276" s="1" t="str">
        <f t="shared" si="89"/>
        <v>Entertainment: $319.00</v>
      </c>
      <c r="AA276" s="1">
        <f>IF(Y276="","",ROUND(Y276*'Lookup Values'!$A$2,2))</f>
        <v>28.31</v>
      </c>
      <c r="AB276" s="12" t="str">
        <f t="shared" si="90"/>
        <v>Expense</v>
      </c>
      <c r="AC276" s="2" t="s">
        <v>424</v>
      </c>
      <c r="AD276" s="3">
        <f t="shared" si="91"/>
        <v>39984</v>
      </c>
      <c r="AE276" s="93" t="str">
        <f t="shared" si="92"/>
        <v>NO</v>
      </c>
      <c r="AF276" s="2" t="str">
        <f t="shared" si="93"/>
        <v>NO</v>
      </c>
      <c r="AG276" t="str">
        <f t="shared" si="94"/>
        <v>Awesome Transaction</v>
      </c>
    </row>
    <row r="277" spans="1:33" x14ac:dyDescent="0.25">
      <c r="A277" s="2">
        <v>276</v>
      </c>
      <c r="B277" s="3" t="str">
        <f t="shared" si="76"/>
        <v>080609-ED-SKI</v>
      </c>
      <c r="C277" s="3">
        <v>39608</v>
      </c>
      <c r="D277" s="3">
        <f t="shared" si="78"/>
        <v>39622</v>
      </c>
      <c r="E277" s="3">
        <f t="shared" si="79"/>
        <v>39669</v>
      </c>
      <c r="F277" s="3">
        <f t="shared" si="80"/>
        <v>39629</v>
      </c>
      <c r="G277" s="76">
        <f t="shared" si="81"/>
        <v>2008</v>
      </c>
      <c r="H277" s="76">
        <f t="shared" si="82"/>
        <v>6</v>
      </c>
      <c r="I277" s="76" t="str">
        <f>VLOOKUP(H277,'Lookup Values'!$C$2:$D$13,2,FALSE)</f>
        <v>JUN</v>
      </c>
      <c r="J277" s="76">
        <f t="shared" si="83"/>
        <v>9</v>
      </c>
      <c r="K277" s="76">
        <f t="shared" si="84"/>
        <v>2</v>
      </c>
      <c r="L277" s="76" t="str">
        <f>VLOOKUP(K277,'Lookup Values'!$F$2:$G$8,2,FALSE)</f>
        <v>Monday</v>
      </c>
      <c r="M277" s="3">
        <v>39613</v>
      </c>
      <c r="N277" s="78">
        <f t="shared" si="77"/>
        <v>5</v>
      </c>
      <c r="O277" s="11">
        <v>0.66323735204551981</v>
      </c>
      <c r="P277" s="94">
        <f t="shared" si="85"/>
        <v>15</v>
      </c>
      <c r="Q277" s="94">
        <f t="shared" si="86"/>
        <v>55</v>
      </c>
      <c r="R277" s="94">
        <f t="shared" si="87"/>
        <v>4</v>
      </c>
      <c r="S277" s="94" t="str">
        <f>VLOOKUP(O277,'Lookup Values'!$I$2:$L$8,4,TRUE)</f>
        <v>Afternoon</v>
      </c>
      <c r="T277" t="s">
        <v>86</v>
      </c>
      <c r="U277" t="s">
        <v>98</v>
      </c>
      <c r="V277" t="str">
        <f t="shared" si="88"/>
        <v>Education: Professional Development</v>
      </c>
      <c r="W277" t="s">
        <v>97</v>
      </c>
      <c r="X277" t="s">
        <v>91</v>
      </c>
      <c r="Y277" s="1">
        <v>296</v>
      </c>
      <c r="Z277" s="1" t="str">
        <f t="shared" si="89"/>
        <v>Education: $296.00</v>
      </c>
      <c r="AA277" s="1">
        <f>IF(Y277="","",ROUND(Y277*'Lookup Values'!$A$2,2))</f>
        <v>26.27</v>
      </c>
      <c r="AB277" s="12" t="str">
        <f t="shared" si="90"/>
        <v>Expense</v>
      </c>
      <c r="AC277" s="2" t="s">
        <v>425</v>
      </c>
      <c r="AD277" s="3">
        <f t="shared" si="91"/>
        <v>39608</v>
      </c>
      <c r="AE277" s="93" t="str">
        <f t="shared" si="92"/>
        <v>YES</v>
      </c>
      <c r="AF277" s="2" t="str">
        <f t="shared" si="93"/>
        <v>NO</v>
      </c>
      <c r="AG277" t="str">
        <f t="shared" si="94"/>
        <v>Late Transaction</v>
      </c>
    </row>
    <row r="278" spans="1:33" x14ac:dyDescent="0.25">
      <c r="A278" s="2">
        <v>277</v>
      </c>
      <c r="B278" s="3" t="str">
        <f t="shared" si="76"/>
        <v>110921-EN-MOE</v>
      </c>
      <c r="C278" s="3">
        <v>40807</v>
      </c>
      <c r="D278" s="3">
        <f t="shared" si="78"/>
        <v>40821</v>
      </c>
      <c r="E278" s="3">
        <f t="shared" si="79"/>
        <v>40868</v>
      </c>
      <c r="F278" s="3">
        <f t="shared" si="80"/>
        <v>40816</v>
      </c>
      <c r="G278" s="76">
        <f t="shared" si="81"/>
        <v>2011</v>
      </c>
      <c r="H278" s="76">
        <f t="shared" si="82"/>
        <v>9</v>
      </c>
      <c r="I278" s="76" t="str">
        <f>VLOOKUP(H278,'Lookup Values'!$C$2:$D$13,2,FALSE)</f>
        <v>SEP</v>
      </c>
      <c r="J278" s="76">
        <f t="shared" si="83"/>
        <v>21</v>
      </c>
      <c r="K278" s="76">
        <f t="shared" si="84"/>
        <v>4</v>
      </c>
      <c r="L278" s="76" t="str">
        <f>VLOOKUP(K278,'Lookup Values'!$F$2:$G$8,2,FALSE)</f>
        <v>Wednesday</v>
      </c>
      <c r="M278" s="3">
        <v>40813</v>
      </c>
      <c r="N278" s="78">
        <f t="shared" si="77"/>
        <v>6</v>
      </c>
      <c r="O278" s="11">
        <v>0.81205780912240388</v>
      </c>
      <c r="P278" s="94">
        <f t="shared" si="85"/>
        <v>19</v>
      </c>
      <c r="Q278" s="94">
        <f t="shared" si="86"/>
        <v>29</v>
      </c>
      <c r="R278" s="94">
        <f t="shared" si="87"/>
        <v>22</v>
      </c>
      <c r="S278" s="94" t="str">
        <f>VLOOKUP(O278,'Lookup Values'!$I$2:$L$8,4,TRUE)</f>
        <v>Evening</v>
      </c>
      <c r="T278" t="s">
        <v>76</v>
      </c>
      <c r="U278" t="s">
        <v>77</v>
      </c>
      <c r="V278" t="str">
        <f t="shared" si="88"/>
        <v>Entertainment: Alcohol</v>
      </c>
      <c r="W278" t="s">
        <v>75</v>
      </c>
      <c r="X278" t="s">
        <v>78</v>
      </c>
      <c r="Y278" s="1">
        <v>65</v>
      </c>
      <c r="Z278" s="1" t="str">
        <f t="shared" si="89"/>
        <v>Entertainment: $65.00</v>
      </c>
      <c r="AA278" s="1">
        <f>IF(Y278="","",ROUND(Y278*'Lookup Values'!$A$2,2))</f>
        <v>5.77</v>
      </c>
      <c r="AB278" s="12" t="str">
        <f t="shared" si="90"/>
        <v>Expense</v>
      </c>
      <c r="AC278" s="2" t="s">
        <v>426</v>
      </c>
      <c r="AD278" s="3">
        <f t="shared" si="91"/>
        <v>40807</v>
      </c>
      <c r="AE278" s="93" t="str">
        <f t="shared" si="92"/>
        <v>NO</v>
      </c>
      <c r="AF278" s="2" t="str">
        <f t="shared" si="93"/>
        <v>NO</v>
      </c>
      <c r="AG278" t="str">
        <f t="shared" si="94"/>
        <v>CRAP Transaction</v>
      </c>
    </row>
    <row r="279" spans="1:33" x14ac:dyDescent="0.25">
      <c r="A279" s="2">
        <v>278</v>
      </c>
      <c r="B279" s="3" t="str">
        <f t="shared" si="76"/>
        <v>090920-SH-AMA</v>
      </c>
      <c r="C279" s="3">
        <v>40076</v>
      </c>
      <c r="D279" s="3">
        <f t="shared" si="78"/>
        <v>40088</v>
      </c>
      <c r="E279" s="3">
        <f t="shared" si="79"/>
        <v>40137</v>
      </c>
      <c r="F279" s="3">
        <f t="shared" si="80"/>
        <v>40086</v>
      </c>
      <c r="G279" s="76">
        <f t="shared" si="81"/>
        <v>2009</v>
      </c>
      <c r="H279" s="76">
        <f t="shared" si="82"/>
        <v>9</v>
      </c>
      <c r="I279" s="76" t="str">
        <f>VLOOKUP(H279,'Lookup Values'!$C$2:$D$13,2,FALSE)</f>
        <v>SEP</v>
      </c>
      <c r="J279" s="76">
        <f t="shared" si="83"/>
        <v>20</v>
      </c>
      <c r="K279" s="76">
        <f t="shared" si="84"/>
        <v>1</v>
      </c>
      <c r="L279" s="76" t="str">
        <f>VLOOKUP(K279,'Lookup Values'!$F$2:$G$8,2,FALSE)</f>
        <v>Sunday</v>
      </c>
      <c r="M279" s="3">
        <v>40083</v>
      </c>
      <c r="N279" s="78">
        <f t="shared" si="77"/>
        <v>7</v>
      </c>
      <c r="O279" s="11">
        <v>0.63504332921141171</v>
      </c>
      <c r="P279" s="94">
        <f t="shared" si="85"/>
        <v>15</v>
      </c>
      <c r="Q279" s="94">
        <f t="shared" si="86"/>
        <v>14</v>
      </c>
      <c r="R279" s="94">
        <f t="shared" si="87"/>
        <v>28</v>
      </c>
      <c r="S279" s="94" t="str">
        <f>VLOOKUP(O279,'Lookup Values'!$I$2:$L$8,4,TRUE)</f>
        <v>Afternoon</v>
      </c>
      <c r="T279" t="s">
        <v>83</v>
      </c>
      <c r="U279" t="s">
        <v>84</v>
      </c>
      <c r="V279" t="str">
        <f t="shared" si="88"/>
        <v>Shopping: Electronics</v>
      </c>
      <c r="W279" t="s">
        <v>82</v>
      </c>
      <c r="X279" t="s">
        <v>91</v>
      </c>
      <c r="Y279" s="1">
        <v>420</v>
      </c>
      <c r="Z279" s="1" t="str">
        <f t="shared" si="89"/>
        <v>Shopping: $420.00</v>
      </c>
      <c r="AA279" s="1">
        <f>IF(Y279="","",ROUND(Y279*'Lookup Values'!$A$2,2))</f>
        <v>37.28</v>
      </c>
      <c r="AB279" s="12" t="str">
        <f t="shared" si="90"/>
        <v>Expense</v>
      </c>
      <c r="AC279" s="2" t="s">
        <v>427</v>
      </c>
      <c r="AD279" s="3">
        <f t="shared" si="91"/>
        <v>40076</v>
      </c>
      <c r="AE279" s="93" t="str">
        <f t="shared" si="92"/>
        <v>YES</v>
      </c>
      <c r="AF279" s="2" t="str">
        <f t="shared" si="93"/>
        <v>YES</v>
      </c>
      <c r="AG279" t="str">
        <f t="shared" si="94"/>
        <v>Awesome Transaction</v>
      </c>
    </row>
    <row r="280" spans="1:33" x14ac:dyDescent="0.25">
      <c r="A280" s="2">
        <v>279</v>
      </c>
      <c r="B280" s="3" t="str">
        <f t="shared" si="76"/>
        <v>080524-EN-MOE</v>
      </c>
      <c r="C280" s="3">
        <v>39592</v>
      </c>
      <c r="D280" s="3">
        <f t="shared" si="78"/>
        <v>39605</v>
      </c>
      <c r="E280" s="3">
        <f t="shared" si="79"/>
        <v>39653</v>
      </c>
      <c r="F280" s="3">
        <f t="shared" si="80"/>
        <v>39599</v>
      </c>
      <c r="G280" s="76">
        <f t="shared" si="81"/>
        <v>2008</v>
      </c>
      <c r="H280" s="76">
        <f t="shared" si="82"/>
        <v>5</v>
      </c>
      <c r="I280" s="76" t="str">
        <f>VLOOKUP(H280,'Lookup Values'!$C$2:$D$13,2,FALSE)</f>
        <v>MAY</v>
      </c>
      <c r="J280" s="76">
        <f t="shared" si="83"/>
        <v>24</v>
      </c>
      <c r="K280" s="76">
        <f t="shared" si="84"/>
        <v>7</v>
      </c>
      <c r="L280" s="76" t="str">
        <f>VLOOKUP(K280,'Lookup Values'!$F$2:$G$8,2,FALSE)</f>
        <v>Saturday</v>
      </c>
      <c r="M280" s="3">
        <v>39602</v>
      </c>
      <c r="N280" s="78">
        <f t="shared" si="77"/>
        <v>10</v>
      </c>
      <c r="O280" s="11">
        <v>0.5743940015686736</v>
      </c>
      <c r="P280" s="94">
        <f t="shared" si="85"/>
        <v>13</v>
      </c>
      <c r="Q280" s="94">
        <f t="shared" si="86"/>
        <v>47</v>
      </c>
      <c r="R280" s="94">
        <f t="shared" si="87"/>
        <v>8</v>
      </c>
      <c r="S280" s="94" t="str">
        <f>VLOOKUP(O280,'Lookup Values'!$I$2:$L$8,4,TRUE)</f>
        <v>Afternoon</v>
      </c>
      <c r="T280" t="s">
        <v>76</v>
      </c>
      <c r="U280" t="s">
        <v>77</v>
      </c>
      <c r="V280" t="str">
        <f t="shared" si="88"/>
        <v>Entertainment: Alcohol</v>
      </c>
      <c r="W280" t="s">
        <v>75</v>
      </c>
      <c r="X280" t="s">
        <v>78</v>
      </c>
      <c r="Y280" s="1">
        <v>21</v>
      </c>
      <c r="Z280" s="1" t="str">
        <f t="shared" si="89"/>
        <v>Entertainment: $21.00</v>
      </c>
      <c r="AA280" s="1">
        <f>IF(Y280="","",ROUND(Y280*'Lookup Values'!$A$2,2))</f>
        <v>1.86</v>
      </c>
      <c r="AB280" s="12" t="str">
        <f t="shared" si="90"/>
        <v>Expense</v>
      </c>
      <c r="AC280" s="2" t="s">
        <v>428</v>
      </c>
      <c r="AD280" s="3">
        <f t="shared" si="91"/>
        <v>39592</v>
      </c>
      <c r="AE280" s="93" t="str">
        <f t="shared" si="92"/>
        <v>NO</v>
      </c>
      <c r="AF280" s="2" t="str">
        <f t="shared" si="93"/>
        <v>NO</v>
      </c>
      <c r="AG280" t="str">
        <f t="shared" si="94"/>
        <v>Awesome Transaction</v>
      </c>
    </row>
    <row r="281" spans="1:33" x14ac:dyDescent="0.25">
      <c r="A281" s="2">
        <v>280</v>
      </c>
      <c r="B281" s="3" t="str">
        <f t="shared" si="76"/>
        <v>081101-FO-BAN</v>
      </c>
      <c r="C281" s="3">
        <v>39753</v>
      </c>
      <c r="D281" s="3">
        <f t="shared" si="78"/>
        <v>39766</v>
      </c>
      <c r="E281" s="3">
        <f t="shared" si="79"/>
        <v>39814</v>
      </c>
      <c r="F281" s="3">
        <f t="shared" si="80"/>
        <v>39782</v>
      </c>
      <c r="G281" s="76">
        <f t="shared" si="81"/>
        <v>2008</v>
      </c>
      <c r="H281" s="76">
        <f t="shared" si="82"/>
        <v>11</v>
      </c>
      <c r="I281" s="76" t="str">
        <f>VLOOKUP(H281,'Lookup Values'!$C$2:$D$13,2,FALSE)</f>
        <v>NOV</v>
      </c>
      <c r="J281" s="76">
        <f t="shared" si="83"/>
        <v>1</v>
      </c>
      <c r="K281" s="76">
        <f t="shared" si="84"/>
        <v>7</v>
      </c>
      <c r="L281" s="76" t="str">
        <f>VLOOKUP(K281,'Lookup Values'!$F$2:$G$8,2,FALSE)</f>
        <v>Saturday</v>
      </c>
      <c r="M281" s="3">
        <v>39756</v>
      </c>
      <c r="N281" s="78">
        <f t="shared" si="77"/>
        <v>3</v>
      </c>
      <c r="O281" s="11">
        <v>0.61611609313413895</v>
      </c>
      <c r="P281" s="94">
        <f t="shared" si="85"/>
        <v>14</v>
      </c>
      <c r="Q281" s="94">
        <f t="shared" si="86"/>
        <v>47</v>
      </c>
      <c r="R281" s="94">
        <f t="shared" si="87"/>
        <v>12</v>
      </c>
      <c r="S281" s="94" t="str">
        <f>VLOOKUP(O281,'Lookup Values'!$I$2:$L$8,4,TRUE)</f>
        <v>Afternoon</v>
      </c>
      <c r="T281" t="s">
        <v>80</v>
      </c>
      <c r="U281" t="s">
        <v>81</v>
      </c>
      <c r="V281" t="str">
        <f t="shared" si="88"/>
        <v>Food: Restaurants</v>
      </c>
      <c r="W281" t="s">
        <v>79</v>
      </c>
      <c r="X281" t="s">
        <v>78</v>
      </c>
      <c r="Y281" s="1">
        <v>210</v>
      </c>
      <c r="Z281" s="1" t="str">
        <f t="shared" si="89"/>
        <v>Food: $210.00</v>
      </c>
      <c r="AA281" s="1">
        <f>IF(Y281="","",ROUND(Y281*'Lookup Values'!$A$2,2))</f>
        <v>18.64</v>
      </c>
      <c r="AB281" s="12" t="str">
        <f t="shared" si="90"/>
        <v>Expense</v>
      </c>
      <c r="AC281" s="2" t="s">
        <v>429</v>
      </c>
      <c r="AD281" s="3">
        <f t="shared" si="91"/>
        <v>39753</v>
      </c>
      <c r="AE281" s="93" t="str">
        <f t="shared" si="92"/>
        <v>NO</v>
      </c>
      <c r="AF281" s="2" t="str">
        <f t="shared" si="93"/>
        <v>NO</v>
      </c>
      <c r="AG281" t="str">
        <f t="shared" si="94"/>
        <v>Awesome Transaction</v>
      </c>
    </row>
    <row r="282" spans="1:33" x14ac:dyDescent="0.25">
      <c r="A282" s="2">
        <v>281</v>
      </c>
      <c r="B282" s="3" t="str">
        <f t="shared" si="76"/>
        <v>110411-TR-MTA</v>
      </c>
      <c r="C282" s="3">
        <v>40644</v>
      </c>
      <c r="D282" s="3">
        <f t="shared" si="78"/>
        <v>40658</v>
      </c>
      <c r="E282" s="3">
        <f t="shared" si="79"/>
        <v>40705</v>
      </c>
      <c r="F282" s="3">
        <f t="shared" si="80"/>
        <v>40663</v>
      </c>
      <c r="G282" s="76">
        <f t="shared" si="81"/>
        <v>2011</v>
      </c>
      <c r="H282" s="76">
        <f t="shared" si="82"/>
        <v>4</v>
      </c>
      <c r="I282" s="76" t="str">
        <f>VLOOKUP(H282,'Lookup Values'!$C$2:$D$13,2,FALSE)</f>
        <v>APR</v>
      </c>
      <c r="J282" s="76">
        <f t="shared" si="83"/>
        <v>11</v>
      </c>
      <c r="K282" s="76">
        <f t="shared" si="84"/>
        <v>2</v>
      </c>
      <c r="L282" s="76" t="str">
        <f>VLOOKUP(K282,'Lookup Values'!$F$2:$G$8,2,FALSE)</f>
        <v>Monday</v>
      </c>
      <c r="M282" s="3">
        <v>40649</v>
      </c>
      <c r="N282" s="78">
        <f t="shared" si="77"/>
        <v>5</v>
      </c>
      <c r="O282" s="11">
        <v>0.88477926844418853</v>
      </c>
      <c r="P282" s="94">
        <f t="shared" si="85"/>
        <v>21</v>
      </c>
      <c r="Q282" s="94">
        <f t="shared" si="86"/>
        <v>14</v>
      </c>
      <c r="R282" s="94">
        <f t="shared" si="87"/>
        <v>5</v>
      </c>
      <c r="S282" s="94" t="str">
        <f>VLOOKUP(O282,'Lookup Values'!$I$2:$L$8,4,TRUE)</f>
        <v>Late Evening</v>
      </c>
      <c r="T282" t="s">
        <v>95</v>
      </c>
      <c r="U282" t="s">
        <v>96</v>
      </c>
      <c r="V282" t="str">
        <f t="shared" si="88"/>
        <v>Transportation: Subway</v>
      </c>
      <c r="W282" t="s">
        <v>94</v>
      </c>
      <c r="X282" t="s">
        <v>88</v>
      </c>
      <c r="Y282" s="1">
        <v>128</v>
      </c>
      <c r="Z282" s="1" t="str">
        <f t="shared" si="89"/>
        <v>Transportation: $128.00</v>
      </c>
      <c r="AA282" s="1">
        <f>IF(Y282="","",ROUND(Y282*'Lookup Values'!$A$2,2))</f>
        <v>11.36</v>
      </c>
      <c r="AB282" s="12" t="str">
        <f t="shared" si="90"/>
        <v>Expense</v>
      </c>
      <c r="AC282" s="2" t="s">
        <v>430</v>
      </c>
      <c r="AD282" s="3">
        <f t="shared" si="91"/>
        <v>40644</v>
      </c>
      <c r="AE282" s="93" t="str">
        <f t="shared" si="92"/>
        <v>YES</v>
      </c>
      <c r="AF282" s="2" t="str">
        <f t="shared" si="93"/>
        <v>NO</v>
      </c>
      <c r="AG282" t="str">
        <f t="shared" si="94"/>
        <v>CRAP Transaction</v>
      </c>
    </row>
    <row r="283" spans="1:33" x14ac:dyDescent="0.25">
      <c r="A283" s="2">
        <v>282</v>
      </c>
      <c r="B283" s="3" t="str">
        <f t="shared" si="76"/>
        <v>070808-ED-ANT</v>
      </c>
      <c r="C283" s="3">
        <v>39302</v>
      </c>
      <c r="D283" s="3">
        <f t="shared" si="78"/>
        <v>39316</v>
      </c>
      <c r="E283" s="3">
        <f t="shared" si="79"/>
        <v>39363</v>
      </c>
      <c r="F283" s="3">
        <f t="shared" si="80"/>
        <v>39325</v>
      </c>
      <c r="G283" s="76">
        <f t="shared" si="81"/>
        <v>2007</v>
      </c>
      <c r="H283" s="76">
        <f t="shared" si="82"/>
        <v>8</v>
      </c>
      <c r="I283" s="76" t="str">
        <f>VLOOKUP(H283,'Lookup Values'!$C$2:$D$13,2,FALSE)</f>
        <v>AUG</v>
      </c>
      <c r="J283" s="76">
        <f t="shared" si="83"/>
        <v>8</v>
      </c>
      <c r="K283" s="76">
        <f t="shared" si="84"/>
        <v>4</v>
      </c>
      <c r="L283" s="76" t="str">
        <f>VLOOKUP(K283,'Lookup Values'!$F$2:$G$8,2,FALSE)</f>
        <v>Wednesday</v>
      </c>
      <c r="M283" s="3">
        <v>39305</v>
      </c>
      <c r="N283" s="78">
        <f t="shared" si="77"/>
        <v>3</v>
      </c>
      <c r="O283" s="11">
        <v>0.44180964788565924</v>
      </c>
      <c r="P283" s="94">
        <f t="shared" si="85"/>
        <v>10</v>
      </c>
      <c r="Q283" s="94">
        <f t="shared" si="86"/>
        <v>36</v>
      </c>
      <c r="R283" s="94">
        <f t="shared" si="87"/>
        <v>12</v>
      </c>
      <c r="S283" s="94" t="str">
        <f>VLOOKUP(O283,'Lookup Values'!$I$2:$L$8,4,TRUE)</f>
        <v>Late Morning</v>
      </c>
      <c r="T283" t="s">
        <v>86</v>
      </c>
      <c r="U283" t="s">
        <v>87</v>
      </c>
      <c r="V283" t="str">
        <f t="shared" si="88"/>
        <v>Education: Tango Lessons</v>
      </c>
      <c r="W283" t="s">
        <v>85</v>
      </c>
      <c r="X283" t="s">
        <v>91</v>
      </c>
      <c r="Y283" s="1">
        <v>87</v>
      </c>
      <c r="Z283" s="1" t="str">
        <f t="shared" si="89"/>
        <v>Education: $87.00</v>
      </c>
      <c r="AA283" s="1">
        <f>IF(Y283="","",ROUND(Y283*'Lookup Values'!$A$2,2))</f>
        <v>7.72</v>
      </c>
      <c r="AB283" s="12" t="str">
        <f t="shared" si="90"/>
        <v>Expense</v>
      </c>
      <c r="AC283" s="2" t="s">
        <v>431</v>
      </c>
      <c r="AD283" s="3">
        <f t="shared" si="91"/>
        <v>39302</v>
      </c>
      <c r="AE283" s="93" t="str">
        <f t="shared" si="92"/>
        <v>NO</v>
      </c>
      <c r="AF283" s="2" t="str">
        <f t="shared" si="93"/>
        <v>NO</v>
      </c>
      <c r="AG283" t="str">
        <f t="shared" si="94"/>
        <v>Late Transaction</v>
      </c>
    </row>
    <row r="284" spans="1:33" x14ac:dyDescent="0.25">
      <c r="A284" s="2">
        <v>283</v>
      </c>
      <c r="B284" s="3" t="str">
        <f t="shared" si="76"/>
        <v>110922-FO-TRA</v>
      </c>
      <c r="C284" s="3">
        <v>40808</v>
      </c>
      <c r="D284" s="3">
        <f t="shared" si="78"/>
        <v>40822</v>
      </c>
      <c r="E284" s="3">
        <f t="shared" si="79"/>
        <v>40869</v>
      </c>
      <c r="F284" s="3">
        <f t="shared" si="80"/>
        <v>40816</v>
      </c>
      <c r="G284" s="76">
        <f t="shared" si="81"/>
        <v>2011</v>
      </c>
      <c r="H284" s="76">
        <f t="shared" si="82"/>
        <v>9</v>
      </c>
      <c r="I284" s="76" t="str">
        <f>VLOOKUP(H284,'Lookup Values'!$C$2:$D$13,2,FALSE)</f>
        <v>SEP</v>
      </c>
      <c r="J284" s="76">
        <f t="shared" si="83"/>
        <v>22</v>
      </c>
      <c r="K284" s="76">
        <f t="shared" si="84"/>
        <v>5</v>
      </c>
      <c r="L284" s="76" t="str">
        <f>VLOOKUP(K284,'Lookup Values'!$F$2:$G$8,2,FALSE)</f>
        <v>Thursday</v>
      </c>
      <c r="M284" s="3">
        <v>40816</v>
      </c>
      <c r="N284" s="78">
        <f t="shared" si="77"/>
        <v>8</v>
      </c>
      <c r="O284" s="11">
        <v>0.10903843524853718</v>
      </c>
      <c r="P284" s="94">
        <f t="shared" si="85"/>
        <v>2</v>
      </c>
      <c r="Q284" s="94">
        <f t="shared" si="86"/>
        <v>37</v>
      </c>
      <c r="R284" s="94">
        <f t="shared" si="87"/>
        <v>1</v>
      </c>
      <c r="S284" s="94" t="str">
        <f>VLOOKUP(O284,'Lookup Values'!$I$2:$L$8,4,TRUE)</f>
        <v>Dead of Night</v>
      </c>
      <c r="T284" t="s">
        <v>80</v>
      </c>
      <c r="U284" t="s">
        <v>93</v>
      </c>
      <c r="V284" t="str">
        <f t="shared" si="88"/>
        <v>Food: Groceries</v>
      </c>
      <c r="W284" t="s">
        <v>92</v>
      </c>
      <c r="X284" t="s">
        <v>88</v>
      </c>
      <c r="Y284" s="1">
        <v>60</v>
      </c>
      <c r="Z284" s="1" t="str">
        <f t="shared" si="89"/>
        <v>Food: $60.00</v>
      </c>
      <c r="AA284" s="1">
        <f>IF(Y284="","",ROUND(Y284*'Lookup Values'!$A$2,2))</f>
        <v>5.33</v>
      </c>
      <c r="AB284" s="12" t="str">
        <f t="shared" si="90"/>
        <v>Expense</v>
      </c>
      <c r="AC284" s="2" t="s">
        <v>432</v>
      </c>
      <c r="AD284" s="3">
        <f t="shared" si="91"/>
        <v>40808</v>
      </c>
      <c r="AE284" s="93" t="str">
        <f t="shared" si="92"/>
        <v>NO</v>
      </c>
      <c r="AF284" s="2" t="str">
        <f t="shared" si="93"/>
        <v>NO</v>
      </c>
      <c r="AG284" t="str">
        <f t="shared" si="94"/>
        <v>CRAP Transaction</v>
      </c>
    </row>
    <row r="285" spans="1:33" x14ac:dyDescent="0.25">
      <c r="A285" s="2">
        <v>284</v>
      </c>
      <c r="B285" s="3" t="str">
        <f t="shared" si="76"/>
        <v>080416-TR-MTA</v>
      </c>
      <c r="C285" s="3">
        <v>39554</v>
      </c>
      <c r="D285" s="3">
        <f t="shared" si="78"/>
        <v>39568</v>
      </c>
      <c r="E285" s="3">
        <f t="shared" si="79"/>
        <v>39615</v>
      </c>
      <c r="F285" s="3">
        <f t="shared" si="80"/>
        <v>39568</v>
      </c>
      <c r="G285" s="76">
        <f t="shared" si="81"/>
        <v>2008</v>
      </c>
      <c r="H285" s="76">
        <f t="shared" si="82"/>
        <v>4</v>
      </c>
      <c r="I285" s="76" t="str">
        <f>VLOOKUP(H285,'Lookup Values'!$C$2:$D$13,2,FALSE)</f>
        <v>APR</v>
      </c>
      <c r="J285" s="76">
        <f t="shared" si="83"/>
        <v>16</v>
      </c>
      <c r="K285" s="76">
        <f t="shared" si="84"/>
        <v>4</v>
      </c>
      <c r="L285" s="76" t="str">
        <f>VLOOKUP(K285,'Lookup Values'!$F$2:$G$8,2,FALSE)</f>
        <v>Wednesday</v>
      </c>
      <c r="M285" s="3">
        <v>39555</v>
      </c>
      <c r="N285" s="78">
        <f t="shared" si="77"/>
        <v>1</v>
      </c>
      <c r="O285" s="11">
        <v>0.29951314241957638</v>
      </c>
      <c r="P285" s="94">
        <f t="shared" si="85"/>
        <v>7</v>
      </c>
      <c r="Q285" s="94">
        <f t="shared" si="86"/>
        <v>11</v>
      </c>
      <c r="R285" s="94">
        <f t="shared" si="87"/>
        <v>18</v>
      </c>
      <c r="S285" s="94" t="str">
        <f>VLOOKUP(O285,'Lookup Values'!$I$2:$L$8,4,TRUE)</f>
        <v>Morning</v>
      </c>
      <c r="T285" t="s">
        <v>95</v>
      </c>
      <c r="U285" t="s">
        <v>96</v>
      </c>
      <c r="V285" t="str">
        <f t="shared" si="88"/>
        <v>Transportation: Subway</v>
      </c>
      <c r="W285" t="s">
        <v>94</v>
      </c>
      <c r="X285" t="s">
        <v>91</v>
      </c>
      <c r="Y285" s="1">
        <v>245</v>
      </c>
      <c r="Z285" s="1" t="str">
        <f t="shared" si="89"/>
        <v>Transportation: $245.00</v>
      </c>
      <c r="AA285" s="1">
        <f>IF(Y285="","",ROUND(Y285*'Lookup Values'!$A$2,2))</f>
        <v>21.74</v>
      </c>
      <c r="AB285" s="12" t="str">
        <f t="shared" si="90"/>
        <v>Expense</v>
      </c>
      <c r="AC285" s="2" t="s">
        <v>433</v>
      </c>
      <c r="AD285" s="3">
        <f t="shared" si="91"/>
        <v>39554</v>
      </c>
      <c r="AE285" s="93" t="str">
        <f t="shared" si="92"/>
        <v>YES</v>
      </c>
      <c r="AF285" s="2" t="str">
        <f t="shared" si="93"/>
        <v>NO</v>
      </c>
      <c r="AG285" t="str">
        <f t="shared" si="94"/>
        <v>Late Transaction</v>
      </c>
    </row>
    <row r="286" spans="1:33" x14ac:dyDescent="0.25">
      <c r="A286" s="2">
        <v>285</v>
      </c>
      <c r="B286" s="3" t="str">
        <f t="shared" si="76"/>
        <v>100423-IN-LEG</v>
      </c>
      <c r="C286" s="3">
        <v>40291</v>
      </c>
      <c r="D286" s="3">
        <f t="shared" si="78"/>
        <v>40305</v>
      </c>
      <c r="E286" s="3">
        <f t="shared" si="79"/>
        <v>40352</v>
      </c>
      <c r="F286" s="3">
        <f t="shared" si="80"/>
        <v>40298</v>
      </c>
      <c r="G286" s="76">
        <f t="shared" si="81"/>
        <v>2010</v>
      </c>
      <c r="H286" s="76">
        <f t="shared" si="82"/>
        <v>4</v>
      </c>
      <c r="I286" s="76" t="str">
        <f>VLOOKUP(H286,'Lookup Values'!$C$2:$D$13,2,FALSE)</f>
        <v>APR</v>
      </c>
      <c r="J286" s="76">
        <f t="shared" si="83"/>
        <v>23</v>
      </c>
      <c r="K286" s="76">
        <f t="shared" si="84"/>
        <v>6</v>
      </c>
      <c r="L286" s="76" t="str">
        <f>VLOOKUP(K286,'Lookup Values'!$F$2:$G$8,2,FALSE)</f>
        <v>Friday</v>
      </c>
      <c r="M286" s="3">
        <v>40297</v>
      </c>
      <c r="N286" s="78">
        <f t="shared" si="77"/>
        <v>6</v>
      </c>
      <c r="O286" s="11">
        <v>8.616840278789295E-2</v>
      </c>
      <c r="P286" s="94">
        <f t="shared" si="85"/>
        <v>2</v>
      </c>
      <c r="Q286" s="94">
        <f t="shared" si="86"/>
        <v>4</v>
      </c>
      <c r="R286" s="94">
        <f t="shared" si="87"/>
        <v>5</v>
      </c>
      <c r="S286" s="94" t="str">
        <f>VLOOKUP(O286,'Lookup Values'!$I$2:$L$8,4,TRUE)</f>
        <v>Dead of Night</v>
      </c>
      <c r="T286" t="s">
        <v>158</v>
      </c>
      <c r="U286" t="s">
        <v>160</v>
      </c>
      <c r="V286" t="str">
        <f t="shared" si="88"/>
        <v>Income: Freelance Project</v>
      </c>
      <c r="W286" t="s">
        <v>163</v>
      </c>
      <c r="X286" t="s">
        <v>88</v>
      </c>
      <c r="Y286" s="1">
        <v>75</v>
      </c>
      <c r="Z286" s="1" t="str">
        <f t="shared" si="89"/>
        <v>Income: $75.00</v>
      </c>
      <c r="AA286" s="1">
        <f>IF(Y286="","",ROUND(Y286*'Lookup Values'!$A$2,2))</f>
        <v>6.66</v>
      </c>
      <c r="AB286" s="12" t="str">
        <f t="shared" si="90"/>
        <v>Income</v>
      </c>
      <c r="AC286" s="2" t="s">
        <v>434</v>
      </c>
      <c r="AD286" s="3">
        <f t="shared" si="91"/>
        <v>40291</v>
      </c>
      <c r="AE286" s="93" t="str">
        <f t="shared" si="92"/>
        <v>NO</v>
      </c>
      <c r="AF286" s="2" t="str">
        <f t="shared" si="93"/>
        <v>NO</v>
      </c>
      <c r="AG286" t="str">
        <f t="shared" si="94"/>
        <v>Late Transaction</v>
      </c>
    </row>
    <row r="287" spans="1:33" x14ac:dyDescent="0.25">
      <c r="A287" s="2">
        <v>286</v>
      </c>
      <c r="B287" s="3" t="str">
        <f t="shared" si="76"/>
        <v>070604-ED-SKI</v>
      </c>
      <c r="C287" s="3">
        <v>39237</v>
      </c>
      <c r="D287" s="3">
        <f t="shared" si="78"/>
        <v>39251</v>
      </c>
      <c r="E287" s="3">
        <f t="shared" si="79"/>
        <v>39298</v>
      </c>
      <c r="F287" s="3">
        <f t="shared" si="80"/>
        <v>39263</v>
      </c>
      <c r="G287" s="76">
        <f t="shared" si="81"/>
        <v>2007</v>
      </c>
      <c r="H287" s="76">
        <f t="shared" si="82"/>
        <v>6</v>
      </c>
      <c r="I287" s="76" t="str">
        <f>VLOOKUP(H287,'Lookup Values'!$C$2:$D$13,2,FALSE)</f>
        <v>JUN</v>
      </c>
      <c r="J287" s="76">
        <f t="shared" si="83"/>
        <v>4</v>
      </c>
      <c r="K287" s="76">
        <f t="shared" si="84"/>
        <v>2</v>
      </c>
      <c r="L287" s="76" t="str">
        <f>VLOOKUP(K287,'Lookup Values'!$F$2:$G$8,2,FALSE)</f>
        <v>Monday</v>
      </c>
      <c r="M287" s="3">
        <v>39243</v>
      </c>
      <c r="N287" s="78">
        <f t="shared" si="77"/>
        <v>6</v>
      </c>
      <c r="O287" s="11">
        <v>0.6093195170802771</v>
      </c>
      <c r="P287" s="94">
        <f t="shared" si="85"/>
        <v>14</v>
      </c>
      <c r="Q287" s="94">
        <f t="shared" si="86"/>
        <v>37</v>
      </c>
      <c r="R287" s="94">
        <f t="shared" si="87"/>
        <v>25</v>
      </c>
      <c r="S287" s="94" t="str">
        <f>VLOOKUP(O287,'Lookup Values'!$I$2:$L$8,4,TRUE)</f>
        <v>Afternoon</v>
      </c>
      <c r="T287" t="s">
        <v>86</v>
      </c>
      <c r="U287" t="s">
        <v>98</v>
      </c>
      <c r="V287" t="str">
        <f t="shared" si="88"/>
        <v>Education: Professional Development</v>
      </c>
      <c r="W287" t="s">
        <v>97</v>
      </c>
      <c r="X287" t="s">
        <v>78</v>
      </c>
      <c r="Y287" s="1">
        <v>246</v>
      </c>
      <c r="Z287" s="1" t="str">
        <f t="shared" si="89"/>
        <v>Education: $246.00</v>
      </c>
      <c r="AA287" s="1">
        <f>IF(Y287="","",ROUND(Y287*'Lookup Values'!$A$2,2))</f>
        <v>21.83</v>
      </c>
      <c r="AB287" s="12" t="str">
        <f t="shared" si="90"/>
        <v>Expense</v>
      </c>
      <c r="AC287" s="2" t="s">
        <v>435</v>
      </c>
      <c r="AD287" s="3">
        <f t="shared" si="91"/>
        <v>39237</v>
      </c>
      <c r="AE287" s="93" t="str">
        <f t="shared" si="92"/>
        <v>YES</v>
      </c>
      <c r="AF287" s="2" t="str">
        <f t="shared" si="93"/>
        <v>NO</v>
      </c>
      <c r="AG287" t="str">
        <f t="shared" si="94"/>
        <v>Late Transaction</v>
      </c>
    </row>
    <row r="288" spans="1:33" x14ac:dyDescent="0.25">
      <c r="A288" s="2">
        <v>287</v>
      </c>
      <c r="B288" s="3" t="str">
        <f t="shared" si="76"/>
        <v>120929-BI-CON</v>
      </c>
      <c r="C288" s="3">
        <v>41181</v>
      </c>
      <c r="D288" s="3">
        <f t="shared" si="78"/>
        <v>41194</v>
      </c>
      <c r="E288" s="3">
        <f t="shared" si="79"/>
        <v>41242</v>
      </c>
      <c r="F288" s="3">
        <f t="shared" si="80"/>
        <v>41182</v>
      </c>
      <c r="G288" s="76">
        <f t="shared" si="81"/>
        <v>2012</v>
      </c>
      <c r="H288" s="76">
        <f t="shared" si="82"/>
        <v>9</v>
      </c>
      <c r="I288" s="76" t="str">
        <f>VLOOKUP(H288,'Lookup Values'!$C$2:$D$13,2,FALSE)</f>
        <v>SEP</v>
      </c>
      <c r="J288" s="76">
        <f t="shared" si="83"/>
        <v>29</v>
      </c>
      <c r="K288" s="76">
        <f t="shared" si="84"/>
        <v>7</v>
      </c>
      <c r="L288" s="76" t="str">
        <f>VLOOKUP(K288,'Lookup Values'!$F$2:$G$8,2,FALSE)</f>
        <v>Saturday</v>
      </c>
      <c r="M288" s="3">
        <v>41184</v>
      </c>
      <c r="N288" s="78">
        <f t="shared" si="77"/>
        <v>3</v>
      </c>
      <c r="O288" s="11">
        <v>0.61659463256494684</v>
      </c>
      <c r="P288" s="94">
        <f t="shared" si="85"/>
        <v>14</v>
      </c>
      <c r="Q288" s="94">
        <f t="shared" si="86"/>
        <v>47</v>
      </c>
      <c r="R288" s="94">
        <f t="shared" si="87"/>
        <v>54</v>
      </c>
      <c r="S288" s="94" t="str">
        <f>VLOOKUP(O288,'Lookup Values'!$I$2:$L$8,4,TRUE)</f>
        <v>Afternoon</v>
      </c>
      <c r="T288" t="s">
        <v>110</v>
      </c>
      <c r="U288" t="s">
        <v>111</v>
      </c>
      <c r="V288" t="str">
        <f t="shared" si="88"/>
        <v>Bills: Utilities</v>
      </c>
      <c r="W288" t="s">
        <v>109</v>
      </c>
      <c r="X288" t="s">
        <v>78</v>
      </c>
      <c r="Y288" s="1">
        <v>59</v>
      </c>
      <c r="Z288" s="1" t="str">
        <f t="shared" si="89"/>
        <v>Bills: $59.00</v>
      </c>
      <c r="AA288" s="1">
        <f>IF(Y288="","",ROUND(Y288*'Lookup Values'!$A$2,2))</f>
        <v>5.24</v>
      </c>
      <c r="AB288" s="12" t="str">
        <f t="shared" si="90"/>
        <v>Expense</v>
      </c>
      <c r="AC288" s="2" t="s">
        <v>436</v>
      </c>
      <c r="AD288" s="3">
        <f t="shared" si="91"/>
        <v>41181</v>
      </c>
      <c r="AE288" s="93" t="str">
        <f t="shared" si="92"/>
        <v>NO</v>
      </c>
      <c r="AF288" s="2" t="str">
        <f t="shared" si="93"/>
        <v>NO</v>
      </c>
      <c r="AG288" t="str">
        <f t="shared" si="94"/>
        <v>CRAP Transaction</v>
      </c>
    </row>
    <row r="289" spans="1:33" x14ac:dyDescent="0.25">
      <c r="A289" s="2">
        <v>288</v>
      </c>
      <c r="B289" s="3" t="str">
        <f t="shared" si="76"/>
        <v>100226-IN-AUN</v>
      </c>
      <c r="C289" s="3">
        <v>40235</v>
      </c>
      <c r="D289" s="3">
        <f t="shared" si="78"/>
        <v>40249</v>
      </c>
      <c r="E289" s="3">
        <f t="shared" si="79"/>
        <v>40294</v>
      </c>
      <c r="F289" s="3">
        <f t="shared" si="80"/>
        <v>40237</v>
      </c>
      <c r="G289" s="76">
        <f t="shared" si="81"/>
        <v>2010</v>
      </c>
      <c r="H289" s="76">
        <f t="shared" si="82"/>
        <v>2</v>
      </c>
      <c r="I289" s="76" t="str">
        <f>VLOOKUP(H289,'Lookup Values'!$C$2:$D$13,2,FALSE)</f>
        <v>FEB</v>
      </c>
      <c r="J289" s="76">
        <f t="shared" si="83"/>
        <v>26</v>
      </c>
      <c r="K289" s="76">
        <f t="shared" si="84"/>
        <v>6</v>
      </c>
      <c r="L289" s="76" t="str">
        <f>VLOOKUP(K289,'Lookup Values'!$F$2:$G$8,2,FALSE)</f>
        <v>Friday</v>
      </c>
      <c r="M289" s="3">
        <v>40244</v>
      </c>
      <c r="N289" s="78">
        <f t="shared" si="77"/>
        <v>9</v>
      </c>
      <c r="O289" s="11">
        <v>0.70984750811160191</v>
      </c>
      <c r="P289" s="94">
        <f t="shared" si="85"/>
        <v>17</v>
      </c>
      <c r="Q289" s="94">
        <f t="shared" si="86"/>
        <v>2</v>
      </c>
      <c r="R289" s="94">
        <f t="shared" si="87"/>
        <v>11</v>
      </c>
      <c r="S289" s="94" t="str">
        <f>VLOOKUP(O289,'Lookup Values'!$I$2:$L$8,4,TRUE)</f>
        <v>Evening</v>
      </c>
      <c r="T289" t="s">
        <v>158</v>
      </c>
      <c r="U289" t="s">
        <v>161</v>
      </c>
      <c r="V289" t="str">
        <f t="shared" si="88"/>
        <v>Income: Gift Received</v>
      </c>
      <c r="W289" t="s">
        <v>164</v>
      </c>
      <c r="X289" t="s">
        <v>91</v>
      </c>
      <c r="Y289" s="1">
        <v>41</v>
      </c>
      <c r="Z289" s="1" t="str">
        <f t="shared" si="89"/>
        <v>Income: $41.00</v>
      </c>
      <c r="AA289" s="1">
        <f>IF(Y289="","",ROUND(Y289*'Lookup Values'!$A$2,2))</f>
        <v>3.64</v>
      </c>
      <c r="AB289" s="12" t="str">
        <f t="shared" si="90"/>
        <v>Income</v>
      </c>
      <c r="AC289" s="2" t="s">
        <v>396</v>
      </c>
      <c r="AD289" s="3">
        <f t="shared" si="91"/>
        <v>40235</v>
      </c>
      <c r="AE289" s="93" t="str">
        <f t="shared" si="92"/>
        <v>NO</v>
      </c>
      <c r="AF289" s="2" t="str">
        <f t="shared" si="93"/>
        <v>NO</v>
      </c>
      <c r="AG289" t="str">
        <f t="shared" si="94"/>
        <v>Late Transaction</v>
      </c>
    </row>
    <row r="290" spans="1:33" x14ac:dyDescent="0.25">
      <c r="A290" s="2">
        <v>289</v>
      </c>
      <c r="B290" s="3" t="str">
        <f t="shared" si="76"/>
        <v>110628-IN-EZE</v>
      </c>
      <c r="C290" s="3">
        <v>40722</v>
      </c>
      <c r="D290" s="3">
        <f t="shared" si="78"/>
        <v>40736</v>
      </c>
      <c r="E290" s="3">
        <f t="shared" si="79"/>
        <v>40783</v>
      </c>
      <c r="F290" s="3">
        <f t="shared" si="80"/>
        <v>40724</v>
      </c>
      <c r="G290" s="76">
        <f t="shared" si="81"/>
        <v>2011</v>
      </c>
      <c r="H290" s="76">
        <f t="shared" si="82"/>
        <v>6</v>
      </c>
      <c r="I290" s="76" t="str">
        <f>VLOOKUP(H290,'Lookup Values'!$C$2:$D$13,2,FALSE)</f>
        <v>JUN</v>
      </c>
      <c r="J290" s="76">
        <f t="shared" si="83"/>
        <v>28</v>
      </c>
      <c r="K290" s="76">
        <f t="shared" si="84"/>
        <v>3</v>
      </c>
      <c r="L290" s="76" t="str">
        <f>VLOOKUP(K290,'Lookup Values'!$F$2:$G$8,2,FALSE)</f>
        <v>Tuesday</v>
      </c>
      <c r="M290" s="3">
        <v>40728</v>
      </c>
      <c r="N290" s="78">
        <f t="shared" si="77"/>
        <v>6</v>
      </c>
      <c r="O290" s="11">
        <v>0.78506364397779183</v>
      </c>
      <c r="P290" s="94">
        <f t="shared" si="85"/>
        <v>18</v>
      </c>
      <c r="Q290" s="94">
        <f t="shared" si="86"/>
        <v>50</v>
      </c>
      <c r="R290" s="94">
        <f t="shared" si="87"/>
        <v>29</v>
      </c>
      <c r="S290" s="94" t="str">
        <f>VLOOKUP(O290,'Lookup Values'!$I$2:$L$8,4,TRUE)</f>
        <v>Evening</v>
      </c>
      <c r="T290" t="s">
        <v>158</v>
      </c>
      <c r="U290" t="s">
        <v>159</v>
      </c>
      <c r="V290" t="str">
        <f t="shared" si="88"/>
        <v>Income: Salary</v>
      </c>
      <c r="W290" t="s">
        <v>162</v>
      </c>
      <c r="X290" t="s">
        <v>91</v>
      </c>
      <c r="Y290" s="1">
        <v>433</v>
      </c>
      <c r="Z290" s="1" t="str">
        <f t="shared" si="89"/>
        <v>Income: $433.00</v>
      </c>
      <c r="AA290" s="1">
        <f>IF(Y290="","",ROUND(Y290*'Lookup Values'!$A$2,2))</f>
        <v>38.43</v>
      </c>
      <c r="AB290" s="12" t="str">
        <f t="shared" si="90"/>
        <v>Income</v>
      </c>
      <c r="AC290" s="2" t="s">
        <v>437</v>
      </c>
      <c r="AD290" s="3">
        <f t="shared" si="91"/>
        <v>40722</v>
      </c>
      <c r="AE290" s="93" t="str">
        <f t="shared" si="92"/>
        <v>NO</v>
      </c>
      <c r="AF290" s="2" t="str">
        <f t="shared" si="93"/>
        <v>NO</v>
      </c>
      <c r="AG290" t="str">
        <f t="shared" si="94"/>
        <v>CRAP Transaction</v>
      </c>
    </row>
    <row r="291" spans="1:33" x14ac:dyDescent="0.25">
      <c r="A291" s="2">
        <v>290</v>
      </c>
      <c r="B291" s="3" t="str">
        <f t="shared" si="76"/>
        <v>090825-FO-BAN</v>
      </c>
      <c r="C291" s="3">
        <v>40050</v>
      </c>
      <c r="D291" s="3">
        <f t="shared" si="78"/>
        <v>40064</v>
      </c>
      <c r="E291" s="3">
        <f t="shared" si="79"/>
        <v>40111</v>
      </c>
      <c r="F291" s="3">
        <f t="shared" si="80"/>
        <v>40056</v>
      </c>
      <c r="G291" s="76">
        <f t="shared" si="81"/>
        <v>2009</v>
      </c>
      <c r="H291" s="76">
        <f t="shared" si="82"/>
        <v>8</v>
      </c>
      <c r="I291" s="76" t="str">
        <f>VLOOKUP(H291,'Lookup Values'!$C$2:$D$13,2,FALSE)</f>
        <v>AUG</v>
      </c>
      <c r="J291" s="76">
        <f t="shared" si="83"/>
        <v>25</v>
      </c>
      <c r="K291" s="76">
        <f t="shared" si="84"/>
        <v>3</v>
      </c>
      <c r="L291" s="76" t="str">
        <f>VLOOKUP(K291,'Lookup Values'!$F$2:$G$8,2,FALSE)</f>
        <v>Tuesday</v>
      </c>
      <c r="M291" s="3">
        <v>40059</v>
      </c>
      <c r="N291" s="78">
        <f t="shared" si="77"/>
        <v>9</v>
      </c>
      <c r="O291" s="11">
        <v>0.50698044397078579</v>
      </c>
      <c r="P291" s="94">
        <f t="shared" si="85"/>
        <v>12</v>
      </c>
      <c r="Q291" s="94">
        <f t="shared" si="86"/>
        <v>10</v>
      </c>
      <c r="R291" s="94">
        <f t="shared" si="87"/>
        <v>3</v>
      </c>
      <c r="S291" s="94" t="str">
        <f>VLOOKUP(O291,'Lookup Values'!$I$2:$L$8,4,TRUE)</f>
        <v>Afternoon</v>
      </c>
      <c r="T291" t="s">
        <v>80</v>
      </c>
      <c r="U291" t="s">
        <v>81</v>
      </c>
      <c r="V291" t="str">
        <f t="shared" si="88"/>
        <v>Food: Restaurants</v>
      </c>
      <c r="W291" t="s">
        <v>79</v>
      </c>
      <c r="X291" t="s">
        <v>91</v>
      </c>
      <c r="Y291" s="1">
        <v>114</v>
      </c>
      <c r="Z291" s="1" t="str">
        <f t="shared" si="89"/>
        <v>Food: $114.00</v>
      </c>
      <c r="AA291" s="1">
        <f>IF(Y291="","",ROUND(Y291*'Lookup Values'!$A$2,2))</f>
        <v>10.119999999999999</v>
      </c>
      <c r="AB291" s="12" t="str">
        <f t="shared" si="90"/>
        <v>Expense</v>
      </c>
      <c r="AC291" s="2" t="s">
        <v>438</v>
      </c>
      <c r="AD291" s="3">
        <f t="shared" si="91"/>
        <v>40050</v>
      </c>
      <c r="AE291" s="93" t="str">
        <f t="shared" si="92"/>
        <v>NO</v>
      </c>
      <c r="AF291" s="2" t="str">
        <f t="shared" si="93"/>
        <v>NO</v>
      </c>
      <c r="AG291" t="str">
        <f t="shared" si="94"/>
        <v>Awesome Transaction</v>
      </c>
    </row>
    <row r="292" spans="1:33" x14ac:dyDescent="0.25">
      <c r="A292" s="2">
        <v>291</v>
      </c>
      <c r="B292" s="3" t="str">
        <f t="shared" si="76"/>
        <v>110718-EN-FAN</v>
      </c>
      <c r="C292" s="3">
        <v>40742</v>
      </c>
      <c r="D292" s="3">
        <f t="shared" si="78"/>
        <v>40756</v>
      </c>
      <c r="E292" s="3">
        <f t="shared" si="79"/>
        <v>40804</v>
      </c>
      <c r="F292" s="3">
        <f t="shared" si="80"/>
        <v>40755</v>
      </c>
      <c r="G292" s="76">
        <f t="shared" si="81"/>
        <v>2011</v>
      </c>
      <c r="H292" s="76">
        <f t="shared" si="82"/>
        <v>7</v>
      </c>
      <c r="I292" s="76" t="str">
        <f>VLOOKUP(H292,'Lookup Values'!$C$2:$D$13,2,FALSE)</f>
        <v>JUL</v>
      </c>
      <c r="J292" s="76">
        <f t="shared" si="83"/>
        <v>18</v>
      </c>
      <c r="K292" s="76">
        <f t="shared" si="84"/>
        <v>2</v>
      </c>
      <c r="L292" s="76" t="str">
        <f>VLOOKUP(K292,'Lookup Values'!$F$2:$G$8,2,FALSE)</f>
        <v>Monday</v>
      </c>
      <c r="M292" s="3">
        <v>40744</v>
      </c>
      <c r="N292" s="78">
        <f t="shared" si="77"/>
        <v>2</v>
      </c>
      <c r="O292" s="11">
        <v>0.35599115707876161</v>
      </c>
      <c r="P292" s="94">
        <f t="shared" si="85"/>
        <v>8</v>
      </c>
      <c r="Q292" s="94">
        <f t="shared" si="86"/>
        <v>32</v>
      </c>
      <c r="R292" s="94">
        <f t="shared" si="87"/>
        <v>38</v>
      </c>
      <c r="S292" s="94" t="str">
        <f>VLOOKUP(O292,'Lookup Values'!$I$2:$L$8,4,TRUE)</f>
        <v>Morning</v>
      </c>
      <c r="T292" t="s">
        <v>76</v>
      </c>
      <c r="U292" t="s">
        <v>90</v>
      </c>
      <c r="V292" t="str">
        <f t="shared" si="88"/>
        <v>Entertainment: Movies</v>
      </c>
      <c r="W292" t="s">
        <v>89</v>
      </c>
      <c r="X292" t="s">
        <v>78</v>
      </c>
      <c r="Y292" s="1">
        <v>493</v>
      </c>
      <c r="Z292" s="1" t="str">
        <f t="shared" si="89"/>
        <v>Entertainment: $493.00</v>
      </c>
      <c r="AA292" s="1">
        <f>IF(Y292="","",ROUND(Y292*'Lookup Values'!$A$2,2))</f>
        <v>43.75</v>
      </c>
      <c r="AB292" s="12" t="str">
        <f t="shared" si="90"/>
        <v>Expense</v>
      </c>
      <c r="AC292" s="2" t="s">
        <v>439</v>
      </c>
      <c r="AD292" s="3">
        <f t="shared" si="91"/>
        <v>40742</v>
      </c>
      <c r="AE292" s="93" t="str">
        <f t="shared" si="92"/>
        <v>NO</v>
      </c>
      <c r="AF292" s="2" t="str">
        <f t="shared" si="93"/>
        <v>NO</v>
      </c>
      <c r="AG292" t="str">
        <f t="shared" si="94"/>
        <v>CRAP Transaction</v>
      </c>
    </row>
    <row r="293" spans="1:33" x14ac:dyDescent="0.25">
      <c r="A293" s="2">
        <v>292</v>
      </c>
      <c r="B293" s="3" t="str">
        <f t="shared" si="76"/>
        <v>110107-FO-CIT</v>
      </c>
      <c r="C293" s="3">
        <v>40550</v>
      </c>
      <c r="D293" s="3">
        <f t="shared" si="78"/>
        <v>40564</v>
      </c>
      <c r="E293" s="3">
        <f t="shared" si="79"/>
        <v>40609</v>
      </c>
      <c r="F293" s="3">
        <f t="shared" si="80"/>
        <v>40574</v>
      </c>
      <c r="G293" s="76">
        <f t="shared" si="81"/>
        <v>2011</v>
      </c>
      <c r="H293" s="76">
        <f t="shared" si="82"/>
        <v>1</v>
      </c>
      <c r="I293" s="76" t="str">
        <f>VLOOKUP(H293,'Lookup Values'!$C$2:$D$13,2,FALSE)</f>
        <v>JAN</v>
      </c>
      <c r="J293" s="76">
        <f t="shared" si="83"/>
        <v>7</v>
      </c>
      <c r="K293" s="76">
        <f t="shared" si="84"/>
        <v>6</v>
      </c>
      <c r="L293" s="76" t="str">
        <f>VLOOKUP(K293,'Lookup Values'!$F$2:$G$8,2,FALSE)</f>
        <v>Friday</v>
      </c>
      <c r="M293" s="3">
        <v>40554</v>
      </c>
      <c r="N293" s="78">
        <f t="shared" si="77"/>
        <v>4</v>
      </c>
      <c r="O293" s="11">
        <v>0.40637966570728601</v>
      </c>
      <c r="P293" s="94">
        <f t="shared" si="85"/>
        <v>9</v>
      </c>
      <c r="Q293" s="94">
        <f t="shared" si="86"/>
        <v>45</v>
      </c>
      <c r="R293" s="94">
        <f t="shared" si="87"/>
        <v>11</v>
      </c>
      <c r="S293" s="94" t="str">
        <f>VLOOKUP(O293,'Lookup Values'!$I$2:$L$8,4,TRUE)</f>
        <v>Morning</v>
      </c>
      <c r="T293" t="s">
        <v>80</v>
      </c>
      <c r="U293" t="s">
        <v>105</v>
      </c>
      <c r="V293" t="str">
        <f t="shared" si="88"/>
        <v>Food: Coffee</v>
      </c>
      <c r="W293" t="s">
        <v>104</v>
      </c>
      <c r="X293" t="s">
        <v>91</v>
      </c>
      <c r="Y293" s="1">
        <v>235</v>
      </c>
      <c r="Z293" s="1" t="str">
        <f t="shared" si="89"/>
        <v>Food: $235.00</v>
      </c>
      <c r="AA293" s="1">
        <f>IF(Y293="","",ROUND(Y293*'Lookup Values'!$A$2,2))</f>
        <v>20.86</v>
      </c>
      <c r="AB293" s="12" t="str">
        <f t="shared" si="90"/>
        <v>Expense</v>
      </c>
      <c r="AC293" s="2" t="s">
        <v>440</v>
      </c>
      <c r="AD293" s="3">
        <f t="shared" si="91"/>
        <v>40550</v>
      </c>
      <c r="AE293" s="93" t="str">
        <f t="shared" si="92"/>
        <v>NO</v>
      </c>
      <c r="AF293" s="2" t="str">
        <f t="shared" si="93"/>
        <v>NO</v>
      </c>
      <c r="AG293" t="str">
        <f t="shared" si="94"/>
        <v>CRAP Transaction</v>
      </c>
    </row>
    <row r="294" spans="1:33" x14ac:dyDescent="0.25">
      <c r="A294" s="2">
        <v>293</v>
      </c>
      <c r="B294" s="3" t="str">
        <f t="shared" si="76"/>
        <v>080617-BI-CON</v>
      </c>
      <c r="C294" s="3">
        <v>39616</v>
      </c>
      <c r="D294" s="3">
        <f t="shared" si="78"/>
        <v>39630</v>
      </c>
      <c r="E294" s="3">
        <f t="shared" si="79"/>
        <v>39677</v>
      </c>
      <c r="F294" s="3">
        <f t="shared" si="80"/>
        <v>39629</v>
      </c>
      <c r="G294" s="76">
        <f t="shared" si="81"/>
        <v>2008</v>
      </c>
      <c r="H294" s="76">
        <f t="shared" si="82"/>
        <v>6</v>
      </c>
      <c r="I294" s="76" t="str">
        <f>VLOOKUP(H294,'Lookup Values'!$C$2:$D$13,2,FALSE)</f>
        <v>JUN</v>
      </c>
      <c r="J294" s="76">
        <f t="shared" si="83"/>
        <v>17</v>
      </c>
      <c r="K294" s="76">
        <f t="shared" si="84"/>
        <v>3</v>
      </c>
      <c r="L294" s="76" t="str">
        <f>VLOOKUP(K294,'Lookup Values'!$F$2:$G$8,2,FALSE)</f>
        <v>Tuesday</v>
      </c>
      <c r="M294" s="3">
        <v>39620</v>
      </c>
      <c r="N294" s="78">
        <f t="shared" si="77"/>
        <v>4</v>
      </c>
      <c r="O294" s="11">
        <v>0.52344365584321983</v>
      </c>
      <c r="P294" s="94">
        <f t="shared" si="85"/>
        <v>12</v>
      </c>
      <c r="Q294" s="94">
        <f t="shared" si="86"/>
        <v>33</v>
      </c>
      <c r="R294" s="94">
        <f t="shared" si="87"/>
        <v>46</v>
      </c>
      <c r="S294" s="94" t="str">
        <f>VLOOKUP(O294,'Lookup Values'!$I$2:$L$8,4,TRUE)</f>
        <v>Afternoon</v>
      </c>
      <c r="T294" t="s">
        <v>110</v>
      </c>
      <c r="U294" t="s">
        <v>111</v>
      </c>
      <c r="V294" t="str">
        <f t="shared" si="88"/>
        <v>Bills: Utilities</v>
      </c>
      <c r="W294" t="s">
        <v>109</v>
      </c>
      <c r="X294" t="s">
        <v>91</v>
      </c>
      <c r="Y294" s="1">
        <v>396</v>
      </c>
      <c r="Z294" s="1" t="str">
        <f t="shared" si="89"/>
        <v>Bills: $396.00</v>
      </c>
      <c r="AA294" s="1">
        <f>IF(Y294="","",ROUND(Y294*'Lookup Values'!$A$2,2))</f>
        <v>35.15</v>
      </c>
      <c r="AB294" s="12" t="str">
        <f t="shared" si="90"/>
        <v>Expense</v>
      </c>
      <c r="AC294" s="2" t="s">
        <v>189</v>
      </c>
      <c r="AD294" s="3">
        <f t="shared" si="91"/>
        <v>39616</v>
      </c>
      <c r="AE294" s="93" t="str">
        <f t="shared" si="92"/>
        <v>NO</v>
      </c>
      <c r="AF294" s="2" t="str">
        <f t="shared" si="93"/>
        <v>NO</v>
      </c>
      <c r="AG294" t="str">
        <f t="shared" si="94"/>
        <v>Late Transaction</v>
      </c>
    </row>
    <row r="295" spans="1:33" x14ac:dyDescent="0.25">
      <c r="A295" s="2">
        <v>294</v>
      </c>
      <c r="B295" s="3" t="str">
        <f t="shared" si="76"/>
        <v>100813-FO-CIT</v>
      </c>
      <c r="C295" s="3">
        <v>40403</v>
      </c>
      <c r="D295" s="3">
        <f t="shared" si="78"/>
        <v>40417</v>
      </c>
      <c r="E295" s="3">
        <f t="shared" si="79"/>
        <v>40464</v>
      </c>
      <c r="F295" s="3">
        <f t="shared" si="80"/>
        <v>40421</v>
      </c>
      <c r="G295" s="76">
        <f t="shared" si="81"/>
        <v>2010</v>
      </c>
      <c r="H295" s="76">
        <f t="shared" si="82"/>
        <v>8</v>
      </c>
      <c r="I295" s="76" t="str">
        <f>VLOOKUP(H295,'Lookup Values'!$C$2:$D$13,2,FALSE)</f>
        <v>AUG</v>
      </c>
      <c r="J295" s="76">
        <f t="shared" si="83"/>
        <v>13</v>
      </c>
      <c r="K295" s="76">
        <f t="shared" si="84"/>
        <v>6</v>
      </c>
      <c r="L295" s="76" t="str">
        <f>VLOOKUP(K295,'Lookup Values'!$F$2:$G$8,2,FALSE)</f>
        <v>Friday</v>
      </c>
      <c r="M295" s="3">
        <v>40407</v>
      </c>
      <c r="N295" s="78">
        <f t="shared" si="77"/>
        <v>4</v>
      </c>
      <c r="O295" s="11">
        <v>3.6711781696874723E-2</v>
      </c>
      <c r="P295" s="94">
        <f t="shared" si="85"/>
        <v>0</v>
      </c>
      <c r="Q295" s="94">
        <f t="shared" si="86"/>
        <v>52</v>
      </c>
      <c r="R295" s="94">
        <f t="shared" si="87"/>
        <v>52</v>
      </c>
      <c r="S295" s="94" t="str">
        <f>VLOOKUP(O295,'Lookup Values'!$I$2:$L$8,4,TRUE)</f>
        <v>Dead of Night</v>
      </c>
      <c r="T295" t="s">
        <v>80</v>
      </c>
      <c r="U295" t="s">
        <v>105</v>
      </c>
      <c r="V295" t="str">
        <f t="shared" si="88"/>
        <v>Food: Coffee</v>
      </c>
      <c r="W295" t="s">
        <v>104</v>
      </c>
      <c r="X295" t="s">
        <v>91</v>
      </c>
      <c r="Y295" s="1">
        <v>426</v>
      </c>
      <c r="Z295" s="1" t="str">
        <f t="shared" si="89"/>
        <v>Food: $426.00</v>
      </c>
      <c r="AA295" s="1">
        <f>IF(Y295="","",ROUND(Y295*'Lookup Values'!$A$2,2))</f>
        <v>37.81</v>
      </c>
      <c r="AB295" s="12" t="str">
        <f t="shared" si="90"/>
        <v>Expense</v>
      </c>
      <c r="AC295" s="2" t="s">
        <v>441</v>
      </c>
      <c r="AD295" s="3">
        <f t="shared" si="91"/>
        <v>40403</v>
      </c>
      <c r="AE295" s="93" t="str">
        <f t="shared" si="92"/>
        <v>NO</v>
      </c>
      <c r="AF295" s="2" t="str">
        <f t="shared" si="93"/>
        <v>NO</v>
      </c>
      <c r="AG295" t="str">
        <f t="shared" si="94"/>
        <v>Late Transaction</v>
      </c>
    </row>
    <row r="296" spans="1:33" x14ac:dyDescent="0.25">
      <c r="A296" s="2">
        <v>295</v>
      </c>
      <c r="B296" s="3" t="str">
        <f t="shared" si="76"/>
        <v>070107-ED-ANT</v>
      </c>
      <c r="C296" s="3">
        <v>39089</v>
      </c>
      <c r="D296" s="3">
        <f t="shared" si="78"/>
        <v>39101</v>
      </c>
      <c r="E296" s="3">
        <f t="shared" si="79"/>
        <v>39148</v>
      </c>
      <c r="F296" s="3">
        <f t="shared" si="80"/>
        <v>39113</v>
      </c>
      <c r="G296" s="76">
        <f t="shared" si="81"/>
        <v>2007</v>
      </c>
      <c r="H296" s="76">
        <f t="shared" si="82"/>
        <v>1</v>
      </c>
      <c r="I296" s="76" t="str">
        <f>VLOOKUP(H296,'Lookup Values'!$C$2:$D$13,2,FALSE)</f>
        <v>JAN</v>
      </c>
      <c r="J296" s="76">
        <f t="shared" si="83"/>
        <v>7</v>
      </c>
      <c r="K296" s="76">
        <f t="shared" si="84"/>
        <v>1</v>
      </c>
      <c r="L296" s="76" t="str">
        <f>VLOOKUP(K296,'Lookup Values'!$F$2:$G$8,2,FALSE)</f>
        <v>Sunday</v>
      </c>
      <c r="M296" s="3">
        <v>39093</v>
      </c>
      <c r="N296" s="78">
        <f t="shared" si="77"/>
        <v>4</v>
      </c>
      <c r="O296" s="11">
        <v>0.59601184753566894</v>
      </c>
      <c r="P296" s="94">
        <f t="shared" si="85"/>
        <v>14</v>
      </c>
      <c r="Q296" s="94">
        <f t="shared" si="86"/>
        <v>18</v>
      </c>
      <c r="R296" s="94">
        <f t="shared" si="87"/>
        <v>15</v>
      </c>
      <c r="S296" s="94" t="str">
        <f>VLOOKUP(O296,'Lookup Values'!$I$2:$L$8,4,TRUE)</f>
        <v>Afternoon</v>
      </c>
      <c r="T296" t="s">
        <v>86</v>
      </c>
      <c r="U296" t="s">
        <v>87</v>
      </c>
      <c r="V296" t="str">
        <f t="shared" si="88"/>
        <v>Education: Tango Lessons</v>
      </c>
      <c r="W296" t="s">
        <v>85</v>
      </c>
      <c r="X296" t="s">
        <v>88</v>
      </c>
      <c r="Y296" s="1">
        <v>96</v>
      </c>
      <c r="Z296" s="1" t="str">
        <f t="shared" si="89"/>
        <v>Education: $96.00</v>
      </c>
      <c r="AA296" s="1">
        <f>IF(Y296="","",ROUND(Y296*'Lookup Values'!$A$2,2))</f>
        <v>8.52</v>
      </c>
      <c r="AB296" s="12" t="str">
        <f t="shared" si="90"/>
        <v>Expense</v>
      </c>
      <c r="AC296" s="2" t="s">
        <v>442</v>
      </c>
      <c r="AD296" s="3">
        <f t="shared" si="91"/>
        <v>39089</v>
      </c>
      <c r="AE296" s="93" t="str">
        <f t="shared" si="92"/>
        <v>NO</v>
      </c>
      <c r="AF296" s="2" t="str">
        <f t="shared" si="93"/>
        <v>NO</v>
      </c>
      <c r="AG296" t="str">
        <f t="shared" si="94"/>
        <v>Late Transaction</v>
      </c>
    </row>
    <row r="297" spans="1:33" x14ac:dyDescent="0.25">
      <c r="A297" s="2">
        <v>296</v>
      </c>
      <c r="B297" s="3" t="str">
        <f t="shared" si="76"/>
        <v>081126-EN-MOE</v>
      </c>
      <c r="C297" s="3">
        <v>39778</v>
      </c>
      <c r="D297" s="3">
        <f t="shared" si="78"/>
        <v>39792</v>
      </c>
      <c r="E297" s="3">
        <f t="shared" si="79"/>
        <v>39839</v>
      </c>
      <c r="F297" s="3">
        <f t="shared" si="80"/>
        <v>39782</v>
      </c>
      <c r="G297" s="76">
        <f t="shared" si="81"/>
        <v>2008</v>
      </c>
      <c r="H297" s="76">
        <f t="shared" si="82"/>
        <v>11</v>
      </c>
      <c r="I297" s="76" t="str">
        <f>VLOOKUP(H297,'Lookup Values'!$C$2:$D$13,2,FALSE)</f>
        <v>NOV</v>
      </c>
      <c r="J297" s="76">
        <f t="shared" si="83"/>
        <v>26</v>
      </c>
      <c r="K297" s="76">
        <f t="shared" si="84"/>
        <v>4</v>
      </c>
      <c r="L297" s="76" t="str">
        <f>VLOOKUP(K297,'Lookup Values'!$F$2:$G$8,2,FALSE)</f>
        <v>Wednesday</v>
      </c>
      <c r="M297" s="3">
        <v>39782</v>
      </c>
      <c r="N297" s="78">
        <f t="shared" si="77"/>
        <v>4</v>
      </c>
      <c r="O297" s="11">
        <v>8.1662265394965905E-2</v>
      </c>
      <c r="P297" s="94">
        <f t="shared" si="85"/>
        <v>1</v>
      </c>
      <c r="Q297" s="94">
        <f t="shared" si="86"/>
        <v>57</v>
      </c>
      <c r="R297" s="94">
        <f t="shared" si="87"/>
        <v>36</v>
      </c>
      <c r="S297" s="94" t="str">
        <f>VLOOKUP(O297,'Lookup Values'!$I$2:$L$8,4,TRUE)</f>
        <v>Dead of Night</v>
      </c>
      <c r="T297" t="s">
        <v>76</v>
      </c>
      <c r="U297" t="s">
        <v>77</v>
      </c>
      <c r="V297" t="str">
        <f t="shared" si="88"/>
        <v>Entertainment: Alcohol</v>
      </c>
      <c r="W297" t="s">
        <v>75</v>
      </c>
      <c r="X297" t="s">
        <v>88</v>
      </c>
      <c r="Y297" s="1">
        <v>321</v>
      </c>
      <c r="Z297" s="1" t="str">
        <f t="shared" si="89"/>
        <v>Entertainment: $321.00</v>
      </c>
      <c r="AA297" s="1">
        <f>IF(Y297="","",ROUND(Y297*'Lookup Values'!$A$2,2))</f>
        <v>28.49</v>
      </c>
      <c r="AB297" s="12" t="str">
        <f t="shared" si="90"/>
        <v>Expense</v>
      </c>
      <c r="AC297" s="2" t="s">
        <v>443</v>
      </c>
      <c r="AD297" s="3">
        <f t="shared" si="91"/>
        <v>39778</v>
      </c>
      <c r="AE297" s="93" t="str">
        <f t="shared" si="92"/>
        <v>NO</v>
      </c>
      <c r="AF297" s="2" t="str">
        <f t="shared" si="93"/>
        <v>NO</v>
      </c>
      <c r="AG297" t="str">
        <f t="shared" si="94"/>
        <v>Awesome Transaction</v>
      </c>
    </row>
    <row r="298" spans="1:33" x14ac:dyDescent="0.25">
      <c r="A298" s="2">
        <v>297</v>
      </c>
      <c r="B298" s="3" t="str">
        <f t="shared" si="76"/>
        <v>090313-HE-FRE</v>
      </c>
      <c r="C298" s="3">
        <v>39885</v>
      </c>
      <c r="D298" s="3">
        <f t="shared" si="78"/>
        <v>39899</v>
      </c>
      <c r="E298" s="3">
        <f t="shared" si="79"/>
        <v>39946</v>
      </c>
      <c r="F298" s="3">
        <f t="shared" si="80"/>
        <v>39903</v>
      </c>
      <c r="G298" s="76">
        <f t="shared" si="81"/>
        <v>2009</v>
      </c>
      <c r="H298" s="76">
        <f t="shared" si="82"/>
        <v>3</v>
      </c>
      <c r="I298" s="76" t="str">
        <f>VLOOKUP(H298,'Lookup Values'!$C$2:$D$13,2,FALSE)</f>
        <v>MAR</v>
      </c>
      <c r="J298" s="76">
        <f t="shared" si="83"/>
        <v>13</v>
      </c>
      <c r="K298" s="76">
        <f t="shared" si="84"/>
        <v>6</v>
      </c>
      <c r="L298" s="76" t="str">
        <f>VLOOKUP(K298,'Lookup Values'!$F$2:$G$8,2,FALSE)</f>
        <v>Friday</v>
      </c>
      <c r="M298" s="3">
        <v>39889</v>
      </c>
      <c r="N298" s="78">
        <f t="shared" si="77"/>
        <v>4</v>
      </c>
      <c r="O298" s="11">
        <v>0.2884955714298334</v>
      </c>
      <c r="P298" s="94">
        <f t="shared" si="85"/>
        <v>6</v>
      </c>
      <c r="Q298" s="94">
        <f t="shared" si="86"/>
        <v>55</v>
      </c>
      <c r="R298" s="94">
        <f t="shared" si="87"/>
        <v>26</v>
      </c>
      <c r="S298" s="94" t="str">
        <f>VLOOKUP(O298,'Lookup Values'!$I$2:$L$8,4,TRUE)</f>
        <v>Early Morning</v>
      </c>
      <c r="T298" t="s">
        <v>107</v>
      </c>
      <c r="U298" t="s">
        <v>108</v>
      </c>
      <c r="V298" t="str">
        <f t="shared" si="88"/>
        <v>Health: Insurance Premium</v>
      </c>
      <c r="W298" t="s">
        <v>106</v>
      </c>
      <c r="X298" t="s">
        <v>78</v>
      </c>
      <c r="Y298" s="1">
        <v>365</v>
      </c>
      <c r="Z298" s="1" t="str">
        <f t="shared" si="89"/>
        <v>Health: $365.00</v>
      </c>
      <c r="AA298" s="1">
        <f>IF(Y298="","",ROUND(Y298*'Lookup Values'!$A$2,2))</f>
        <v>32.39</v>
      </c>
      <c r="AB298" s="12" t="str">
        <f t="shared" si="90"/>
        <v>Expense</v>
      </c>
      <c r="AC298" s="2" t="s">
        <v>444</v>
      </c>
      <c r="AD298" s="3">
        <f t="shared" si="91"/>
        <v>39885</v>
      </c>
      <c r="AE298" s="93" t="str">
        <f t="shared" si="92"/>
        <v>NO</v>
      </c>
      <c r="AF298" s="2" t="str">
        <f t="shared" si="93"/>
        <v>NO</v>
      </c>
      <c r="AG298" t="str">
        <f t="shared" si="94"/>
        <v>Late Transaction</v>
      </c>
    </row>
    <row r="299" spans="1:33" x14ac:dyDescent="0.25">
      <c r="A299" s="2">
        <v>298</v>
      </c>
      <c r="B299" s="3" t="str">
        <f t="shared" si="76"/>
        <v>110619-HE-FRE</v>
      </c>
      <c r="C299" s="3">
        <v>40713</v>
      </c>
      <c r="D299" s="3">
        <f t="shared" si="78"/>
        <v>40725</v>
      </c>
      <c r="E299" s="3">
        <f t="shared" si="79"/>
        <v>40774</v>
      </c>
      <c r="F299" s="3">
        <f t="shared" si="80"/>
        <v>40724</v>
      </c>
      <c r="G299" s="76">
        <f t="shared" si="81"/>
        <v>2011</v>
      </c>
      <c r="H299" s="76">
        <f t="shared" si="82"/>
        <v>6</v>
      </c>
      <c r="I299" s="76" t="str">
        <f>VLOOKUP(H299,'Lookup Values'!$C$2:$D$13,2,FALSE)</f>
        <v>JUN</v>
      </c>
      <c r="J299" s="76">
        <f t="shared" si="83"/>
        <v>19</v>
      </c>
      <c r="K299" s="76">
        <f t="shared" si="84"/>
        <v>1</v>
      </c>
      <c r="L299" s="76" t="str">
        <f>VLOOKUP(K299,'Lookup Values'!$F$2:$G$8,2,FALSE)</f>
        <v>Sunday</v>
      </c>
      <c r="M299" s="3">
        <v>40715</v>
      </c>
      <c r="N299" s="78">
        <f t="shared" si="77"/>
        <v>2</v>
      </c>
      <c r="O299" s="11">
        <v>0.24919585592109861</v>
      </c>
      <c r="P299" s="94">
        <f t="shared" si="85"/>
        <v>5</v>
      </c>
      <c r="Q299" s="94">
        <f t="shared" si="86"/>
        <v>58</v>
      </c>
      <c r="R299" s="94">
        <f t="shared" si="87"/>
        <v>51</v>
      </c>
      <c r="S299" s="94" t="str">
        <f>VLOOKUP(O299,'Lookup Values'!$I$2:$L$8,4,TRUE)</f>
        <v>Early Morning</v>
      </c>
      <c r="T299" t="s">
        <v>107</v>
      </c>
      <c r="U299" t="s">
        <v>108</v>
      </c>
      <c r="V299" t="str">
        <f t="shared" si="88"/>
        <v>Health: Insurance Premium</v>
      </c>
      <c r="W299" t="s">
        <v>106</v>
      </c>
      <c r="X299" t="s">
        <v>88</v>
      </c>
      <c r="Y299" s="1">
        <v>165</v>
      </c>
      <c r="Z299" s="1" t="str">
        <f t="shared" si="89"/>
        <v>Health: $165.00</v>
      </c>
      <c r="AA299" s="1">
        <f>IF(Y299="","",ROUND(Y299*'Lookup Values'!$A$2,2))</f>
        <v>14.64</v>
      </c>
      <c r="AB299" s="12" t="str">
        <f t="shared" si="90"/>
        <v>Expense</v>
      </c>
      <c r="AC299" s="2" t="s">
        <v>445</v>
      </c>
      <c r="AD299" s="3">
        <f t="shared" si="91"/>
        <v>40713</v>
      </c>
      <c r="AE299" s="93" t="str">
        <f t="shared" si="92"/>
        <v>NO</v>
      </c>
      <c r="AF299" s="2" t="str">
        <f t="shared" si="93"/>
        <v>NO</v>
      </c>
      <c r="AG299" t="str">
        <f t="shared" si="94"/>
        <v>CRAP Transaction</v>
      </c>
    </row>
    <row r="300" spans="1:33" x14ac:dyDescent="0.25">
      <c r="A300" s="2">
        <v>299</v>
      </c>
      <c r="B300" s="3" t="str">
        <f t="shared" si="76"/>
        <v>080405-FO-TRA</v>
      </c>
      <c r="C300" s="3">
        <v>39543</v>
      </c>
      <c r="D300" s="3">
        <f t="shared" si="78"/>
        <v>39556</v>
      </c>
      <c r="E300" s="3">
        <f t="shared" si="79"/>
        <v>39604</v>
      </c>
      <c r="F300" s="3">
        <f t="shared" si="80"/>
        <v>39568</v>
      </c>
      <c r="G300" s="76">
        <f t="shared" si="81"/>
        <v>2008</v>
      </c>
      <c r="H300" s="76">
        <f t="shared" si="82"/>
        <v>4</v>
      </c>
      <c r="I300" s="76" t="str">
        <f>VLOOKUP(H300,'Lookup Values'!$C$2:$D$13,2,FALSE)</f>
        <v>APR</v>
      </c>
      <c r="J300" s="76">
        <f t="shared" si="83"/>
        <v>5</v>
      </c>
      <c r="K300" s="76">
        <f t="shared" si="84"/>
        <v>7</v>
      </c>
      <c r="L300" s="76" t="str">
        <f>VLOOKUP(K300,'Lookup Values'!$F$2:$G$8,2,FALSE)</f>
        <v>Saturday</v>
      </c>
      <c r="M300" s="3">
        <v>39544</v>
      </c>
      <c r="N300" s="78">
        <f t="shared" si="77"/>
        <v>1</v>
      </c>
      <c r="O300" s="11">
        <v>0.98676388449887287</v>
      </c>
      <c r="P300" s="94">
        <f t="shared" si="85"/>
        <v>23</v>
      </c>
      <c r="Q300" s="94">
        <f t="shared" si="86"/>
        <v>40</v>
      </c>
      <c r="R300" s="94">
        <f t="shared" si="87"/>
        <v>56</v>
      </c>
      <c r="S300" s="94" t="str">
        <f>VLOOKUP(O300,'Lookup Values'!$I$2:$L$8,4,TRUE)</f>
        <v>Late Evening</v>
      </c>
      <c r="T300" t="s">
        <v>80</v>
      </c>
      <c r="U300" t="s">
        <v>93</v>
      </c>
      <c r="V300" t="str">
        <f t="shared" si="88"/>
        <v>Food: Groceries</v>
      </c>
      <c r="W300" t="s">
        <v>92</v>
      </c>
      <c r="X300" t="s">
        <v>88</v>
      </c>
      <c r="Y300" s="1">
        <v>221</v>
      </c>
      <c r="Z300" s="1" t="str">
        <f t="shared" si="89"/>
        <v>Food: $221.00</v>
      </c>
      <c r="AA300" s="1">
        <f>IF(Y300="","",ROUND(Y300*'Lookup Values'!$A$2,2))</f>
        <v>19.61</v>
      </c>
      <c r="AB300" s="12" t="str">
        <f t="shared" si="90"/>
        <v>Expense</v>
      </c>
      <c r="AC300" s="2" t="s">
        <v>446</v>
      </c>
      <c r="AD300" s="3">
        <f t="shared" si="91"/>
        <v>39543</v>
      </c>
      <c r="AE300" s="93" t="str">
        <f t="shared" si="92"/>
        <v>NO</v>
      </c>
      <c r="AF300" s="2" t="str">
        <f t="shared" si="93"/>
        <v>NO</v>
      </c>
      <c r="AG300" t="str">
        <f t="shared" si="94"/>
        <v>Awesome Transaction</v>
      </c>
    </row>
    <row r="301" spans="1:33" x14ac:dyDescent="0.25">
      <c r="A301" s="2">
        <v>300</v>
      </c>
      <c r="B301" s="3" t="str">
        <f t="shared" si="76"/>
        <v>120105-TR-MTA</v>
      </c>
      <c r="C301" s="3">
        <v>40913</v>
      </c>
      <c r="D301" s="3">
        <f t="shared" si="78"/>
        <v>40927</v>
      </c>
      <c r="E301" s="3">
        <f t="shared" si="79"/>
        <v>40973</v>
      </c>
      <c r="F301" s="3">
        <f t="shared" si="80"/>
        <v>40939</v>
      </c>
      <c r="G301" s="76">
        <f t="shared" si="81"/>
        <v>2012</v>
      </c>
      <c r="H301" s="76">
        <f t="shared" si="82"/>
        <v>1</v>
      </c>
      <c r="I301" s="76" t="str">
        <f>VLOOKUP(H301,'Lookup Values'!$C$2:$D$13,2,FALSE)</f>
        <v>JAN</v>
      </c>
      <c r="J301" s="76">
        <f t="shared" si="83"/>
        <v>5</v>
      </c>
      <c r="K301" s="76">
        <f t="shared" si="84"/>
        <v>5</v>
      </c>
      <c r="L301" s="76" t="str">
        <f>VLOOKUP(K301,'Lookup Values'!$F$2:$G$8,2,FALSE)</f>
        <v>Thursday</v>
      </c>
      <c r="M301" s="3">
        <v>40922</v>
      </c>
      <c r="N301" s="78">
        <f t="shared" si="77"/>
        <v>9</v>
      </c>
      <c r="O301" s="11">
        <v>0.96459555137099784</v>
      </c>
      <c r="P301" s="94">
        <f t="shared" si="85"/>
        <v>23</v>
      </c>
      <c r="Q301" s="94">
        <f t="shared" si="86"/>
        <v>9</v>
      </c>
      <c r="R301" s="94">
        <f t="shared" si="87"/>
        <v>1</v>
      </c>
      <c r="S301" s="94" t="str">
        <f>VLOOKUP(O301,'Lookup Values'!$I$2:$L$8,4,TRUE)</f>
        <v>Late Evening</v>
      </c>
      <c r="T301" t="s">
        <v>95</v>
      </c>
      <c r="U301" t="s">
        <v>96</v>
      </c>
      <c r="V301" t="str">
        <f t="shared" si="88"/>
        <v>Transportation: Subway</v>
      </c>
      <c r="W301" t="s">
        <v>94</v>
      </c>
      <c r="X301" t="s">
        <v>78</v>
      </c>
      <c r="Y301" s="1">
        <v>437</v>
      </c>
      <c r="Z301" s="1" t="str">
        <f t="shared" si="89"/>
        <v>Transportation: $437.00</v>
      </c>
      <c r="AA301" s="1">
        <f>IF(Y301="","",ROUND(Y301*'Lookup Values'!$A$2,2))</f>
        <v>38.78</v>
      </c>
      <c r="AB301" s="12" t="str">
        <f t="shared" si="90"/>
        <v>Expense</v>
      </c>
      <c r="AC301" s="2" t="s">
        <v>447</v>
      </c>
      <c r="AD301" s="3">
        <f t="shared" si="91"/>
        <v>40913</v>
      </c>
      <c r="AE301" s="93" t="str">
        <f t="shared" si="92"/>
        <v>YES</v>
      </c>
      <c r="AF301" s="2" t="str">
        <f t="shared" si="93"/>
        <v>YES</v>
      </c>
      <c r="AG301" t="str">
        <f t="shared" si="94"/>
        <v>CRAP Transaction</v>
      </c>
    </row>
    <row r="302" spans="1:33" x14ac:dyDescent="0.25">
      <c r="A302" s="2">
        <v>301</v>
      </c>
      <c r="B302" s="3" t="str">
        <f t="shared" si="76"/>
        <v>121005-HO-BED</v>
      </c>
      <c r="C302" s="3">
        <v>41187</v>
      </c>
      <c r="D302" s="3">
        <f t="shared" si="78"/>
        <v>41201</v>
      </c>
      <c r="E302" s="3">
        <f t="shared" si="79"/>
        <v>41248</v>
      </c>
      <c r="F302" s="3">
        <f t="shared" si="80"/>
        <v>41213</v>
      </c>
      <c r="G302" s="76">
        <f t="shared" si="81"/>
        <v>2012</v>
      </c>
      <c r="H302" s="76">
        <f t="shared" si="82"/>
        <v>10</v>
      </c>
      <c r="I302" s="76" t="str">
        <f>VLOOKUP(H302,'Lookup Values'!$C$2:$D$13,2,FALSE)</f>
        <v>OCT</v>
      </c>
      <c r="J302" s="76">
        <f t="shared" si="83"/>
        <v>5</v>
      </c>
      <c r="K302" s="76">
        <f t="shared" si="84"/>
        <v>6</v>
      </c>
      <c r="L302" s="76" t="str">
        <f>VLOOKUP(K302,'Lookup Values'!$F$2:$G$8,2,FALSE)</f>
        <v>Friday</v>
      </c>
      <c r="M302" s="3">
        <v>41191</v>
      </c>
      <c r="N302" s="78">
        <f t="shared" si="77"/>
        <v>4</v>
      </c>
      <c r="O302" s="11">
        <v>0.93871275296875956</v>
      </c>
      <c r="P302" s="94">
        <f t="shared" si="85"/>
        <v>22</v>
      </c>
      <c r="Q302" s="94">
        <f t="shared" si="86"/>
        <v>31</v>
      </c>
      <c r="R302" s="94">
        <f t="shared" si="87"/>
        <v>45</v>
      </c>
      <c r="S302" s="94" t="str">
        <f>VLOOKUP(O302,'Lookup Values'!$I$2:$L$8,4,TRUE)</f>
        <v>Late Evening</v>
      </c>
      <c r="T302" t="s">
        <v>100</v>
      </c>
      <c r="U302" t="s">
        <v>101</v>
      </c>
      <c r="V302" t="str">
        <f t="shared" si="88"/>
        <v>Home: Cleaning Supplies</v>
      </c>
      <c r="W302" t="s">
        <v>99</v>
      </c>
      <c r="X302" t="s">
        <v>78</v>
      </c>
      <c r="Y302" s="1">
        <v>219</v>
      </c>
      <c r="Z302" s="1" t="str">
        <f t="shared" si="89"/>
        <v>Home: $219.00</v>
      </c>
      <c r="AA302" s="1">
        <f>IF(Y302="","",ROUND(Y302*'Lookup Values'!$A$2,2))</f>
        <v>19.440000000000001</v>
      </c>
      <c r="AB302" s="12" t="str">
        <f t="shared" si="90"/>
        <v>Expense</v>
      </c>
      <c r="AC302" s="2" t="s">
        <v>448</v>
      </c>
      <c r="AD302" s="3">
        <f t="shared" si="91"/>
        <v>41187</v>
      </c>
      <c r="AE302" s="93" t="str">
        <f t="shared" si="92"/>
        <v>NO</v>
      </c>
      <c r="AF302" s="2" t="str">
        <f t="shared" si="93"/>
        <v>NO</v>
      </c>
      <c r="AG302" t="str">
        <f t="shared" si="94"/>
        <v>CRAP Transaction</v>
      </c>
    </row>
    <row r="303" spans="1:33" x14ac:dyDescent="0.25">
      <c r="A303" s="2">
        <v>302</v>
      </c>
      <c r="B303" s="3" t="str">
        <f t="shared" si="76"/>
        <v>081113-SH-AMA</v>
      </c>
      <c r="C303" s="3">
        <v>39765</v>
      </c>
      <c r="D303" s="3">
        <f t="shared" si="78"/>
        <v>39779</v>
      </c>
      <c r="E303" s="3">
        <f t="shared" si="79"/>
        <v>39826</v>
      </c>
      <c r="F303" s="3">
        <f t="shared" si="80"/>
        <v>39782</v>
      </c>
      <c r="G303" s="76">
        <f t="shared" si="81"/>
        <v>2008</v>
      </c>
      <c r="H303" s="76">
        <f t="shared" si="82"/>
        <v>11</v>
      </c>
      <c r="I303" s="76" t="str">
        <f>VLOOKUP(H303,'Lookup Values'!$C$2:$D$13,2,FALSE)</f>
        <v>NOV</v>
      </c>
      <c r="J303" s="76">
        <f t="shared" si="83"/>
        <v>13</v>
      </c>
      <c r="K303" s="76">
        <f t="shared" si="84"/>
        <v>5</v>
      </c>
      <c r="L303" s="76" t="str">
        <f>VLOOKUP(K303,'Lookup Values'!$F$2:$G$8,2,FALSE)</f>
        <v>Thursday</v>
      </c>
      <c r="M303" s="3">
        <v>39772</v>
      </c>
      <c r="N303" s="78">
        <f t="shared" si="77"/>
        <v>7</v>
      </c>
      <c r="O303" s="11">
        <v>0.79032674066214581</v>
      </c>
      <c r="P303" s="94">
        <f t="shared" si="85"/>
        <v>18</v>
      </c>
      <c r="Q303" s="94">
        <f t="shared" si="86"/>
        <v>58</v>
      </c>
      <c r="R303" s="94">
        <f t="shared" si="87"/>
        <v>4</v>
      </c>
      <c r="S303" s="94" t="str">
        <f>VLOOKUP(O303,'Lookup Values'!$I$2:$L$8,4,TRUE)</f>
        <v>Evening</v>
      </c>
      <c r="T303" t="s">
        <v>83</v>
      </c>
      <c r="U303" t="s">
        <v>84</v>
      </c>
      <c r="V303" t="str">
        <f t="shared" si="88"/>
        <v>Shopping: Electronics</v>
      </c>
      <c r="W303" t="s">
        <v>82</v>
      </c>
      <c r="X303" t="s">
        <v>78</v>
      </c>
      <c r="Y303" s="1">
        <v>91</v>
      </c>
      <c r="Z303" s="1" t="str">
        <f t="shared" si="89"/>
        <v>Shopping: $91.00</v>
      </c>
      <c r="AA303" s="1">
        <f>IF(Y303="","",ROUND(Y303*'Lookup Values'!$A$2,2))</f>
        <v>8.08</v>
      </c>
      <c r="AB303" s="12" t="str">
        <f t="shared" si="90"/>
        <v>Expense</v>
      </c>
      <c r="AC303" s="2" t="s">
        <v>449</v>
      </c>
      <c r="AD303" s="3">
        <f t="shared" si="91"/>
        <v>39765</v>
      </c>
      <c r="AE303" s="93" t="str">
        <f t="shared" si="92"/>
        <v>YES</v>
      </c>
      <c r="AF303" s="2" t="str">
        <f t="shared" si="93"/>
        <v>NO</v>
      </c>
      <c r="AG303" t="str">
        <f t="shared" si="94"/>
        <v>Awesome Transaction</v>
      </c>
    </row>
    <row r="304" spans="1:33" x14ac:dyDescent="0.25">
      <c r="A304" s="2">
        <v>303</v>
      </c>
      <c r="B304" s="3" t="str">
        <f t="shared" si="76"/>
        <v>100530-IN-AUN</v>
      </c>
      <c r="C304" s="3">
        <v>40328</v>
      </c>
      <c r="D304" s="3">
        <f t="shared" si="78"/>
        <v>40340</v>
      </c>
      <c r="E304" s="3">
        <f t="shared" si="79"/>
        <v>40389</v>
      </c>
      <c r="F304" s="3">
        <f t="shared" si="80"/>
        <v>40329</v>
      </c>
      <c r="G304" s="76">
        <f t="shared" si="81"/>
        <v>2010</v>
      </c>
      <c r="H304" s="76">
        <f t="shared" si="82"/>
        <v>5</v>
      </c>
      <c r="I304" s="76" t="str">
        <f>VLOOKUP(H304,'Lookup Values'!$C$2:$D$13,2,FALSE)</f>
        <v>MAY</v>
      </c>
      <c r="J304" s="76">
        <f t="shared" si="83"/>
        <v>30</v>
      </c>
      <c r="K304" s="76">
        <f t="shared" si="84"/>
        <v>1</v>
      </c>
      <c r="L304" s="76" t="str">
        <f>VLOOKUP(K304,'Lookup Values'!$F$2:$G$8,2,FALSE)</f>
        <v>Sunday</v>
      </c>
      <c r="M304" s="3">
        <v>40334</v>
      </c>
      <c r="N304" s="78">
        <f t="shared" si="77"/>
        <v>6</v>
      </c>
      <c r="O304" s="11">
        <v>0.25100214653244246</v>
      </c>
      <c r="P304" s="94">
        <f t="shared" si="85"/>
        <v>6</v>
      </c>
      <c r="Q304" s="94">
        <f t="shared" si="86"/>
        <v>1</v>
      </c>
      <c r="R304" s="94">
        <f t="shared" si="87"/>
        <v>27</v>
      </c>
      <c r="S304" s="94" t="str">
        <f>VLOOKUP(O304,'Lookup Values'!$I$2:$L$8,4,TRUE)</f>
        <v>Early Morning</v>
      </c>
      <c r="T304" t="s">
        <v>158</v>
      </c>
      <c r="U304" t="s">
        <v>161</v>
      </c>
      <c r="V304" t="str">
        <f t="shared" si="88"/>
        <v>Income: Gift Received</v>
      </c>
      <c r="W304" t="s">
        <v>164</v>
      </c>
      <c r="X304" t="s">
        <v>91</v>
      </c>
      <c r="Y304" s="1">
        <v>27</v>
      </c>
      <c r="Z304" s="1" t="str">
        <f t="shared" si="89"/>
        <v>Income: $27.00</v>
      </c>
      <c r="AA304" s="1">
        <f>IF(Y304="","",ROUND(Y304*'Lookup Values'!$A$2,2))</f>
        <v>2.4</v>
      </c>
      <c r="AB304" s="12" t="str">
        <f t="shared" si="90"/>
        <v>Income</v>
      </c>
      <c r="AC304" s="2" t="s">
        <v>450</v>
      </c>
      <c r="AD304" s="3">
        <f t="shared" si="91"/>
        <v>40328</v>
      </c>
      <c r="AE304" s="93" t="str">
        <f t="shared" si="92"/>
        <v>NO</v>
      </c>
      <c r="AF304" s="2" t="str">
        <f t="shared" si="93"/>
        <v>NO</v>
      </c>
      <c r="AG304" t="str">
        <f t="shared" si="94"/>
        <v>Late Transaction</v>
      </c>
    </row>
    <row r="305" spans="1:33" x14ac:dyDescent="0.25">
      <c r="A305" s="2">
        <v>304</v>
      </c>
      <c r="B305" s="3" t="str">
        <f t="shared" si="76"/>
        <v>120430-SH-AMA</v>
      </c>
      <c r="C305" s="3">
        <v>41029</v>
      </c>
      <c r="D305" s="3">
        <f t="shared" si="78"/>
        <v>41043</v>
      </c>
      <c r="E305" s="3">
        <f t="shared" si="79"/>
        <v>41090</v>
      </c>
      <c r="F305" s="3">
        <f t="shared" si="80"/>
        <v>41029</v>
      </c>
      <c r="G305" s="76">
        <f t="shared" si="81"/>
        <v>2012</v>
      </c>
      <c r="H305" s="76">
        <f t="shared" si="82"/>
        <v>4</v>
      </c>
      <c r="I305" s="76" t="str">
        <f>VLOOKUP(H305,'Lookup Values'!$C$2:$D$13,2,FALSE)</f>
        <v>APR</v>
      </c>
      <c r="J305" s="76">
        <f t="shared" si="83"/>
        <v>30</v>
      </c>
      <c r="K305" s="76">
        <f t="shared" si="84"/>
        <v>2</v>
      </c>
      <c r="L305" s="76" t="str">
        <f>VLOOKUP(K305,'Lookup Values'!$F$2:$G$8,2,FALSE)</f>
        <v>Monday</v>
      </c>
      <c r="M305" s="3">
        <v>41031</v>
      </c>
      <c r="N305" s="78">
        <f t="shared" si="77"/>
        <v>2</v>
      </c>
      <c r="O305" s="11">
        <v>0.98161422314776392</v>
      </c>
      <c r="P305" s="94">
        <f t="shared" si="85"/>
        <v>23</v>
      </c>
      <c r="Q305" s="94">
        <f t="shared" si="86"/>
        <v>33</v>
      </c>
      <c r="R305" s="94">
        <f t="shared" si="87"/>
        <v>31</v>
      </c>
      <c r="S305" s="94" t="str">
        <f>VLOOKUP(O305,'Lookup Values'!$I$2:$L$8,4,TRUE)</f>
        <v>Late Evening</v>
      </c>
      <c r="T305" t="s">
        <v>83</v>
      </c>
      <c r="U305" t="s">
        <v>84</v>
      </c>
      <c r="V305" t="str">
        <f t="shared" si="88"/>
        <v>Shopping: Electronics</v>
      </c>
      <c r="W305" t="s">
        <v>82</v>
      </c>
      <c r="X305" t="s">
        <v>91</v>
      </c>
      <c r="Y305" s="1">
        <v>54</v>
      </c>
      <c r="Z305" s="1" t="str">
        <f t="shared" si="89"/>
        <v>Shopping: $54.00</v>
      </c>
      <c r="AA305" s="1">
        <f>IF(Y305="","",ROUND(Y305*'Lookup Values'!$A$2,2))</f>
        <v>4.79</v>
      </c>
      <c r="AB305" s="12" t="str">
        <f t="shared" si="90"/>
        <v>Expense</v>
      </c>
      <c r="AC305" s="2" t="s">
        <v>277</v>
      </c>
      <c r="AD305" s="3">
        <f t="shared" si="91"/>
        <v>41029</v>
      </c>
      <c r="AE305" s="93" t="str">
        <f t="shared" si="92"/>
        <v>YES</v>
      </c>
      <c r="AF305" s="2" t="str">
        <f t="shared" si="93"/>
        <v>NO</v>
      </c>
      <c r="AG305" t="str">
        <f t="shared" si="94"/>
        <v>CRAP Transaction</v>
      </c>
    </row>
    <row r="306" spans="1:33" x14ac:dyDescent="0.25">
      <c r="A306" s="2">
        <v>305</v>
      </c>
      <c r="B306" s="3" t="str">
        <f t="shared" si="76"/>
        <v>111210-FO-BAN</v>
      </c>
      <c r="C306" s="3">
        <v>40887</v>
      </c>
      <c r="D306" s="3">
        <f t="shared" si="78"/>
        <v>40900</v>
      </c>
      <c r="E306" s="3">
        <f t="shared" si="79"/>
        <v>40949</v>
      </c>
      <c r="F306" s="3">
        <f t="shared" si="80"/>
        <v>40908</v>
      </c>
      <c r="G306" s="76">
        <f t="shared" si="81"/>
        <v>2011</v>
      </c>
      <c r="H306" s="76">
        <f t="shared" si="82"/>
        <v>12</v>
      </c>
      <c r="I306" s="76" t="str">
        <f>VLOOKUP(H306,'Lookup Values'!$C$2:$D$13,2,FALSE)</f>
        <v>DEC</v>
      </c>
      <c r="J306" s="76">
        <f t="shared" si="83"/>
        <v>10</v>
      </c>
      <c r="K306" s="76">
        <f t="shared" si="84"/>
        <v>7</v>
      </c>
      <c r="L306" s="76" t="str">
        <f>VLOOKUP(K306,'Lookup Values'!$F$2:$G$8,2,FALSE)</f>
        <v>Saturday</v>
      </c>
      <c r="M306" s="3">
        <v>40896</v>
      </c>
      <c r="N306" s="78">
        <f t="shared" si="77"/>
        <v>9</v>
      </c>
      <c r="O306" s="11">
        <v>0.21210277312699444</v>
      </c>
      <c r="P306" s="94">
        <f t="shared" si="85"/>
        <v>5</v>
      </c>
      <c r="Q306" s="94">
        <f t="shared" si="86"/>
        <v>5</v>
      </c>
      <c r="R306" s="94">
        <f t="shared" si="87"/>
        <v>26</v>
      </c>
      <c r="S306" s="94" t="str">
        <f>VLOOKUP(O306,'Lookup Values'!$I$2:$L$8,4,TRUE)</f>
        <v>Early Morning</v>
      </c>
      <c r="T306" t="s">
        <v>80</v>
      </c>
      <c r="U306" t="s">
        <v>81</v>
      </c>
      <c r="V306" t="str">
        <f t="shared" si="88"/>
        <v>Food: Restaurants</v>
      </c>
      <c r="W306" t="s">
        <v>79</v>
      </c>
      <c r="X306" t="s">
        <v>88</v>
      </c>
      <c r="Y306" s="1">
        <v>297</v>
      </c>
      <c r="Z306" s="1" t="str">
        <f t="shared" si="89"/>
        <v>Food: $297.00</v>
      </c>
      <c r="AA306" s="1">
        <f>IF(Y306="","",ROUND(Y306*'Lookup Values'!$A$2,2))</f>
        <v>26.36</v>
      </c>
      <c r="AB306" s="12" t="str">
        <f t="shared" si="90"/>
        <v>Expense</v>
      </c>
      <c r="AC306" s="2" t="s">
        <v>451</v>
      </c>
      <c r="AD306" s="3">
        <f t="shared" si="91"/>
        <v>40887</v>
      </c>
      <c r="AE306" s="93" t="str">
        <f t="shared" si="92"/>
        <v>NO</v>
      </c>
      <c r="AF306" s="2" t="str">
        <f t="shared" si="93"/>
        <v>NO</v>
      </c>
      <c r="AG306" t="str">
        <f t="shared" si="94"/>
        <v>CRAP Transaction</v>
      </c>
    </row>
    <row r="307" spans="1:33" x14ac:dyDescent="0.25">
      <c r="A307" s="2">
        <v>306</v>
      </c>
      <c r="B307" s="3" t="str">
        <f t="shared" si="76"/>
        <v>090228-HE-FRE</v>
      </c>
      <c r="C307" s="3">
        <v>39872</v>
      </c>
      <c r="D307" s="3">
        <f t="shared" si="78"/>
        <v>39885</v>
      </c>
      <c r="E307" s="3">
        <f t="shared" si="79"/>
        <v>39931</v>
      </c>
      <c r="F307" s="3">
        <f t="shared" si="80"/>
        <v>39872</v>
      </c>
      <c r="G307" s="76">
        <f t="shared" si="81"/>
        <v>2009</v>
      </c>
      <c r="H307" s="76">
        <f t="shared" si="82"/>
        <v>2</v>
      </c>
      <c r="I307" s="76" t="str">
        <f>VLOOKUP(H307,'Lookup Values'!$C$2:$D$13,2,FALSE)</f>
        <v>FEB</v>
      </c>
      <c r="J307" s="76">
        <f t="shared" si="83"/>
        <v>28</v>
      </c>
      <c r="K307" s="76">
        <f t="shared" si="84"/>
        <v>7</v>
      </c>
      <c r="L307" s="76" t="str">
        <f>VLOOKUP(K307,'Lookup Values'!$F$2:$G$8,2,FALSE)</f>
        <v>Saturday</v>
      </c>
      <c r="M307" s="3">
        <v>39880</v>
      </c>
      <c r="N307" s="78">
        <f t="shared" si="77"/>
        <v>8</v>
      </c>
      <c r="O307" s="11">
        <v>0.49603384754390534</v>
      </c>
      <c r="P307" s="94">
        <f t="shared" si="85"/>
        <v>11</v>
      </c>
      <c r="Q307" s="94">
        <f t="shared" si="86"/>
        <v>54</v>
      </c>
      <c r="R307" s="94">
        <f t="shared" si="87"/>
        <v>17</v>
      </c>
      <c r="S307" s="94" t="str">
        <f>VLOOKUP(O307,'Lookup Values'!$I$2:$L$8,4,TRUE)</f>
        <v>Late Morning</v>
      </c>
      <c r="T307" t="s">
        <v>107</v>
      </c>
      <c r="U307" t="s">
        <v>108</v>
      </c>
      <c r="V307" t="str">
        <f t="shared" si="88"/>
        <v>Health: Insurance Premium</v>
      </c>
      <c r="W307" t="s">
        <v>106</v>
      </c>
      <c r="X307" t="s">
        <v>88</v>
      </c>
      <c r="Y307" s="1">
        <v>177</v>
      </c>
      <c r="Z307" s="1" t="str">
        <f t="shared" si="89"/>
        <v>Health: $177.00</v>
      </c>
      <c r="AA307" s="1">
        <f>IF(Y307="","",ROUND(Y307*'Lookup Values'!$A$2,2))</f>
        <v>15.71</v>
      </c>
      <c r="AB307" s="12" t="str">
        <f t="shared" si="90"/>
        <v>Expense</v>
      </c>
      <c r="AC307" s="2" t="s">
        <v>452</v>
      </c>
      <c r="AD307" s="3">
        <f t="shared" si="91"/>
        <v>39872</v>
      </c>
      <c r="AE307" s="93" t="str">
        <f t="shared" si="92"/>
        <v>NO</v>
      </c>
      <c r="AF307" s="2" t="str">
        <f t="shared" si="93"/>
        <v>NO</v>
      </c>
      <c r="AG307" t="str">
        <f t="shared" si="94"/>
        <v>Late Transaction</v>
      </c>
    </row>
    <row r="308" spans="1:33" x14ac:dyDescent="0.25">
      <c r="A308" s="2">
        <v>307</v>
      </c>
      <c r="B308" s="3" t="str">
        <f t="shared" si="76"/>
        <v>080201-HO-BED</v>
      </c>
      <c r="C308" s="3">
        <v>39479</v>
      </c>
      <c r="D308" s="3">
        <f t="shared" si="78"/>
        <v>39493</v>
      </c>
      <c r="E308" s="3">
        <f t="shared" si="79"/>
        <v>39539</v>
      </c>
      <c r="F308" s="3">
        <f t="shared" si="80"/>
        <v>39507</v>
      </c>
      <c r="G308" s="76">
        <f t="shared" si="81"/>
        <v>2008</v>
      </c>
      <c r="H308" s="76">
        <f t="shared" si="82"/>
        <v>2</v>
      </c>
      <c r="I308" s="76" t="str">
        <f>VLOOKUP(H308,'Lookup Values'!$C$2:$D$13,2,FALSE)</f>
        <v>FEB</v>
      </c>
      <c r="J308" s="76">
        <f t="shared" si="83"/>
        <v>1</v>
      </c>
      <c r="K308" s="76">
        <f t="shared" si="84"/>
        <v>6</v>
      </c>
      <c r="L308" s="76" t="str">
        <f>VLOOKUP(K308,'Lookup Values'!$F$2:$G$8,2,FALSE)</f>
        <v>Friday</v>
      </c>
      <c r="M308" s="3">
        <v>39482</v>
      </c>
      <c r="N308" s="78">
        <f t="shared" si="77"/>
        <v>3</v>
      </c>
      <c r="O308" s="11">
        <v>0.31742981049228092</v>
      </c>
      <c r="P308" s="94">
        <f t="shared" si="85"/>
        <v>7</v>
      </c>
      <c r="Q308" s="94">
        <f t="shared" si="86"/>
        <v>37</v>
      </c>
      <c r="R308" s="94">
        <f t="shared" si="87"/>
        <v>6</v>
      </c>
      <c r="S308" s="94" t="str">
        <f>VLOOKUP(O308,'Lookup Values'!$I$2:$L$8,4,TRUE)</f>
        <v>Morning</v>
      </c>
      <c r="T308" t="s">
        <v>100</v>
      </c>
      <c r="U308" t="s">
        <v>101</v>
      </c>
      <c r="V308" t="str">
        <f t="shared" si="88"/>
        <v>Home: Cleaning Supplies</v>
      </c>
      <c r="W308" t="s">
        <v>99</v>
      </c>
      <c r="X308" t="s">
        <v>91</v>
      </c>
      <c r="Y308" s="1">
        <v>152</v>
      </c>
      <c r="Z308" s="1" t="str">
        <f t="shared" si="89"/>
        <v>Home: $152.00</v>
      </c>
      <c r="AA308" s="1">
        <f>IF(Y308="","",ROUND(Y308*'Lookup Values'!$A$2,2))</f>
        <v>13.49</v>
      </c>
      <c r="AB308" s="12" t="str">
        <f t="shared" si="90"/>
        <v>Expense</v>
      </c>
      <c r="AC308" s="2" t="s">
        <v>453</v>
      </c>
      <c r="AD308" s="3">
        <f t="shared" si="91"/>
        <v>39479</v>
      </c>
      <c r="AE308" s="93" t="str">
        <f t="shared" si="92"/>
        <v>NO</v>
      </c>
      <c r="AF308" s="2" t="str">
        <f t="shared" si="93"/>
        <v>NO</v>
      </c>
      <c r="AG308" t="str">
        <f t="shared" si="94"/>
        <v>Late Transaction</v>
      </c>
    </row>
    <row r="309" spans="1:33" x14ac:dyDescent="0.25">
      <c r="A309" s="2">
        <v>308</v>
      </c>
      <c r="B309" s="3" t="str">
        <f t="shared" si="76"/>
        <v>110726-EN-MOE</v>
      </c>
      <c r="C309" s="3">
        <v>40750</v>
      </c>
      <c r="D309" s="3">
        <f t="shared" si="78"/>
        <v>40764</v>
      </c>
      <c r="E309" s="3">
        <f t="shared" si="79"/>
        <v>40812</v>
      </c>
      <c r="F309" s="3">
        <f t="shared" si="80"/>
        <v>40755</v>
      </c>
      <c r="G309" s="76">
        <f t="shared" si="81"/>
        <v>2011</v>
      </c>
      <c r="H309" s="76">
        <f t="shared" si="82"/>
        <v>7</v>
      </c>
      <c r="I309" s="76" t="str">
        <f>VLOOKUP(H309,'Lookup Values'!$C$2:$D$13,2,FALSE)</f>
        <v>JUL</v>
      </c>
      <c r="J309" s="76">
        <f t="shared" si="83"/>
        <v>26</v>
      </c>
      <c r="K309" s="76">
        <f t="shared" si="84"/>
        <v>3</v>
      </c>
      <c r="L309" s="76" t="str">
        <f>VLOOKUP(K309,'Lookup Values'!$F$2:$G$8,2,FALSE)</f>
        <v>Tuesday</v>
      </c>
      <c r="M309" s="3">
        <v>40755</v>
      </c>
      <c r="N309" s="78">
        <f t="shared" si="77"/>
        <v>5</v>
      </c>
      <c r="O309" s="11">
        <v>0.64290685119985203</v>
      </c>
      <c r="P309" s="94">
        <f t="shared" si="85"/>
        <v>15</v>
      </c>
      <c r="Q309" s="94">
        <f t="shared" si="86"/>
        <v>25</v>
      </c>
      <c r="R309" s="94">
        <f t="shared" si="87"/>
        <v>47</v>
      </c>
      <c r="S309" s="94" t="str">
        <f>VLOOKUP(O309,'Lookup Values'!$I$2:$L$8,4,TRUE)</f>
        <v>Afternoon</v>
      </c>
      <c r="T309" t="s">
        <v>76</v>
      </c>
      <c r="U309" t="s">
        <v>77</v>
      </c>
      <c r="V309" t="str">
        <f t="shared" si="88"/>
        <v>Entertainment: Alcohol</v>
      </c>
      <c r="W309" t="s">
        <v>75</v>
      </c>
      <c r="X309" t="s">
        <v>78</v>
      </c>
      <c r="Y309" s="1">
        <v>428</v>
      </c>
      <c r="Z309" s="1" t="str">
        <f t="shared" si="89"/>
        <v>Entertainment: $428.00</v>
      </c>
      <c r="AA309" s="1">
        <f>IF(Y309="","",ROUND(Y309*'Lookup Values'!$A$2,2))</f>
        <v>37.99</v>
      </c>
      <c r="AB309" s="12" t="str">
        <f t="shared" si="90"/>
        <v>Expense</v>
      </c>
      <c r="AC309" s="2" t="s">
        <v>454</v>
      </c>
      <c r="AD309" s="3">
        <f t="shared" si="91"/>
        <v>40750</v>
      </c>
      <c r="AE309" s="93" t="str">
        <f t="shared" si="92"/>
        <v>NO</v>
      </c>
      <c r="AF309" s="2" t="str">
        <f t="shared" si="93"/>
        <v>NO</v>
      </c>
      <c r="AG309" t="str">
        <f t="shared" si="94"/>
        <v>CRAP Transaction</v>
      </c>
    </row>
    <row r="310" spans="1:33" x14ac:dyDescent="0.25">
      <c r="A310" s="2">
        <v>309</v>
      </c>
      <c r="B310" s="3" t="str">
        <f t="shared" si="76"/>
        <v>111008-IN-AUN</v>
      </c>
      <c r="C310" s="3">
        <v>40824</v>
      </c>
      <c r="D310" s="3">
        <f t="shared" si="78"/>
        <v>40837</v>
      </c>
      <c r="E310" s="3">
        <f t="shared" si="79"/>
        <v>40885</v>
      </c>
      <c r="F310" s="3">
        <f t="shared" si="80"/>
        <v>40847</v>
      </c>
      <c r="G310" s="76">
        <f t="shared" si="81"/>
        <v>2011</v>
      </c>
      <c r="H310" s="76">
        <f t="shared" si="82"/>
        <v>10</v>
      </c>
      <c r="I310" s="76" t="str">
        <f>VLOOKUP(H310,'Lookup Values'!$C$2:$D$13,2,FALSE)</f>
        <v>OCT</v>
      </c>
      <c r="J310" s="76">
        <f t="shared" si="83"/>
        <v>8</v>
      </c>
      <c r="K310" s="76">
        <f t="shared" si="84"/>
        <v>7</v>
      </c>
      <c r="L310" s="76" t="str">
        <f>VLOOKUP(K310,'Lookup Values'!$F$2:$G$8,2,FALSE)</f>
        <v>Saturday</v>
      </c>
      <c r="M310" s="3">
        <v>40833</v>
      </c>
      <c r="N310" s="78">
        <f t="shared" si="77"/>
        <v>9</v>
      </c>
      <c r="O310" s="11">
        <v>0.90377642937291203</v>
      </c>
      <c r="P310" s="94">
        <f t="shared" si="85"/>
        <v>21</v>
      </c>
      <c r="Q310" s="94">
        <f t="shared" si="86"/>
        <v>41</v>
      </c>
      <c r="R310" s="94">
        <f t="shared" si="87"/>
        <v>26</v>
      </c>
      <c r="S310" s="94" t="str">
        <f>VLOOKUP(O310,'Lookup Values'!$I$2:$L$8,4,TRUE)</f>
        <v>Late Evening</v>
      </c>
      <c r="T310" t="s">
        <v>158</v>
      </c>
      <c r="U310" t="s">
        <v>161</v>
      </c>
      <c r="V310" t="str">
        <f t="shared" si="88"/>
        <v>Income: Gift Received</v>
      </c>
      <c r="W310" t="s">
        <v>164</v>
      </c>
      <c r="X310" t="s">
        <v>88</v>
      </c>
      <c r="Y310" s="1">
        <v>23</v>
      </c>
      <c r="Z310" s="1" t="str">
        <f t="shared" si="89"/>
        <v>Income: $23.00</v>
      </c>
      <c r="AA310" s="1">
        <f>IF(Y310="","",ROUND(Y310*'Lookup Values'!$A$2,2))</f>
        <v>2.04</v>
      </c>
      <c r="AB310" s="12" t="str">
        <f t="shared" si="90"/>
        <v>Income</v>
      </c>
      <c r="AC310" s="2" t="s">
        <v>455</v>
      </c>
      <c r="AD310" s="3">
        <f t="shared" si="91"/>
        <v>40824</v>
      </c>
      <c r="AE310" s="93" t="str">
        <f t="shared" si="92"/>
        <v>NO</v>
      </c>
      <c r="AF310" s="2" t="str">
        <f t="shared" si="93"/>
        <v>NO</v>
      </c>
      <c r="AG310" t="str">
        <f t="shared" si="94"/>
        <v>CRAP Transaction</v>
      </c>
    </row>
    <row r="311" spans="1:33" x14ac:dyDescent="0.25">
      <c r="A311" s="2">
        <v>310</v>
      </c>
      <c r="B311" s="3" t="str">
        <f t="shared" si="76"/>
        <v>101229-SH-EXP</v>
      </c>
      <c r="C311" s="3">
        <v>40541</v>
      </c>
      <c r="D311" s="3">
        <f t="shared" si="78"/>
        <v>40555</v>
      </c>
      <c r="E311" s="3">
        <f t="shared" si="79"/>
        <v>40602</v>
      </c>
      <c r="F311" s="3">
        <f t="shared" si="80"/>
        <v>40543</v>
      </c>
      <c r="G311" s="76">
        <f t="shared" si="81"/>
        <v>2010</v>
      </c>
      <c r="H311" s="76">
        <f t="shared" si="82"/>
        <v>12</v>
      </c>
      <c r="I311" s="76" t="str">
        <f>VLOOKUP(H311,'Lookup Values'!$C$2:$D$13,2,FALSE)</f>
        <v>DEC</v>
      </c>
      <c r="J311" s="76">
        <f t="shared" si="83"/>
        <v>29</v>
      </c>
      <c r="K311" s="76">
        <f t="shared" si="84"/>
        <v>4</v>
      </c>
      <c r="L311" s="76" t="str">
        <f>VLOOKUP(K311,'Lookup Values'!$F$2:$G$8,2,FALSE)</f>
        <v>Wednesday</v>
      </c>
      <c r="M311" s="3">
        <v>40542</v>
      </c>
      <c r="N311" s="78">
        <f t="shared" si="77"/>
        <v>1</v>
      </c>
      <c r="O311" s="11">
        <v>0.26510587190912127</v>
      </c>
      <c r="P311" s="94">
        <f t="shared" si="85"/>
        <v>6</v>
      </c>
      <c r="Q311" s="94">
        <f t="shared" si="86"/>
        <v>21</v>
      </c>
      <c r="R311" s="94">
        <f t="shared" si="87"/>
        <v>45</v>
      </c>
      <c r="S311" s="94" t="str">
        <f>VLOOKUP(O311,'Lookup Values'!$I$2:$L$8,4,TRUE)</f>
        <v>Early Morning</v>
      </c>
      <c r="T311" t="s">
        <v>83</v>
      </c>
      <c r="U311" t="s">
        <v>103</v>
      </c>
      <c r="V311" t="str">
        <f t="shared" si="88"/>
        <v>Shopping: Clothing</v>
      </c>
      <c r="W311" t="s">
        <v>102</v>
      </c>
      <c r="X311" t="s">
        <v>88</v>
      </c>
      <c r="Y311" s="1">
        <v>216</v>
      </c>
      <c r="Z311" s="1" t="str">
        <f t="shared" si="89"/>
        <v>Shopping: $216.00</v>
      </c>
      <c r="AA311" s="1">
        <f>IF(Y311="","",ROUND(Y311*'Lookup Values'!$A$2,2))</f>
        <v>19.170000000000002</v>
      </c>
      <c r="AB311" s="12" t="str">
        <f t="shared" si="90"/>
        <v>Expense</v>
      </c>
      <c r="AC311" s="2" t="s">
        <v>456</v>
      </c>
      <c r="AD311" s="3">
        <f t="shared" si="91"/>
        <v>40541</v>
      </c>
      <c r="AE311" s="93" t="str">
        <f t="shared" si="92"/>
        <v>NO</v>
      </c>
      <c r="AF311" s="2" t="str">
        <f t="shared" si="93"/>
        <v>NO</v>
      </c>
      <c r="AG311" t="str">
        <f t="shared" si="94"/>
        <v>Late Transaction</v>
      </c>
    </row>
    <row r="312" spans="1:33" x14ac:dyDescent="0.25">
      <c r="A312" s="2">
        <v>311</v>
      </c>
      <c r="B312" s="3" t="str">
        <f t="shared" si="76"/>
        <v>100820-IN-LEG</v>
      </c>
      <c r="C312" s="3">
        <v>40410</v>
      </c>
      <c r="D312" s="3">
        <f t="shared" si="78"/>
        <v>40424</v>
      </c>
      <c r="E312" s="3">
        <f t="shared" si="79"/>
        <v>40471</v>
      </c>
      <c r="F312" s="3">
        <f t="shared" si="80"/>
        <v>40421</v>
      </c>
      <c r="G312" s="76">
        <f t="shared" si="81"/>
        <v>2010</v>
      </c>
      <c r="H312" s="76">
        <f t="shared" si="82"/>
        <v>8</v>
      </c>
      <c r="I312" s="76" t="str">
        <f>VLOOKUP(H312,'Lookup Values'!$C$2:$D$13,2,FALSE)</f>
        <v>AUG</v>
      </c>
      <c r="J312" s="76">
        <f t="shared" si="83"/>
        <v>20</v>
      </c>
      <c r="K312" s="76">
        <f t="shared" si="84"/>
        <v>6</v>
      </c>
      <c r="L312" s="76" t="str">
        <f>VLOOKUP(K312,'Lookup Values'!$F$2:$G$8,2,FALSE)</f>
        <v>Friday</v>
      </c>
      <c r="M312" s="3">
        <v>40418</v>
      </c>
      <c r="N312" s="78">
        <f t="shared" si="77"/>
        <v>8</v>
      </c>
      <c r="O312" s="11">
        <v>0.17497062014865228</v>
      </c>
      <c r="P312" s="94">
        <f t="shared" si="85"/>
        <v>4</v>
      </c>
      <c r="Q312" s="94">
        <f t="shared" si="86"/>
        <v>11</v>
      </c>
      <c r="R312" s="94">
        <f t="shared" si="87"/>
        <v>57</v>
      </c>
      <c r="S312" s="94" t="str">
        <f>VLOOKUP(O312,'Lookup Values'!$I$2:$L$8,4,TRUE)</f>
        <v>Early Morning</v>
      </c>
      <c r="T312" t="s">
        <v>158</v>
      </c>
      <c r="U312" t="s">
        <v>160</v>
      </c>
      <c r="V312" t="str">
        <f t="shared" si="88"/>
        <v>Income: Freelance Project</v>
      </c>
      <c r="W312" t="s">
        <v>163</v>
      </c>
      <c r="X312" t="s">
        <v>88</v>
      </c>
      <c r="Y312" s="1">
        <v>92</v>
      </c>
      <c r="Z312" s="1" t="str">
        <f t="shared" si="89"/>
        <v>Income: $92.00</v>
      </c>
      <c r="AA312" s="1">
        <f>IF(Y312="","",ROUND(Y312*'Lookup Values'!$A$2,2))</f>
        <v>8.17</v>
      </c>
      <c r="AB312" s="12" t="str">
        <f t="shared" si="90"/>
        <v>Income</v>
      </c>
      <c r="AC312" s="2" t="s">
        <v>457</v>
      </c>
      <c r="AD312" s="3">
        <f t="shared" si="91"/>
        <v>40410</v>
      </c>
      <c r="AE312" s="93" t="str">
        <f t="shared" si="92"/>
        <v>NO</v>
      </c>
      <c r="AF312" s="2" t="str">
        <f t="shared" si="93"/>
        <v>NO</v>
      </c>
      <c r="AG312" t="str">
        <f t="shared" si="94"/>
        <v>Late Transaction</v>
      </c>
    </row>
    <row r="313" spans="1:33" x14ac:dyDescent="0.25">
      <c r="A313" s="2">
        <v>312</v>
      </c>
      <c r="B313" s="3" t="str">
        <f t="shared" si="76"/>
        <v>070715-HE-FRE</v>
      </c>
      <c r="C313" s="3">
        <v>39278</v>
      </c>
      <c r="D313" s="3">
        <f t="shared" si="78"/>
        <v>39290</v>
      </c>
      <c r="E313" s="3">
        <f t="shared" si="79"/>
        <v>39340</v>
      </c>
      <c r="F313" s="3">
        <f t="shared" si="80"/>
        <v>39294</v>
      </c>
      <c r="G313" s="76">
        <f t="shared" si="81"/>
        <v>2007</v>
      </c>
      <c r="H313" s="76">
        <f t="shared" si="82"/>
        <v>7</v>
      </c>
      <c r="I313" s="76" t="str">
        <f>VLOOKUP(H313,'Lookup Values'!$C$2:$D$13,2,FALSE)</f>
        <v>JUL</v>
      </c>
      <c r="J313" s="76">
        <f t="shared" si="83"/>
        <v>15</v>
      </c>
      <c r="K313" s="76">
        <f t="shared" si="84"/>
        <v>1</v>
      </c>
      <c r="L313" s="76" t="str">
        <f>VLOOKUP(K313,'Lookup Values'!$F$2:$G$8,2,FALSE)</f>
        <v>Sunday</v>
      </c>
      <c r="M313" s="3">
        <v>39286</v>
      </c>
      <c r="N313" s="78">
        <f t="shared" si="77"/>
        <v>8</v>
      </c>
      <c r="O313" s="11">
        <v>0.35761100960749659</v>
      </c>
      <c r="P313" s="94">
        <f t="shared" si="85"/>
        <v>8</v>
      </c>
      <c r="Q313" s="94">
        <f t="shared" si="86"/>
        <v>34</v>
      </c>
      <c r="R313" s="94">
        <f t="shared" si="87"/>
        <v>58</v>
      </c>
      <c r="S313" s="94" t="str">
        <f>VLOOKUP(O313,'Lookup Values'!$I$2:$L$8,4,TRUE)</f>
        <v>Morning</v>
      </c>
      <c r="T313" t="s">
        <v>107</v>
      </c>
      <c r="U313" t="s">
        <v>108</v>
      </c>
      <c r="V313" t="str">
        <f t="shared" si="88"/>
        <v>Health: Insurance Premium</v>
      </c>
      <c r="W313" t="s">
        <v>106</v>
      </c>
      <c r="X313" t="s">
        <v>91</v>
      </c>
      <c r="Y313" s="1">
        <v>166</v>
      </c>
      <c r="Z313" s="1" t="str">
        <f t="shared" si="89"/>
        <v>Health: $166.00</v>
      </c>
      <c r="AA313" s="1">
        <f>IF(Y313="","",ROUND(Y313*'Lookup Values'!$A$2,2))</f>
        <v>14.73</v>
      </c>
      <c r="AB313" s="12" t="str">
        <f t="shared" si="90"/>
        <v>Expense</v>
      </c>
      <c r="AC313" s="2" t="s">
        <v>458</v>
      </c>
      <c r="AD313" s="3">
        <f t="shared" si="91"/>
        <v>39278</v>
      </c>
      <c r="AE313" s="93" t="str">
        <f t="shared" si="92"/>
        <v>NO</v>
      </c>
      <c r="AF313" s="2" t="str">
        <f t="shared" si="93"/>
        <v>NO</v>
      </c>
      <c r="AG313" t="str">
        <f t="shared" si="94"/>
        <v>Late Transaction</v>
      </c>
    </row>
    <row r="314" spans="1:33" x14ac:dyDescent="0.25">
      <c r="A314" s="2">
        <v>313</v>
      </c>
      <c r="B314" s="3" t="str">
        <f t="shared" si="76"/>
        <v>080806-HE-FRE</v>
      </c>
      <c r="C314" s="3">
        <v>39666</v>
      </c>
      <c r="D314" s="3">
        <f t="shared" si="78"/>
        <v>39680</v>
      </c>
      <c r="E314" s="3">
        <f t="shared" si="79"/>
        <v>39727</v>
      </c>
      <c r="F314" s="3">
        <f t="shared" si="80"/>
        <v>39691</v>
      </c>
      <c r="G314" s="76">
        <f t="shared" si="81"/>
        <v>2008</v>
      </c>
      <c r="H314" s="76">
        <f t="shared" si="82"/>
        <v>8</v>
      </c>
      <c r="I314" s="76" t="str">
        <f>VLOOKUP(H314,'Lookup Values'!$C$2:$D$13,2,FALSE)</f>
        <v>AUG</v>
      </c>
      <c r="J314" s="76">
        <f t="shared" si="83"/>
        <v>6</v>
      </c>
      <c r="K314" s="76">
        <f t="shared" si="84"/>
        <v>4</v>
      </c>
      <c r="L314" s="76" t="str">
        <f>VLOOKUP(K314,'Lookup Values'!$F$2:$G$8,2,FALSE)</f>
        <v>Wednesday</v>
      </c>
      <c r="M314" s="3">
        <v>39675</v>
      </c>
      <c r="N314" s="78">
        <f t="shared" si="77"/>
        <v>9</v>
      </c>
      <c r="O314" s="11">
        <v>0.23406974038494022</v>
      </c>
      <c r="P314" s="94">
        <f t="shared" si="85"/>
        <v>5</v>
      </c>
      <c r="Q314" s="94">
        <f t="shared" si="86"/>
        <v>37</v>
      </c>
      <c r="R314" s="94">
        <f t="shared" si="87"/>
        <v>4</v>
      </c>
      <c r="S314" s="94" t="str">
        <f>VLOOKUP(O314,'Lookup Values'!$I$2:$L$8,4,TRUE)</f>
        <v>Early Morning</v>
      </c>
      <c r="T314" t="s">
        <v>107</v>
      </c>
      <c r="U314" t="s">
        <v>108</v>
      </c>
      <c r="V314" t="str">
        <f t="shared" si="88"/>
        <v>Health: Insurance Premium</v>
      </c>
      <c r="W314" t="s">
        <v>106</v>
      </c>
      <c r="X314" t="s">
        <v>78</v>
      </c>
      <c r="Y314" s="1">
        <v>12</v>
      </c>
      <c r="Z314" s="1" t="str">
        <f t="shared" si="89"/>
        <v>Health: $12.00</v>
      </c>
      <c r="AA314" s="1">
        <f>IF(Y314="","",ROUND(Y314*'Lookup Values'!$A$2,2))</f>
        <v>1.07</v>
      </c>
      <c r="AB314" s="12" t="str">
        <f t="shared" si="90"/>
        <v>Expense</v>
      </c>
      <c r="AC314" s="2" t="s">
        <v>459</v>
      </c>
      <c r="AD314" s="3">
        <f t="shared" si="91"/>
        <v>39666</v>
      </c>
      <c r="AE314" s="93" t="str">
        <f t="shared" si="92"/>
        <v>NO</v>
      </c>
      <c r="AF314" s="2" t="str">
        <f t="shared" si="93"/>
        <v>NO</v>
      </c>
      <c r="AG314" t="str">
        <f t="shared" si="94"/>
        <v>Late Transaction</v>
      </c>
    </row>
    <row r="315" spans="1:33" x14ac:dyDescent="0.25">
      <c r="A315" s="2">
        <v>314</v>
      </c>
      <c r="B315" s="3" t="str">
        <f t="shared" si="76"/>
        <v>100905-SH-AMA</v>
      </c>
      <c r="C315" s="3">
        <v>40426</v>
      </c>
      <c r="D315" s="3">
        <f t="shared" si="78"/>
        <v>40438</v>
      </c>
      <c r="E315" s="3">
        <f t="shared" si="79"/>
        <v>40487</v>
      </c>
      <c r="F315" s="3">
        <f t="shared" si="80"/>
        <v>40451</v>
      </c>
      <c r="G315" s="76">
        <f t="shared" si="81"/>
        <v>2010</v>
      </c>
      <c r="H315" s="76">
        <f t="shared" si="82"/>
        <v>9</v>
      </c>
      <c r="I315" s="76" t="str">
        <f>VLOOKUP(H315,'Lookup Values'!$C$2:$D$13,2,FALSE)</f>
        <v>SEP</v>
      </c>
      <c r="J315" s="76">
        <f t="shared" si="83"/>
        <v>5</v>
      </c>
      <c r="K315" s="76">
        <f t="shared" si="84"/>
        <v>1</v>
      </c>
      <c r="L315" s="76" t="str">
        <f>VLOOKUP(K315,'Lookup Values'!$F$2:$G$8,2,FALSE)</f>
        <v>Sunday</v>
      </c>
      <c r="M315" s="3">
        <v>40430</v>
      </c>
      <c r="N315" s="78">
        <f t="shared" si="77"/>
        <v>4</v>
      </c>
      <c r="O315" s="11">
        <v>0.69387213412827775</v>
      </c>
      <c r="P315" s="94">
        <f t="shared" si="85"/>
        <v>16</v>
      </c>
      <c r="Q315" s="94">
        <f t="shared" si="86"/>
        <v>39</v>
      </c>
      <c r="R315" s="94">
        <f t="shared" si="87"/>
        <v>11</v>
      </c>
      <c r="S315" s="94" t="str">
        <f>VLOOKUP(O315,'Lookup Values'!$I$2:$L$8,4,TRUE)</f>
        <v>Afternoon</v>
      </c>
      <c r="T315" t="s">
        <v>83</v>
      </c>
      <c r="U315" t="s">
        <v>84</v>
      </c>
      <c r="V315" t="str">
        <f t="shared" si="88"/>
        <v>Shopping: Electronics</v>
      </c>
      <c r="W315" t="s">
        <v>82</v>
      </c>
      <c r="X315" t="s">
        <v>88</v>
      </c>
      <c r="Y315" s="1">
        <v>137</v>
      </c>
      <c r="Z315" s="1" t="str">
        <f t="shared" si="89"/>
        <v>Shopping: $137.00</v>
      </c>
      <c r="AA315" s="1">
        <f>IF(Y315="","",ROUND(Y315*'Lookup Values'!$A$2,2))</f>
        <v>12.16</v>
      </c>
      <c r="AB315" s="12" t="str">
        <f t="shared" si="90"/>
        <v>Expense</v>
      </c>
      <c r="AC315" s="2" t="s">
        <v>460</v>
      </c>
      <c r="AD315" s="3">
        <f t="shared" si="91"/>
        <v>40426</v>
      </c>
      <c r="AE315" s="93" t="str">
        <f t="shared" si="92"/>
        <v>YES</v>
      </c>
      <c r="AF315" s="2" t="str">
        <f t="shared" si="93"/>
        <v>NO</v>
      </c>
      <c r="AG315" t="str">
        <f t="shared" si="94"/>
        <v>Late Transaction</v>
      </c>
    </row>
    <row r="316" spans="1:33" x14ac:dyDescent="0.25">
      <c r="A316" s="2">
        <v>315</v>
      </c>
      <c r="B316" s="3" t="str">
        <f t="shared" si="76"/>
        <v>120508-FO-TRA</v>
      </c>
      <c r="C316" s="3">
        <v>41037</v>
      </c>
      <c r="D316" s="3">
        <f t="shared" si="78"/>
        <v>41051</v>
      </c>
      <c r="E316" s="3">
        <f t="shared" si="79"/>
        <v>41098</v>
      </c>
      <c r="F316" s="3">
        <f t="shared" si="80"/>
        <v>41060</v>
      </c>
      <c r="G316" s="76">
        <f t="shared" si="81"/>
        <v>2012</v>
      </c>
      <c r="H316" s="76">
        <f t="shared" si="82"/>
        <v>5</v>
      </c>
      <c r="I316" s="76" t="str">
        <f>VLOOKUP(H316,'Lookup Values'!$C$2:$D$13,2,FALSE)</f>
        <v>MAY</v>
      </c>
      <c r="J316" s="76">
        <f t="shared" si="83"/>
        <v>8</v>
      </c>
      <c r="K316" s="76">
        <f t="shared" si="84"/>
        <v>3</v>
      </c>
      <c r="L316" s="76" t="str">
        <f>VLOOKUP(K316,'Lookup Values'!$F$2:$G$8,2,FALSE)</f>
        <v>Tuesday</v>
      </c>
      <c r="M316" s="3">
        <v>41046</v>
      </c>
      <c r="N316" s="78">
        <f t="shared" si="77"/>
        <v>9</v>
      </c>
      <c r="O316" s="11">
        <v>0.96914279430164763</v>
      </c>
      <c r="P316" s="94">
        <f t="shared" si="85"/>
        <v>23</v>
      </c>
      <c r="Q316" s="94">
        <f t="shared" si="86"/>
        <v>15</v>
      </c>
      <c r="R316" s="94">
        <f t="shared" si="87"/>
        <v>34</v>
      </c>
      <c r="S316" s="94" t="str">
        <f>VLOOKUP(O316,'Lookup Values'!$I$2:$L$8,4,TRUE)</f>
        <v>Late Evening</v>
      </c>
      <c r="T316" t="s">
        <v>80</v>
      </c>
      <c r="U316" t="s">
        <v>93</v>
      </c>
      <c r="V316" t="str">
        <f t="shared" si="88"/>
        <v>Food: Groceries</v>
      </c>
      <c r="W316" t="s">
        <v>92</v>
      </c>
      <c r="X316" t="s">
        <v>88</v>
      </c>
      <c r="Y316" s="1">
        <v>268</v>
      </c>
      <c r="Z316" s="1" t="str">
        <f t="shared" si="89"/>
        <v>Food: $268.00</v>
      </c>
      <c r="AA316" s="1">
        <f>IF(Y316="","",ROUND(Y316*'Lookup Values'!$A$2,2))</f>
        <v>23.79</v>
      </c>
      <c r="AB316" s="12" t="str">
        <f t="shared" si="90"/>
        <v>Expense</v>
      </c>
      <c r="AC316" s="2" t="s">
        <v>461</v>
      </c>
      <c r="AD316" s="3">
        <f t="shared" si="91"/>
        <v>41037</v>
      </c>
      <c r="AE316" s="93" t="str">
        <f t="shared" si="92"/>
        <v>NO</v>
      </c>
      <c r="AF316" s="2" t="str">
        <f t="shared" si="93"/>
        <v>NO</v>
      </c>
      <c r="AG316" t="str">
        <f t="shared" si="94"/>
        <v>CRAP Transaction</v>
      </c>
    </row>
    <row r="317" spans="1:33" x14ac:dyDescent="0.25">
      <c r="A317" s="2">
        <v>316</v>
      </c>
      <c r="B317" s="3" t="str">
        <f t="shared" si="76"/>
        <v>070726-HE-FRE</v>
      </c>
      <c r="C317" s="3">
        <v>39289</v>
      </c>
      <c r="D317" s="3">
        <f t="shared" si="78"/>
        <v>39303</v>
      </c>
      <c r="E317" s="3">
        <f t="shared" si="79"/>
        <v>39351</v>
      </c>
      <c r="F317" s="3">
        <f t="shared" si="80"/>
        <v>39294</v>
      </c>
      <c r="G317" s="76">
        <f t="shared" si="81"/>
        <v>2007</v>
      </c>
      <c r="H317" s="76">
        <f t="shared" si="82"/>
        <v>7</v>
      </c>
      <c r="I317" s="76" t="str">
        <f>VLOOKUP(H317,'Lookup Values'!$C$2:$D$13,2,FALSE)</f>
        <v>JUL</v>
      </c>
      <c r="J317" s="76">
        <f t="shared" si="83"/>
        <v>26</v>
      </c>
      <c r="K317" s="76">
        <f t="shared" si="84"/>
        <v>5</v>
      </c>
      <c r="L317" s="76" t="str">
        <f>VLOOKUP(K317,'Lookup Values'!$F$2:$G$8,2,FALSE)</f>
        <v>Thursday</v>
      </c>
      <c r="M317" s="3">
        <v>39292</v>
      </c>
      <c r="N317" s="78">
        <f t="shared" si="77"/>
        <v>3</v>
      </c>
      <c r="O317" s="11">
        <v>0.89770045608569982</v>
      </c>
      <c r="P317" s="94">
        <f t="shared" si="85"/>
        <v>21</v>
      </c>
      <c r="Q317" s="94">
        <f t="shared" si="86"/>
        <v>32</v>
      </c>
      <c r="R317" s="94">
        <f t="shared" si="87"/>
        <v>41</v>
      </c>
      <c r="S317" s="94" t="str">
        <f>VLOOKUP(O317,'Lookup Values'!$I$2:$L$8,4,TRUE)</f>
        <v>Late Evening</v>
      </c>
      <c r="T317" t="s">
        <v>107</v>
      </c>
      <c r="U317" t="s">
        <v>108</v>
      </c>
      <c r="V317" t="str">
        <f t="shared" si="88"/>
        <v>Health: Insurance Premium</v>
      </c>
      <c r="W317" t="s">
        <v>106</v>
      </c>
      <c r="X317" t="s">
        <v>91</v>
      </c>
      <c r="Y317" s="1">
        <v>415</v>
      </c>
      <c r="Z317" s="1" t="str">
        <f t="shared" si="89"/>
        <v>Health: $415.00</v>
      </c>
      <c r="AA317" s="1">
        <f>IF(Y317="","",ROUND(Y317*'Lookup Values'!$A$2,2))</f>
        <v>36.83</v>
      </c>
      <c r="AB317" s="12" t="str">
        <f t="shared" si="90"/>
        <v>Expense</v>
      </c>
      <c r="AC317" s="2" t="s">
        <v>462</v>
      </c>
      <c r="AD317" s="3">
        <f t="shared" si="91"/>
        <v>39289</v>
      </c>
      <c r="AE317" s="93" t="str">
        <f t="shared" si="92"/>
        <v>NO</v>
      </c>
      <c r="AF317" s="2" t="str">
        <f t="shared" si="93"/>
        <v>NO</v>
      </c>
      <c r="AG317" t="str">
        <f t="shared" si="94"/>
        <v>Late Transaction</v>
      </c>
    </row>
    <row r="318" spans="1:33" x14ac:dyDescent="0.25">
      <c r="A318" s="2">
        <v>317</v>
      </c>
      <c r="B318" s="3" t="str">
        <f t="shared" si="76"/>
        <v>110514-BI-CON</v>
      </c>
      <c r="C318" s="3">
        <v>40677</v>
      </c>
      <c r="D318" s="3">
        <f t="shared" si="78"/>
        <v>40690</v>
      </c>
      <c r="E318" s="3">
        <f t="shared" si="79"/>
        <v>40738</v>
      </c>
      <c r="F318" s="3">
        <f t="shared" si="80"/>
        <v>40694</v>
      </c>
      <c r="G318" s="76">
        <f t="shared" si="81"/>
        <v>2011</v>
      </c>
      <c r="H318" s="76">
        <f t="shared" si="82"/>
        <v>5</v>
      </c>
      <c r="I318" s="76" t="str">
        <f>VLOOKUP(H318,'Lookup Values'!$C$2:$D$13,2,FALSE)</f>
        <v>MAY</v>
      </c>
      <c r="J318" s="76">
        <f t="shared" si="83"/>
        <v>14</v>
      </c>
      <c r="K318" s="76">
        <f t="shared" si="84"/>
        <v>7</v>
      </c>
      <c r="L318" s="76" t="str">
        <f>VLOOKUP(K318,'Lookup Values'!$F$2:$G$8,2,FALSE)</f>
        <v>Saturday</v>
      </c>
      <c r="M318" s="3">
        <v>40685</v>
      </c>
      <c r="N318" s="78">
        <f t="shared" si="77"/>
        <v>8</v>
      </c>
      <c r="O318" s="11">
        <v>0.25193973150425708</v>
      </c>
      <c r="P318" s="94">
        <f t="shared" si="85"/>
        <v>6</v>
      </c>
      <c r="Q318" s="94">
        <f t="shared" si="86"/>
        <v>2</v>
      </c>
      <c r="R318" s="94">
        <f t="shared" si="87"/>
        <v>48</v>
      </c>
      <c r="S318" s="94" t="str">
        <f>VLOOKUP(O318,'Lookup Values'!$I$2:$L$8,4,TRUE)</f>
        <v>Early Morning</v>
      </c>
      <c r="T318" t="s">
        <v>110</v>
      </c>
      <c r="U318" t="s">
        <v>111</v>
      </c>
      <c r="V318" t="str">
        <f t="shared" si="88"/>
        <v>Bills: Utilities</v>
      </c>
      <c r="W318" t="s">
        <v>109</v>
      </c>
      <c r="X318" t="s">
        <v>91</v>
      </c>
      <c r="Y318" s="1">
        <v>144</v>
      </c>
      <c r="Z318" s="1" t="str">
        <f t="shared" si="89"/>
        <v>Bills: $144.00</v>
      </c>
      <c r="AA318" s="1">
        <f>IF(Y318="","",ROUND(Y318*'Lookup Values'!$A$2,2))</f>
        <v>12.78</v>
      </c>
      <c r="AB318" s="12" t="str">
        <f t="shared" si="90"/>
        <v>Expense</v>
      </c>
      <c r="AC318" s="2" t="s">
        <v>463</v>
      </c>
      <c r="AD318" s="3">
        <f t="shared" si="91"/>
        <v>40677</v>
      </c>
      <c r="AE318" s="93" t="str">
        <f t="shared" si="92"/>
        <v>NO</v>
      </c>
      <c r="AF318" s="2" t="str">
        <f t="shared" si="93"/>
        <v>NO</v>
      </c>
      <c r="AG318" t="str">
        <f t="shared" si="94"/>
        <v>CRAP Transaction</v>
      </c>
    </row>
    <row r="319" spans="1:33" x14ac:dyDescent="0.25">
      <c r="A319" s="2">
        <v>318</v>
      </c>
      <c r="B319" s="3" t="str">
        <f t="shared" si="76"/>
        <v>091109-TR-MTA</v>
      </c>
      <c r="C319" s="3">
        <v>40126</v>
      </c>
      <c r="D319" s="3">
        <f t="shared" si="78"/>
        <v>40140</v>
      </c>
      <c r="E319" s="3">
        <f t="shared" si="79"/>
        <v>40187</v>
      </c>
      <c r="F319" s="3">
        <f t="shared" si="80"/>
        <v>40147</v>
      </c>
      <c r="G319" s="76">
        <f t="shared" si="81"/>
        <v>2009</v>
      </c>
      <c r="H319" s="76">
        <f t="shared" si="82"/>
        <v>11</v>
      </c>
      <c r="I319" s="76" t="str">
        <f>VLOOKUP(H319,'Lookup Values'!$C$2:$D$13,2,FALSE)</f>
        <v>NOV</v>
      </c>
      <c r="J319" s="76">
        <f t="shared" si="83"/>
        <v>9</v>
      </c>
      <c r="K319" s="76">
        <f t="shared" si="84"/>
        <v>2</v>
      </c>
      <c r="L319" s="76" t="str">
        <f>VLOOKUP(K319,'Lookup Values'!$F$2:$G$8,2,FALSE)</f>
        <v>Monday</v>
      </c>
      <c r="M319" s="3">
        <v>40132</v>
      </c>
      <c r="N319" s="78">
        <f t="shared" si="77"/>
        <v>6</v>
      </c>
      <c r="O319" s="11">
        <v>0.7019384804972113</v>
      </c>
      <c r="P319" s="94">
        <f t="shared" si="85"/>
        <v>16</v>
      </c>
      <c r="Q319" s="94">
        <f t="shared" si="86"/>
        <v>50</v>
      </c>
      <c r="R319" s="94">
        <f t="shared" si="87"/>
        <v>47</v>
      </c>
      <c r="S319" s="94" t="str">
        <f>VLOOKUP(O319,'Lookup Values'!$I$2:$L$8,4,TRUE)</f>
        <v>Afternoon</v>
      </c>
      <c r="T319" t="s">
        <v>95</v>
      </c>
      <c r="U319" t="s">
        <v>96</v>
      </c>
      <c r="V319" t="str">
        <f t="shared" si="88"/>
        <v>Transportation: Subway</v>
      </c>
      <c r="W319" t="s">
        <v>94</v>
      </c>
      <c r="X319" t="s">
        <v>88</v>
      </c>
      <c r="Y319" s="1">
        <v>479</v>
      </c>
      <c r="Z319" s="1" t="str">
        <f t="shared" si="89"/>
        <v>Transportation: $479.00</v>
      </c>
      <c r="AA319" s="1">
        <f>IF(Y319="","",ROUND(Y319*'Lookup Values'!$A$2,2))</f>
        <v>42.51</v>
      </c>
      <c r="AB319" s="12" t="str">
        <f t="shared" si="90"/>
        <v>Expense</v>
      </c>
      <c r="AC319" s="2" t="s">
        <v>464</v>
      </c>
      <c r="AD319" s="3">
        <f t="shared" si="91"/>
        <v>40126</v>
      </c>
      <c r="AE319" s="93" t="str">
        <f t="shared" si="92"/>
        <v>YES</v>
      </c>
      <c r="AF319" s="2" t="str">
        <f t="shared" si="93"/>
        <v>YES</v>
      </c>
      <c r="AG319" t="str">
        <f t="shared" si="94"/>
        <v>Late Transaction</v>
      </c>
    </row>
    <row r="320" spans="1:33" x14ac:dyDescent="0.25">
      <c r="A320" s="2">
        <v>319</v>
      </c>
      <c r="B320" s="3" t="str">
        <f t="shared" si="76"/>
        <v>080827-TR-MTA</v>
      </c>
      <c r="C320" s="3">
        <v>39687</v>
      </c>
      <c r="D320" s="3">
        <f t="shared" si="78"/>
        <v>39701</v>
      </c>
      <c r="E320" s="3">
        <f t="shared" si="79"/>
        <v>39748</v>
      </c>
      <c r="F320" s="3">
        <f t="shared" si="80"/>
        <v>39691</v>
      </c>
      <c r="G320" s="76">
        <f t="shared" si="81"/>
        <v>2008</v>
      </c>
      <c r="H320" s="76">
        <f t="shared" si="82"/>
        <v>8</v>
      </c>
      <c r="I320" s="76" t="str">
        <f>VLOOKUP(H320,'Lookup Values'!$C$2:$D$13,2,FALSE)</f>
        <v>AUG</v>
      </c>
      <c r="J320" s="76">
        <f t="shared" si="83"/>
        <v>27</v>
      </c>
      <c r="K320" s="76">
        <f t="shared" si="84"/>
        <v>4</v>
      </c>
      <c r="L320" s="76" t="str">
        <f>VLOOKUP(K320,'Lookup Values'!$F$2:$G$8,2,FALSE)</f>
        <v>Wednesday</v>
      </c>
      <c r="M320" s="3">
        <v>39691</v>
      </c>
      <c r="N320" s="78">
        <f t="shared" si="77"/>
        <v>4</v>
      </c>
      <c r="O320" s="11">
        <v>0.78432222961588105</v>
      </c>
      <c r="P320" s="94">
        <f t="shared" si="85"/>
        <v>18</v>
      </c>
      <c r="Q320" s="94">
        <f t="shared" si="86"/>
        <v>49</v>
      </c>
      <c r="R320" s="94">
        <f t="shared" si="87"/>
        <v>25</v>
      </c>
      <c r="S320" s="94" t="str">
        <f>VLOOKUP(O320,'Lookup Values'!$I$2:$L$8,4,TRUE)</f>
        <v>Evening</v>
      </c>
      <c r="T320" t="s">
        <v>95</v>
      </c>
      <c r="U320" t="s">
        <v>96</v>
      </c>
      <c r="V320" t="str">
        <f t="shared" si="88"/>
        <v>Transportation: Subway</v>
      </c>
      <c r="W320" t="s">
        <v>94</v>
      </c>
      <c r="X320" t="s">
        <v>78</v>
      </c>
      <c r="Y320" s="1">
        <v>468</v>
      </c>
      <c r="Z320" s="1" t="str">
        <f t="shared" si="89"/>
        <v>Transportation: $468.00</v>
      </c>
      <c r="AA320" s="1">
        <f>IF(Y320="","",ROUND(Y320*'Lookup Values'!$A$2,2))</f>
        <v>41.54</v>
      </c>
      <c r="AB320" s="12" t="str">
        <f t="shared" si="90"/>
        <v>Expense</v>
      </c>
      <c r="AC320" s="2" t="s">
        <v>465</v>
      </c>
      <c r="AD320" s="3">
        <f t="shared" si="91"/>
        <v>39687</v>
      </c>
      <c r="AE320" s="93" t="str">
        <f t="shared" si="92"/>
        <v>YES</v>
      </c>
      <c r="AF320" s="2" t="str">
        <f t="shared" si="93"/>
        <v>YES</v>
      </c>
      <c r="AG320" t="str">
        <f t="shared" si="94"/>
        <v>Late Transaction</v>
      </c>
    </row>
    <row r="321" spans="1:33" x14ac:dyDescent="0.25">
      <c r="A321" s="2">
        <v>320</v>
      </c>
      <c r="B321" s="3" t="str">
        <f t="shared" si="76"/>
        <v>080112-EN-MOE</v>
      </c>
      <c r="C321" s="3">
        <v>39459</v>
      </c>
      <c r="D321" s="3">
        <f t="shared" si="78"/>
        <v>39472</v>
      </c>
      <c r="E321" s="3">
        <f t="shared" si="79"/>
        <v>39519</v>
      </c>
      <c r="F321" s="3">
        <f t="shared" si="80"/>
        <v>39478</v>
      </c>
      <c r="G321" s="76">
        <f t="shared" si="81"/>
        <v>2008</v>
      </c>
      <c r="H321" s="76">
        <f t="shared" si="82"/>
        <v>1</v>
      </c>
      <c r="I321" s="76" t="str">
        <f>VLOOKUP(H321,'Lookup Values'!$C$2:$D$13,2,FALSE)</f>
        <v>JAN</v>
      </c>
      <c r="J321" s="76">
        <f t="shared" si="83"/>
        <v>12</v>
      </c>
      <c r="K321" s="76">
        <f t="shared" si="84"/>
        <v>7</v>
      </c>
      <c r="L321" s="76" t="str">
        <f>VLOOKUP(K321,'Lookup Values'!$F$2:$G$8,2,FALSE)</f>
        <v>Saturday</v>
      </c>
      <c r="M321" s="3">
        <v>39464</v>
      </c>
      <c r="N321" s="78">
        <f t="shared" si="77"/>
        <v>5</v>
      </c>
      <c r="O321" s="11">
        <v>7.3708150955737683E-2</v>
      </c>
      <c r="P321" s="94">
        <f t="shared" si="85"/>
        <v>1</v>
      </c>
      <c r="Q321" s="94">
        <f t="shared" si="86"/>
        <v>46</v>
      </c>
      <c r="R321" s="94">
        <f t="shared" si="87"/>
        <v>8</v>
      </c>
      <c r="S321" s="94" t="str">
        <f>VLOOKUP(O321,'Lookup Values'!$I$2:$L$8,4,TRUE)</f>
        <v>Dead of Night</v>
      </c>
      <c r="T321" t="s">
        <v>76</v>
      </c>
      <c r="U321" t="s">
        <v>77</v>
      </c>
      <c r="V321" t="str">
        <f t="shared" si="88"/>
        <v>Entertainment: Alcohol</v>
      </c>
      <c r="W321" t="s">
        <v>75</v>
      </c>
      <c r="X321" t="s">
        <v>78</v>
      </c>
      <c r="Y321" s="1">
        <v>311</v>
      </c>
      <c r="Z321" s="1" t="str">
        <f t="shared" si="89"/>
        <v>Entertainment: $311.00</v>
      </c>
      <c r="AA321" s="1">
        <f>IF(Y321="","",ROUND(Y321*'Lookup Values'!$A$2,2))</f>
        <v>27.6</v>
      </c>
      <c r="AB321" s="12" t="str">
        <f t="shared" si="90"/>
        <v>Expense</v>
      </c>
      <c r="AC321" s="2" t="s">
        <v>466</v>
      </c>
      <c r="AD321" s="3">
        <f t="shared" si="91"/>
        <v>39459</v>
      </c>
      <c r="AE321" s="93" t="str">
        <f t="shared" si="92"/>
        <v>NO</v>
      </c>
      <c r="AF321" s="2" t="str">
        <f t="shared" si="93"/>
        <v>NO</v>
      </c>
      <c r="AG321" t="str">
        <f t="shared" si="94"/>
        <v>Awesome Transaction</v>
      </c>
    </row>
    <row r="322" spans="1:33" x14ac:dyDescent="0.25">
      <c r="A322" s="2">
        <v>321</v>
      </c>
      <c r="B322" s="3" t="str">
        <f t="shared" ref="B322:B385" si="95">TEXT(C322,"yymmdd") &amp; "-" &amp; UPPER(LEFT(T322,2)) &amp; "-" &amp; UPPER(LEFT(W322,3))</f>
        <v>111017-SH-EXP</v>
      </c>
      <c r="C322" s="3">
        <v>40833</v>
      </c>
      <c r="D322" s="3">
        <f t="shared" si="78"/>
        <v>40847</v>
      </c>
      <c r="E322" s="3">
        <f t="shared" si="79"/>
        <v>40894</v>
      </c>
      <c r="F322" s="3">
        <f t="shared" si="80"/>
        <v>40847</v>
      </c>
      <c r="G322" s="76">
        <f t="shared" si="81"/>
        <v>2011</v>
      </c>
      <c r="H322" s="76">
        <f t="shared" si="82"/>
        <v>10</v>
      </c>
      <c r="I322" s="76" t="str">
        <f>VLOOKUP(H322,'Lookup Values'!$C$2:$D$13,2,FALSE)</f>
        <v>OCT</v>
      </c>
      <c r="J322" s="76">
        <f t="shared" si="83"/>
        <v>17</v>
      </c>
      <c r="K322" s="76">
        <f t="shared" si="84"/>
        <v>2</v>
      </c>
      <c r="L322" s="76" t="str">
        <f>VLOOKUP(K322,'Lookup Values'!$F$2:$G$8,2,FALSE)</f>
        <v>Monday</v>
      </c>
      <c r="M322" s="3">
        <v>40841</v>
      </c>
      <c r="N322" s="78">
        <f t="shared" ref="N322:N385" si="96">M322-C322</f>
        <v>8</v>
      </c>
      <c r="O322" s="11">
        <v>0.4383578666878396</v>
      </c>
      <c r="P322" s="94">
        <f t="shared" si="85"/>
        <v>10</v>
      </c>
      <c r="Q322" s="94">
        <f t="shared" si="86"/>
        <v>31</v>
      </c>
      <c r="R322" s="94">
        <f t="shared" si="87"/>
        <v>14</v>
      </c>
      <c r="S322" s="94" t="str">
        <f>VLOOKUP(O322,'Lookup Values'!$I$2:$L$8,4,TRUE)</f>
        <v>Late Morning</v>
      </c>
      <c r="T322" t="s">
        <v>83</v>
      </c>
      <c r="U322" t="s">
        <v>103</v>
      </c>
      <c r="V322" t="str">
        <f t="shared" si="88"/>
        <v>Shopping: Clothing</v>
      </c>
      <c r="W322" t="s">
        <v>102</v>
      </c>
      <c r="X322" t="s">
        <v>78</v>
      </c>
      <c r="Y322" s="1">
        <v>220</v>
      </c>
      <c r="Z322" s="1" t="str">
        <f t="shared" si="89"/>
        <v>Shopping: $220.00</v>
      </c>
      <c r="AA322" s="1">
        <f>IF(Y322="","",ROUND(Y322*'Lookup Values'!$A$2,2))</f>
        <v>19.53</v>
      </c>
      <c r="AB322" s="12" t="str">
        <f t="shared" si="90"/>
        <v>Expense</v>
      </c>
      <c r="AC322" s="2" t="s">
        <v>467</v>
      </c>
      <c r="AD322" s="3">
        <f t="shared" si="91"/>
        <v>40833</v>
      </c>
      <c r="AE322" s="93" t="str">
        <f t="shared" si="92"/>
        <v>NO</v>
      </c>
      <c r="AF322" s="2" t="str">
        <f t="shared" si="93"/>
        <v>NO</v>
      </c>
      <c r="AG322" t="str">
        <f t="shared" si="94"/>
        <v>CRAP Transaction</v>
      </c>
    </row>
    <row r="323" spans="1:33" x14ac:dyDescent="0.25">
      <c r="A323" s="2">
        <v>322</v>
      </c>
      <c r="B323" s="3" t="str">
        <f t="shared" si="95"/>
        <v>111018-IN-AUN</v>
      </c>
      <c r="C323" s="3">
        <v>40834</v>
      </c>
      <c r="D323" s="3">
        <f t="shared" ref="D323:D386" si="97">WORKDAY(C323,10)</f>
        <v>40848</v>
      </c>
      <c r="E323" s="3">
        <f t="shared" ref="E323:E386" si="98">EDATE(C323,2)</f>
        <v>40895</v>
      </c>
      <c r="F323" s="3">
        <f t="shared" ref="F323:F386" si="99">EOMONTH(C323,0)</f>
        <v>40847</v>
      </c>
      <c r="G323" s="76">
        <f t="shared" ref="G323:G386" si="100">YEAR(C323)</f>
        <v>2011</v>
      </c>
      <c r="H323" s="76">
        <f t="shared" ref="H323:H386" si="101">MONTH(C323)</f>
        <v>10</v>
      </c>
      <c r="I323" s="76" t="str">
        <f>VLOOKUP(H323,'Lookup Values'!$C$2:$D$13,2,FALSE)</f>
        <v>OCT</v>
      </c>
      <c r="J323" s="76">
        <f t="shared" ref="J323:J386" si="102">DAY(C323)</f>
        <v>18</v>
      </c>
      <c r="K323" s="76">
        <f t="shared" ref="K323:K386" si="103">WEEKDAY(C323)</f>
        <v>3</v>
      </c>
      <c r="L323" s="76" t="str">
        <f>VLOOKUP(K323,'Lookup Values'!$F$2:$G$8,2,FALSE)</f>
        <v>Tuesday</v>
      </c>
      <c r="M323" s="3">
        <v>40839</v>
      </c>
      <c r="N323" s="78">
        <f t="shared" si="96"/>
        <v>5</v>
      </c>
      <c r="O323" s="11">
        <v>0.96170589286366237</v>
      </c>
      <c r="P323" s="94">
        <f t="shared" ref="P323:P386" si="104">HOUR(O323)</f>
        <v>23</v>
      </c>
      <c r="Q323" s="94">
        <f t="shared" ref="Q323:Q386" si="105">MINUTE(O323)</f>
        <v>4</v>
      </c>
      <c r="R323" s="94">
        <f t="shared" ref="R323:R386" si="106">SECOND(O323)</f>
        <v>51</v>
      </c>
      <c r="S323" s="94" t="str">
        <f>VLOOKUP(O323,'Lookup Values'!$I$2:$L$8,4,TRUE)</f>
        <v>Late Evening</v>
      </c>
      <c r="T323" t="s">
        <v>158</v>
      </c>
      <c r="U323" t="s">
        <v>161</v>
      </c>
      <c r="V323" t="str">
        <f t="shared" ref="V323:V386" si="107">T323 &amp; ": " &amp; U323</f>
        <v>Income: Gift Received</v>
      </c>
      <c r="W323" t="s">
        <v>164</v>
      </c>
      <c r="X323" t="s">
        <v>88</v>
      </c>
      <c r="Y323" s="1">
        <v>307</v>
      </c>
      <c r="Z323" s="1" t="str">
        <f t="shared" ref="Z323:Z386" si="108">T323 &amp; ": " &amp; TEXT(Y323,"$#,###.00")</f>
        <v>Income: $307.00</v>
      </c>
      <c r="AA323" s="1">
        <f>IF(Y323="","",ROUND(Y323*'Lookup Values'!$A$2,2))</f>
        <v>27.25</v>
      </c>
      <c r="AB323" s="12" t="str">
        <f t="shared" ref="AB323:AB386" si="109">IF(T323="Income","Income","Expense")</f>
        <v>Income</v>
      </c>
      <c r="AC323" s="2" t="s">
        <v>468</v>
      </c>
      <c r="AD323" s="3">
        <f t="shared" ref="AD323:AD386" si="110">VALUE(SUBSTITUTE(AC323,".","/"))</f>
        <v>40834</v>
      </c>
      <c r="AE323" s="93" t="str">
        <f t="shared" ref="AE323:AE386" si="111">IF(OR(T323="Transportation",U323="Professional Development",U323="Electronics"),"YES","NO")</f>
        <v>NO</v>
      </c>
      <c r="AF323" s="2" t="str">
        <f t="shared" ref="AF323:AF386" si="112">IF(AND(AE323="YES",Y323&gt;=400),"YES","NO")</f>
        <v>NO</v>
      </c>
      <c r="AG323" t="str">
        <f t="shared" ref="AG323:AG386" si="113">IF(AND(AND(G323&gt;=2007,G323&lt;=2009),OR(W323&lt;&gt;"MTA",W323&lt;&gt;"Fandango"),OR(T323="Food",T323="Shopping",T323="Entertainment")),"Awesome Transaction",IF(AND(G323&lt;=2010,U323&lt;&gt;"Alcohol"),"Late Transaction",IF(G323=2006,"Early Transaction","CRAP Transaction")))</f>
        <v>CRAP Transaction</v>
      </c>
    </row>
    <row r="324" spans="1:33" x14ac:dyDescent="0.25">
      <c r="A324" s="2">
        <v>323</v>
      </c>
      <c r="B324" s="3" t="str">
        <f t="shared" si="95"/>
        <v>090621-HO-BED</v>
      </c>
      <c r="C324" s="3">
        <v>39985</v>
      </c>
      <c r="D324" s="3">
        <f t="shared" si="97"/>
        <v>39997</v>
      </c>
      <c r="E324" s="3">
        <f t="shared" si="98"/>
        <v>40046</v>
      </c>
      <c r="F324" s="3">
        <f t="shared" si="99"/>
        <v>39994</v>
      </c>
      <c r="G324" s="76">
        <f t="shared" si="100"/>
        <v>2009</v>
      </c>
      <c r="H324" s="76">
        <f t="shared" si="101"/>
        <v>6</v>
      </c>
      <c r="I324" s="76" t="str">
        <f>VLOOKUP(H324,'Lookup Values'!$C$2:$D$13,2,FALSE)</f>
        <v>JUN</v>
      </c>
      <c r="J324" s="76">
        <f t="shared" si="102"/>
        <v>21</v>
      </c>
      <c r="K324" s="76">
        <f t="shared" si="103"/>
        <v>1</v>
      </c>
      <c r="L324" s="76" t="str">
        <f>VLOOKUP(K324,'Lookup Values'!$F$2:$G$8,2,FALSE)</f>
        <v>Sunday</v>
      </c>
      <c r="M324" s="3">
        <v>39991</v>
      </c>
      <c r="N324" s="78">
        <f t="shared" si="96"/>
        <v>6</v>
      </c>
      <c r="O324" s="11">
        <v>0.46066483962170535</v>
      </c>
      <c r="P324" s="94">
        <f t="shared" si="104"/>
        <v>11</v>
      </c>
      <c r="Q324" s="94">
        <f t="shared" si="105"/>
        <v>3</v>
      </c>
      <c r="R324" s="94">
        <f t="shared" si="106"/>
        <v>21</v>
      </c>
      <c r="S324" s="94" t="str">
        <f>VLOOKUP(O324,'Lookup Values'!$I$2:$L$8,4,TRUE)</f>
        <v>Late Morning</v>
      </c>
      <c r="T324" t="s">
        <v>100</v>
      </c>
      <c r="U324" t="s">
        <v>101</v>
      </c>
      <c r="V324" t="str">
        <f t="shared" si="107"/>
        <v>Home: Cleaning Supplies</v>
      </c>
      <c r="W324" t="s">
        <v>99</v>
      </c>
      <c r="X324" t="s">
        <v>91</v>
      </c>
      <c r="Y324" s="1">
        <v>400</v>
      </c>
      <c r="Z324" s="1" t="str">
        <f t="shared" si="108"/>
        <v>Home: $400.00</v>
      </c>
      <c r="AA324" s="1">
        <f>IF(Y324="","",ROUND(Y324*'Lookup Values'!$A$2,2))</f>
        <v>35.5</v>
      </c>
      <c r="AB324" s="12" t="str">
        <f t="shared" si="109"/>
        <v>Expense</v>
      </c>
      <c r="AC324" s="2" t="s">
        <v>469</v>
      </c>
      <c r="AD324" s="3">
        <f t="shared" si="110"/>
        <v>39985</v>
      </c>
      <c r="AE324" s="93" t="str">
        <f t="shared" si="111"/>
        <v>NO</v>
      </c>
      <c r="AF324" s="2" t="str">
        <f t="shared" si="112"/>
        <v>NO</v>
      </c>
      <c r="AG324" t="str">
        <f t="shared" si="113"/>
        <v>Late Transaction</v>
      </c>
    </row>
    <row r="325" spans="1:33" x14ac:dyDescent="0.25">
      <c r="A325" s="2">
        <v>324</v>
      </c>
      <c r="B325" s="3" t="str">
        <f t="shared" si="95"/>
        <v>110215-HO-BED</v>
      </c>
      <c r="C325" s="3">
        <v>40589</v>
      </c>
      <c r="D325" s="3">
        <f t="shared" si="97"/>
        <v>40603</v>
      </c>
      <c r="E325" s="3">
        <f t="shared" si="98"/>
        <v>40648</v>
      </c>
      <c r="F325" s="3">
        <f t="shared" si="99"/>
        <v>40602</v>
      </c>
      <c r="G325" s="76">
        <f t="shared" si="100"/>
        <v>2011</v>
      </c>
      <c r="H325" s="76">
        <f t="shared" si="101"/>
        <v>2</v>
      </c>
      <c r="I325" s="76" t="str">
        <f>VLOOKUP(H325,'Lookup Values'!$C$2:$D$13,2,FALSE)</f>
        <v>FEB</v>
      </c>
      <c r="J325" s="76">
        <f t="shared" si="102"/>
        <v>15</v>
      </c>
      <c r="K325" s="76">
        <f t="shared" si="103"/>
        <v>3</v>
      </c>
      <c r="L325" s="76" t="str">
        <f>VLOOKUP(K325,'Lookup Values'!$F$2:$G$8,2,FALSE)</f>
        <v>Tuesday</v>
      </c>
      <c r="M325" s="3">
        <v>40598</v>
      </c>
      <c r="N325" s="78">
        <f t="shared" si="96"/>
        <v>9</v>
      </c>
      <c r="O325" s="11">
        <v>0.39649323453150132</v>
      </c>
      <c r="P325" s="94">
        <f t="shared" si="104"/>
        <v>9</v>
      </c>
      <c r="Q325" s="94">
        <f t="shared" si="105"/>
        <v>30</v>
      </c>
      <c r="R325" s="94">
        <f t="shared" si="106"/>
        <v>57</v>
      </c>
      <c r="S325" s="94" t="str">
        <f>VLOOKUP(O325,'Lookup Values'!$I$2:$L$8,4,TRUE)</f>
        <v>Morning</v>
      </c>
      <c r="T325" t="s">
        <v>100</v>
      </c>
      <c r="U325" t="s">
        <v>101</v>
      </c>
      <c r="V325" t="str">
        <f t="shared" si="107"/>
        <v>Home: Cleaning Supplies</v>
      </c>
      <c r="W325" t="s">
        <v>99</v>
      </c>
      <c r="X325" t="s">
        <v>88</v>
      </c>
      <c r="Y325" s="1">
        <v>77</v>
      </c>
      <c r="Z325" s="1" t="str">
        <f t="shared" si="108"/>
        <v>Home: $77.00</v>
      </c>
      <c r="AA325" s="1">
        <f>IF(Y325="","",ROUND(Y325*'Lookup Values'!$A$2,2))</f>
        <v>6.83</v>
      </c>
      <c r="AB325" s="12" t="str">
        <f t="shared" si="109"/>
        <v>Expense</v>
      </c>
      <c r="AC325" s="2" t="s">
        <v>326</v>
      </c>
      <c r="AD325" s="3">
        <f t="shared" si="110"/>
        <v>40589</v>
      </c>
      <c r="AE325" s="93" t="str">
        <f t="shared" si="111"/>
        <v>NO</v>
      </c>
      <c r="AF325" s="2" t="str">
        <f t="shared" si="112"/>
        <v>NO</v>
      </c>
      <c r="AG325" t="str">
        <f t="shared" si="113"/>
        <v>CRAP Transaction</v>
      </c>
    </row>
    <row r="326" spans="1:33" x14ac:dyDescent="0.25">
      <c r="A326" s="2">
        <v>325</v>
      </c>
      <c r="B326" s="3" t="str">
        <f t="shared" si="95"/>
        <v>070622-SH-AMA</v>
      </c>
      <c r="C326" s="3">
        <v>39255</v>
      </c>
      <c r="D326" s="3">
        <f t="shared" si="97"/>
        <v>39269</v>
      </c>
      <c r="E326" s="3">
        <f t="shared" si="98"/>
        <v>39316</v>
      </c>
      <c r="F326" s="3">
        <f t="shared" si="99"/>
        <v>39263</v>
      </c>
      <c r="G326" s="76">
        <f t="shared" si="100"/>
        <v>2007</v>
      </c>
      <c r="H326" s="76">
        <f t="shared" si="101"/>
        <v>6</v>
      </c>
      <c r="I326" s="76" t="str">
        <f>VLOOKUP(H326,'Lookup Values'!$C$2:$D$13,2,FALSE)</f>
        <v>JUN</v>
      </c>
      <c r="J326" s="76">
        <f t="shared" si="102"/>
        <v>22</v>
      </c>
      <c r="K326" s="76">
        <f t="shared" si="103"/>
        <v>6</v>
      </c>
      <c r="L326" s="76" t="str">
        <f>VLOOKUP(K326,'Lookup Values'!$F$2:$G$8,2,FALSE)</f>
        <v>Friday</v>
      </c>
      <c r="M326" s="3">
        <v>39257</v>
      </c>
      <c r="N326" s="78">
        <f t="shared" si="96"/>
        <v>2</v>
      </c>
      <c r="O326" s="11">
        <v>0.51465928848496645</v>
      </c>
      <c r="P326" s="94">
        <f t="shared" si="104"/>
        <v>12</v>
      </c>
      <c r="Q326" s="94">
        <f t="shared" si="105"/>
        <v>21</v>
      </c>
      <c r="R326" s="94">
        <f t="shared" si="106"/>
        <v>7</v>
      </c>
      <c r="S326" s="94" t="str">
        <f>VLOOKUP(O326,'Lookup Values'!$I$2:$L$8,4,TRUE)</f>
        <v>Afternoon</v>
      </c>
      <c r="T326" t="s">
        <v>83</v>
      </c>
      <c r="U326" t="s">
        <v>84</v>
      </c>
      <c r="V326" t="str">
        <f t="shared" si="107"/>
        <v>Shopping: Electronics</v>
      </c>
      <c r="W326" t="s">
        <v>82</v>
      </c>
      <c r="X326" t="s">
        <v>88</v>
      </c>
      <c r="Y326" s="1">
        <v>372</v>
      </c>
      <c r="Z326" s="1" t="str">
        <f t="shared" si="108"/>
        <v>Shopping: $372.00</v>
      </c>
      <c r="AA326" s="1">
        <f>IF(Y326="","",ROUND(Y326*'Lookup Values'!$A$2,2))</f>
        <v>33.020000000000003</v>
      </c>
      <c r="AB326" s="12" t="str">
        <f t="shared" si="109"/>
        <v>Expense</v>
      </c>
      <c r="AC326" s="2" t="s">
        <v>470</v>
      </c>
      <c r="AD326" s="3">
        <f t="shared" si="110"/>
        <v>39255</v>
      </c>
      <c r="AE326" s="93" t="str">
        <f t="shared" si="111"/>
        <v>YES</v>
      </c>
      <c r="AF326" s="2" t="str">
        <f t="shared" si="112"/>
        <v>NO</v>
      </c>
      <c r="AG326" t="str">
        <f t="shared" si="113"/>
        <v>Awesome Transaction</v>
      </c>
    </row>
    <row r="327" spans="1:33" x14ac:dyDescent="0.25">
      <c r="A327" s="2">
        <v>326</v>
      </c>
      <c r="B327" s="3" t="str">
        <f t="shared" si="95"/>
        <v>111103-SH-AMA</v>
      </c>
      <c r="C327" s="3">
        <v>40850</v>
      </c>
      <c r="D327" s="3">
        <f t="shared" si="97"/>
        <v>40864</v>
      </c>
      <c r="E327" s="3">
        <f t="shared" si="98"/>
        <v>40911</v>
      </c>
      <c r="F327" s="3">
        <f t="shared" si="99"/>
        <v>40877</v>
      </c>
      <c r="G327" s="76">
        <f t="shared" si="100"/>
        <v>2011</v>
      </c>
      <c r="H327" s="76">
        <f t="shared" si="101"/>
        <v>11</v>
      </c>
      <c r="I327" s="76" t="str">
        <f>VLOOKUP(H327,'Lookup Values'!$C$2:$D$13,2,FALSE)</f>
        <v>NOV</v>
      </c>
      <c r="J327" s="76">
        <f t="shared" si="102"/>
        <v>3</v>
      </c>
      <c r="K327" s="76">
        <f t="shared" si="103"/>
        <v>5</v>
      </c>
      <c r="L327" s="76" t="str">
        <f>VLOOKUP(K327,'Lookup Values'!$F$2:$G$8,2,FALSE)</f>
        <v>Thursday</v>
      </c>
      <c r="M327" s="3">
        <v>40856</v>
      </c>
      <c r="N327" s="78">
        <f t="shared" si="96"/>
        <v>6</v>
      </c>
      <c r="O327" s="11">
        <v>0.53912097955251892</v>
      </c>
      <c r="P327" s="94">
        <f t="shared" si="104"/>
        <v>12</v>
      </c>
      <c r="Q327" s="94">
        <f t="shared" si="105"/>
        <v>56</v>
      </c>
      <c r="R327" s="94">
        <f t="shared" si="106"/>
        <v>20</v>
      </c>
      <c r="S327" s="94" t="str">
        <f>VLOOKUP(O327,'Lookup Values'!$I$2:$L$8,4,TRUE)</f>
        <v>Afternoon</v>
      </c>
      <c r="T327" t="s">
        <v>83</v>
      </c>
      <c r="U327" t="s">
        <v>84</v>
      </c>
      <c r="V327" t="str">
        <f t="shared" si="107"/>
        <v>Shopping: Electronics</v>
      </c>
      <c r="W327" t="s">
        <v>82</v>
      </c>
      <c r="X327" t="s">
        <v>91</v>
      </c>
      <c r="Y327" s="1">
        <v>20</v>
      </c>
      <c r="Z327" s="1" t="str">
        <f t="shared" si="108"/>
        <v>Shopping: $20.00</v>
      </c>
      <c r="AA327" s="1">
        <f>IF(Y327="","",ROUND(Y327*'Lookup Values'!$A$2,2))</f>
        <v>1.78</v>
      </c>
      <c r="AB327" s="12" t="str">
        <f t="shared" si="109"/>
        <v>Expense</v>
      </c>
      <c r="AC327" s="2" t="s">
        <v>471</v>
      </c>
      <c r="AD327" s="3">
        <f t="shared" si="110"/>
        <v>40850</v>
      </c>
      <c r="AE327" s="93" t="str">
        <f t="shared" si="111"/>
        <v>YES</v>
      </c>
      <c r="AF327" s="2" t="str">
        <f t="shared" si="112"/>
        <v>NO</v>
      </c>
      <c r="AG327" t="str">
        <f t="shared" si="113"/>
        <v>CRAP Transaction</v>
      </c>
    </row>
    <row r="328" spans="1:33" x14ac:dyDescent="0.25">
      <c r="A328" s="2">
        <v>327</v>
      </c>
      <c r="B328" s="3" t="str">
        <f t="shared" si="95"/>
        <v>070106-IN-EZE</v>
      </c>
      <c r="C328" s="3">
        <v>39088</v>
      </c>
      <c r="D328" s="3">
        <f t="shared" si="97"/>
        <v>39101</v>
      </c>
      <c r="E328" s="3">
        <f t="shared" si="98"/>
        <v>39147</v>
      </c>
      <c r="F328" s="3">
        <f t="shared" si="99"/>
        <v>39113</v>
      </c>
      <c r="G328" s="76">
        <f t="shared" si="100"/>
        <v>2007</v>
      </c>
      <c r="H328" s="76">
        <f t="shared" si="101"/>
        <v>1</v>
      </c>
      <c r="I328" s="76" t="str">
        <f>VLOOKUP(H328,'Lookup Values'!$C$2:$D$13,2,FALSE)</f>
        <v>JAN</v>
      </c>
      <c r="J328" s="76">
        <f t="shared" si="102"/>
        <v>6</v>
      </c>
      <c r="K328" s="76">
        <f t="shared" si="103"/>
        <v>7</v>
      </c>
      <c r="L328" s="76" t="str">
        <f>VLOOKUP(K328,'Lookup Values'!$F$2:$G$8,2,FALSE)</f>
        <v>Saturday</v>
      </c>
      <c r="M328" s="3">
        <v>39096</v>
      </c>
      <c r="N328" s="78">
        <f t="shared" si="96"/>
        <v>8</v>
      </c>
      <c r="O328" s="11">
        <v>0.81389436127846526</v>
      </c>
      <c r="P328" s="94">
        <f t="shared" si="104"/>
        <v>19</v>
      </c>
      <c r="Q328" s="94">
        <f t="shared" si="105"/>
        <v>32</v>
      </c>
      <c r="R328" s="94">
        <f t="shared" si="106"/>
        <v>0</v>
      </c>
      <c r="S328" s="94" t="str">
        <f>VLOOKUP(O328,'Lookup Values'!$I$2:$L$8,4,TRUE)</f>
        <v>Evening</v>
      </c>
      <c r="T328" t="s">
        <v>158</v>
      </c>
      <c r="U328" t="s">
        <v>159</v>
      </c>
      <c r="V328" t="str">
        <f t="shared" si="107"/>
        <v>Income: Salary</v>
      </c>
      <c r="W328" t="s">
        <v>162</v>
      </c>
      <c r="X328" t="s">
        <v>88</v>
      </c>
      <c r="Y328" s="1">
        <v>226</v>
      </c>
      <c r="Z328" s="1" t="str">
        <f t="shared" si="108"/>
        <v>Income: $226.00</v>
      </c>
      <c r="AA328" s="1">
        <f>IF(Y328="","",ROUND(Y328*'Lookup Values'!$A$2,2))</f>
        <v>20.059999999999999</v>
      </c>
      <c r="AB328" s="12" t="str">
        <f t="shared" si="109"/>
        <v>Income</v>
      </c>
      <c r="AC328" s="2" t="s">
        <v>472</v>
      </c>
      <c r="AD328" s="3">
        <f t="shared" si="110"/>
        <v>39088</v>
      </c>
      <c r="AE328" s="93" t="str">
        <f t="shared" si="111"/>
        <v>NO</v>
      </c>
      <c r="AF328" s="2" t="str">
        <f t="shared" si="112"/>
        <v>NO</v>
      </c>
      <c r="AG328" t="str">
        <f t="shared" si="113"/>
        <v>Late Transaction</v>
      </c>
    </row>
    <row r="329" spans="1:33" x14ac:dyDescent="0.25">
      <c r="A329" s="2">
        <v>328</v>
      </c>
      <c r="B329" s="3" t="str">
        <f t="shared" si="95"/>
        <v>090619-FO-BAN</v>
      </c>
      <c r="C329" s="3">
        <v>39983</v>
      </c>
      <c r="D329" s="3">
        <f t="shared" si="97"/>
        <v>39997</v>
      </c>
      <c r="E329" s="3">
        <f t="shared" si="98"/>
        <v>40044</v>
      </c>
      <c r="F329" s="3">
        <f t="shared" si="99"/>
        <v>39994</v>
      </c>
      <c r="G329" s="76">
        <f t="shared" si="100"/>
        <v>2009</v>
      </c>
      <c r="H329" s="76">
        <f t="shared" si="101"/>
        <v>6</v>
      </c>
      <c r="I329" s="76" t="str">
        <f>VLOOKUP(H329,'Lookup Values'!$C$2:$D$13,2,FALSE)</f>
        <v>JUN</v>
      </c>
      <c r="J329" s="76">
        <f t="shared" si="102"/>
        <v>19</v>
      </c>
      <c r="K329" s="76">
        <f t="shared" si="103"/>
        <v>6</v>
      </c>
      <c r="L329" s="76" t="str">
        <f>VLOOKUP(K329,'Lookup Values'!$F$2:$G$8,2,FALSE)</f>
        <v>Friday</v>
      </c>
      <c r="M329" s="3">
        <v>39993</v>
      </c>
      <c r="N329" s="78">
        <f t="shared" si="96"/>
        <v>10</v>
      </c>
      <c r="O329" s="11">
        <v>0.22970242563089094</v>
      </c>
      <c r="P329" s="94">
        <f t="shared" si="104"/>
        <v>5</v>
      </c>
      <c r="Q329" s="94">
        <f t="shared" si="105"/>
        <v>30</v>
      </c>
      <c r="R329" s="94">
        <f t="shared" si="106"/>
        <v>46</v>
      </c>
      <c r="S329" s="94" t="str">
        <f>VLOOKUP(O329,'Lookup Values'!$I$2:$L$8,4,TRUE)</f>
        <v>Early Morning</v>
      </c>
      <c r="T329" t="s">
        <v>80</v>
      </c>
      <c r="U329" t="s">
        <v>81</v>
      </c>
      <c r="V329" t="str">
        <f t="shared" si="107"/>
        <v>Food: Restaurants</v>
      </c>
      <c r="W329" t="s">
        <v>79</v>
      </c>
      <c r="X329" t="s">
        <v>88</v>
      </c>
      <c r="Y329" s="1">
        <v>13</v>
      </c>
      <c r="Z329" s="1" t="str">
        <f t="shared" si="108"/>
        <v>Food: $13.00</v>
      </c>
      <c r="AA329" s="1">
        <f>IF(Y329="","",ROUND(Y329*'Lookup Values'!$A$2,2))</f>
        <v>1.1499999999999999</v>
      </c>
      <c r="AB329" s="12" t="str">
        <f t="shared" si="109"/>
        <v>Expense</v>
      </c>
      <c r="AC329" s="2" t="s">
        <v>473</v>
      </c>
      <c r="AD329" s="3">
        <f t="shared" si="110"/>
        <v>39983</v>
      </c>
      <c r="AE329" s="93" t="str">
        <f t="shared" si="111"/>
        <v>NO</v>
      </c>
      <c r="AF329" s="2" t="str">
        <f t="shared" si="112"/>
        <v>NO</v>
      </c>
      <c r="AG329" t="str">
        <f t="shared" si="113"/>
        <v>Awesome Transaction</v>
      </c>
    </row>
    <row r="330" spans="1:33" x14ac:dyDescent="0.25">
      <c r="A330" s="2">
        <v>329</v>
      </c>
      <c r="B330" s="3" t="str">
        <f t="shared" si="95"/>
        <v>120826-HO-BED</v>
      </c>
      <c r="C330" s="3">
        <v>41147</v>
      </c>
      <c r="D330" s="3">
        <f t="shared" si="97"/>
        <v>41159</v>
      </c>
      <c r="E330" s="3">
        <f t="shared" si="98"/>
        <v>41208</v>
      </c>
      <c r="F330" s="3">
        <f t="shared" si="99"/>
        <v>41152</v>
      </c>
      <c r="G330" s="76">
        <f t="shared" si="100"/>
        <v>2012</v>
      </c>
      <c r="H330" s="76">
        <f t="shared" si="101"/>
        <v>8</v>
      </c>
      <c r="I330" s="76" t="str">
        <f>VLOOKUP(H330,'Lookup Values'!$C$2:$D$13,2,FALSE)</f>
        <v>AUG</v>
      </c>
      <c r="J330" s="76">
        <f t="shared" si="102"/>
        <v>26</v>
      </c>
      <c r="K330" s="76">
        <f t="shared" si="103"/>
        <v>1</v>
      </c>
      <c r="L330" s="76" t="str">
        <f>VLOOKUP(K330,'Lookup Values'!$F$2:$G$8,2,FALSE)</f>
        <v>Sunday</v>
      </c>
      <c r="M330" s="3">
        <v>41149</v>
      </c>
      <c r="N330" s="78">
        <f t="shared" si="96"/>
        <v>2</v>
      </c>
      <c r="O330" s="11">
        <v>0.10754131039543402</v>
      </c>
      <c r="P330" s="94">
        <f t="shared" si="104"/>
        <v>2</v>
      </c>
      <c r="Q330" s="94">
        <f t="shared" si="105"/>
        <v>34</v>
      </c>
      <c r="R330" s="94">
        <f t="shared" si="106"/>
        <v>52</v>
      </c>
      <c r="S330" s="94" t="str">
        <f>VLOOKUP(O330,'Lookup Values'!$I$2:$L$8,4,TRUE)</f>
        <v>Dead of Night</v>
      </c>
      <c r="T330" t="s">
        <v>100</v>
      </c>
      <c r="U330" t="s">
        <v>101</v>
      </c>
      <c r="V330" t="str">
        <f t="shared" si="107"/>
        <v>Home: Cleaning Supplies</v>
      </c>
      <c r="W330" t="s">
        <v>99</v>
      </c>
      <c r="X330" t="s">
        <v>78</v>
      </c>
      <c r="Y330" s="1">
        <v>163</v>
      </c>
      <c r="Z330" s="1" t="str">
        <f t="shared" si="108"/>
        <v>Home: $163.00</v>
      </c>
      <c r="AA330" s="1">
        <f>IF(Y330="","",ROUND(Y330*'Lookup Values'!$A$2,2))</f>
        <v>14.47</v>
      </c>
      <c r="AB330" s="12" t="str">
        <f t="shared" si="109"/>
        <v>Expense</v>
      </c>
      <c r="AC330" s="2" t="s">
        <v>255</v>
      </c>
      <c r="AD330" s="3">
        <f t="shared" si="110"/>
        <v>41147</v>
      </c>
      <c r="AE330" s="93" t="str">
        <f t="shared" si="111"/>
        <v>NO</v>
      </c>
      <c r="AF330" s="2" t="str">
        <f t="shared" si="112"/>
        <v>NO</v>
      </c>
      <c r="AG330" t="str">
        <f t="shared" si="113"/>
        <v>CRAP Transaction</v>
      </c>
    </row>
    <row r="331" spans="1:33" x14ac:dyDescent="0.25">
      <c r="A331" s="2">
        <v>330</v>
      </c>
      <c r="B331" s="3" t="str">
        <f t="shared" si="95"/>
        <v>070829-IN-LEG</v>
      </c>
      <c r="C331" s="3">
        <v>39323</v>
      </c>
      <c r="D331" s="3">
        <f t="shared" si="97"/>
        <v>39337</v>
      </c>
      <c r="E331" s="3">
        <f t="shared" si="98"/>
        <v>39384</v>
      </c>
      <c r="F331" s="3">
        <f t="shared" si="99"/>
        <v>39325</v>
      </c>
      <c r="G331" s="76">
        <f t="shared" si="100"/>
        <v>2007</v>
      </c>
      <c r="H331" s="76">
        <f t="shared" si="101"/>
        <v>8</v>
      </c>
      <c r="I331" s="76" t="str">
        <f>VLOOKUP(H331,'Lookup Values'!$C$2:$D$13,2,FALSE)</f>
        <v>AUG</v>
      </c>
      <c r="J331" s="76">
        <f t="shared" si="102"/>
        <v>29</v>
      </c>
      <c r="K331" s="76">
        <f t="shared" si="103"/>
        <v>4</v>
      </c>
      <c r="L331" s="76" t="str">
        <f>VLOOKUP(K331,'Lookup Values'!$F$2:$G$8,2,FALSE)</f>
        <v>Wednesday</v>
      </c>
      <c r="M331" s="3">
        <v>39325</v>
      </c>
      <c r="N331" s="78">
        <f t="shared" si="96"/>
        <v>2</v>
      </c>
      <c r="O331" s="11">
        <v>0.37150534615276609</v>
      </c>
      <c r="P331" s="94">
        <f t="shared" si="104"/>
        <v>8</v>
      </c>
      <c r="Q331" s="94">
        <f t="shared" si="105"/>
        <v>54</v>
      </c>
      <c r="R331" s="94">
        <f t="shared" si="106"/>
        <v>58</v>
      </c>
      <c r="S331" s="94" t="str">
        <f>VLOOKUP(O331,'Lookup Values'!$I$2:$L$8,4,TRUE)</f>
        <v>Morning</v>
      </c>
      <c r="T331" t="s">
        <v>158</v>
      </c>
      <c r="U331" t="s">
        <v>160</v>
      </c>
      <c r="V331" t="str">
        <f t="shared" si="107"/>
        <v>Income: Freelance Project</v>
      </c>
      <c r="W331" t="s">
        <v>163</v>
      </c>
      <c r="X331" t="s">
        <v>78</v>
      </c>
      <c r="Y331" s="1">
        <v>229</v>
      </c>
      <c r="Z331" s="1" t="str">
        <f t="shared" si="108"/>
        <v>Income: $229.00</v>
      </c>
      <c r="AA331" s="1">
        <f>IF(Y331="","",ROUND(Y331*'Lookup Values'!$A$2,2))</f>
        <v>20.32</v>
      </c>
      <c r="AB331" s="12" t="str">
        <f t="shared" si="109"/>
        <v>Income</v>
      </c>
      <c r="AC331" s="2" t="s">
        <v>474</v>
      </c>
      <c r="AD331" s="3">
        <f t="shared" si="110"/>
        <v>39323</v>
      </c>
      <c r="AE331" s="93" t="str">
        <f t="shared" si="111"/>
        <v>NO</v>
      </c>
      <c r="AF331" s="2" t="str">
        <f t="shared" si="112"/>
        <v>NO</v>
      </c>
      <c r="AG331" t="str">
        <f t="shared" si="113"/>
        <v>Late Transaction</v>
      </c>
    </row>
    <row r="332" spans="1:33" x14ac:dyDescent="0.25">
      <c r="A332" s="2">
        <v>331</v>
      </c>
      <c r="B332" s="3" t="str">
        <f t="shared" si="95"/>
        <v>070228-IN-EZE</v>
      </c>
      <c r="C332" s="3">
        <v>39141</v>
      </c>
      <c r="D332" s="3">
        <f t="shared" si="97"/>
        <v>39155</v>
      </c>
      <c r="E332" s="3">
        <f t="shared" si="98"/>
        <v>39200</v>
      </c>
      <c r="F332" s="3">
        <f t="shared" si="99"/>
        <v>39141</v>
      </c>
      <c r="G332" s="76">
        <f t="shared" si="100"/>
        <v>2007</v>
      </c>
      <c r="H332" s="76">
        <f t="shared" si="101"/>
        <v>2</v>
      </c>
      <c r="I332" s="76" t="str">
        <f>VLOOKUP(H332,'Lookup Values'!$C$2:$D$13,2,FALSE)</f>
        <v>FEB</v>
      </c>
      <c r="J332" s="76">
        <f t="shared" si="102"/>
        <v>28</v>
      </c>
      <c r="K332" s="76">
        <f t="shared" si="103"/>
        <v>4</v>
      </c>
      <c r="L332" s="76" t="str">
        <f>VLOOKUP(K332,'Lookup Values'!$F$2:$G$8,2,FALSE)</f>
        <v>Wednesday</v>
      </c>
      <c r="M332" s="3">
        <v>39145</v>
      </c>
      <c r="N332" s="78">
        <f t="shared" si="96"/>
        <v>4</v>
      </c>
      <c r="O332" s="11">
        <v>0.69108598645192798</v>
      </c>
      <c r="P332" s="94">
        <f t="shared" si="104"/>
        <v>16</v>
      </c>
      <c r="Q332" s="94">
        <f t="shared" si="105"/>
        <v>35</v>
      </c>
      <c r="R332" s="94">
        <f t="shared" si="106"/>
        <v>10</v>
      </c>
      <c r="S332" s="94" t="str">
        <f>VLOOKUP(O332,'Lookup Values'!$I$2:$L$8,4,TRUE)</f>
        <v>Afternoon</v>
      </c>
      <c r="T332" t="s">
        <v>158</v>
      </c>
      <c r="U332" t="s">
        <v>159</v>
      </c>
      <c r="V332" t="str">
        <f t="shared" si="107"/>
        <v>Income: Salary</v>
      </c>
      <c r="W332" t="s">
        <v>162</v>
      </c>
      <c r="X332" t="s">
        <v>91</v>
      </c>
      <c r="Y332" s="1">
        <v>41</v>
      </c>
      <c r="Z332" s="1" t="str">
        <f t="shared" si="108"/>
        <v>Income: $41.00</v>
      </c>
      <c r="AA332" s="1">
        <f>IF(Y332="","",ROUND(Y332*'Lookup Values'!$A$2,2))</f>
        <v>3.64</v>
      </c>
      <c r="AB332" s="12" t="str">
        <f t="shared" si="109"/>
        <v>Income</v>
      </c>
      <c r="AC332" s="2" t="s">
        <v>475</v>
      </c>
      <c r="AD332" s="3">
        <f t="shared" si="110"/>
        <v>39141</v>
      </c>
      <c r="AE332" s="93" t="str">
        <f t="shared" si="111"/>
        <v>NO</v>
      </c>
      <c r="AF332" s="2" t="str">
        <f t="shared" si="112"/>
        <v>NO</v>
      </c>
      <c r="AG332" t="str">
        <f t="shared" si="113"/>
        <v>Late Transaction</v>
      </c>
    </row>
    <row r="333" spans="1:33" x14ac:dyDescent="0.25">
      <c r="A333" s="2">
        <v>332</v>
      </c>
      <c r="B333" s="3" t="str">
        <f t="shared" si="95"/>
        <v>080317-FO-TRA</v>
      </c>
      <c r="C333" s="3">
        <v>39524</v>
      </c>
      <c r="D333" s="3">
        <f t="shared" si="97"/>
        <v>39538</v>
      </c>
      <c r="E333" s="3">
        <f t="shared" si="98"/>
        <v>39585</v>
      </c>
      <c r="F333" s="3">
        <f t="shared" si="99"/>
        <v>39538</v>
      </c>
      <c r="G333" s="76">
        <f t="shared" si="100"/>
        <v>2008</v>
      </c>
      <c r="H333" s="76">
        <f t="shared" si="101"/>
        <v>3</v>
      </c>
      <c r="I333" s="76" t="str">
        <f>VLOOKUP(H333,'Lookup Values'!$C$2:$D$13,2,FALSE)</f>
        <v>MAR</v>
      </c>
      <c r="J333" s="76">
        <f t="shared" si="102"/>
        <v>17</v>
      </c>
      <c r="K333" s="76">
        <f t="shared" si="103"/>
        <v>2</v>
      </c>
      <c r="L333" s="76" t="str">
        <f>VLOOKUP(K333,'Lookup Values'!$F$2:$G$8,2,FALSE)</f>
        <v>Monday</v>
      </c>
      <c r="M333" s="3">
        <v>39527</v>
      </c>
      <c r="N333" s="78">
        <f t="shared" si="96"/>
        <v>3</v>
      </c>
      <c r="O333" s="11">
        <v>0.91592483318133178</v>
      </c>
      <c r="P333" s="94">
        <f t="shared" si="104"/>
        <v>21</v>
      </c>
      <c r="Q333" s="94">
        <f t="shared" si="105"/>
        <v>58</v>
      </c>
      <c r="R333" s="94">
        <f t="shared" si="106"/>
        <v>56</v>
      </c>
      <c r="S333" s="94" t="str">
        <f>VLOOKUP(O333,'Lookup Values'!$I$2:$L$8,4,TRUE)</f>
        <v>Late Evening</v>
      </c>
      <c r="T333" t="s">
        <v>80</v>
      </c>
      <c r="U333" t="s">
        <v>93</v>
      </c>
      <c r="V333" t="str">
        <f t="shared" si="107"/>
        <v>Food: Groceries</v>
      </c>
      <c r="W333" t="s">
        <v>92</v>
      </c>
      <c r="X333" t="s">
        <v>78</v>
      </c>
      <c r="Y333" s="1">
        <v>440</v>
      </c>
      <c r="Z333" s="1" t="str">
        <f t="shared" si="108"/>
        <v>Food: $440.00</v>
      </c>
      <c r="AA333" s="1">
        <f>IF(Y333="","",ROUND(Y333*'Lookup Values'!$A$2,2))</f>
        <v>39.049999999999997</v>
      </c>
      <c r="AB333" s="12" t="str">
        <f t="shared" si="109"/>
        <v>Expense</v>
      </c>
      <c r="AC333" s="2" t="s">
        <v>476</v>
      </c>
      <c r="AD333" s="3">
        <f t="shared" si="110"/>
        <v>39524</v>
      </c>
      <c r="AE333" s="93" t="str">
        <f t="shared" si="111"/>
        <v>NO</v>
      </c>
      <c r="AF333" s="2" t="str">
        <f t="shared" si="112"/>
        <v>NO</v>
      </c>
      <c r="AG333" t="str">
        <f t="shared" si="113"/>
        <v>Awesome Transaction</v>
      </c>
    </row>
    <row r="334" spans="1:33" x14ac:dyDescent="0.25">
      <c r="A334" s="2">
        <v>333</v>
      </c>
      <c r="B334" s="3" t="str">
        <f t="shared" si="95"/>
        <v>101027-EN-MOE</v>
      </c>
      <c r="C334" s="3">
        <v>40478</v>
      </c>
      <c r="D334" s="3">
        <f t="shared" si="97"/>
        <v>40492</v>
      </c>
      <c r="E334" s="3">
        <f t="shared" si="98"/>
        <v>40539</v>
      </c>
      <c r="F334" s="3">
        <f t="shared" si="99"/>
        <v>40482</v>
      </c>
      <c r="G334" s="76">
        <f t="shared" si="100"/>
        <v>2010</v>
      </c>
      <c r="H334" s="76">
        <f t="shared" si="101"/>
        <v>10</v>
      </c>
      <c r="I334" s="76" t="str">
        <f>VLOOKUP(H334,'Lookup Values'!$C$2:$D$13,2,FALSE)</f>
        <v>OCT</v>
      </c>
      <c r="J334" s="76">
        <f t="shared" si="102"/>
        <v>27</v>
      </c>
      <c r="K334" s="76">
        <f t="shared" si="103"/>
        <v>4</v>
      </c>
      <c r="L334" s="76" t="str">
        <f>VLOOKUP(K334,'Lookup Values'!$F$2:$G$8,2,FALSE)</f>
        <v>Wednesday</v>
      </c>
      <c r="M334" s="3">
        <v>40481</v>
      </c>
      <c r="N334" s="78">
        <f t="shared" si="96"/>
        <v>3</v>
      </c>
      <c r="O334" s="11">
        <v>0.44591071669596816</v>
      </c>
      <c r="P334" s="94">
        <f t="shared" si="104"/>
        <v>10</v>
      </c>
      <c r="Q334" s="94">
        <f t="shared" si="105"/>
        <v>42</v>
      </c>
      <c r="R334" s="94">
        <f t="shared" si="106"/>
        <v>7</v>
      </c>
      <c r="S334" s="94" t="str">
        <f>VLOOKUP(O334,'Lookup Values'!$I$2:$L$8,4,TRUE)</f>
        <v>Late Morning</v>
      </c>
      <c r="T334" t="s">
        <v>76</v>
      </c>
      <c r="U334" t="s">
        <v>77</v>
      </c>
      <c r="V334" t="str">
        <f t="shared" si="107"/>
        <v>Entertainment: Alcohol</v>
      </c>
      <c r="W334" t="s">
        <v>75</v>
      </c>
      <c r="X334" t="s">
        <v>88</v>
      </c>
      <c r="Y334" s="1">
        <v>77</v>
      </c>
      <c r="Z334" s="1" t="str">
        <f t="shared" si="108"/>
        <v>Entertainment: $77.00</v>
      </c>
      <c r="AA334" s="1">
        <f>IF(Y334="","",ROUND(Y334*'Lookup Values'!$A$2,2))</f>
        <v>6.83</v>
      </c>
      <c r="AB334" s="12" t="str">
        <f t="shared" si="109"/>
        <v>Expense</v>
      </c>
      <c r="AC334" s="2" t="s">
        <v>477</v>
      </c>
      <c r="AD334" s="3">
        <f t="shared" si="110"/>
        <v>40478</v>
      </c>
      <c r="AE334" s="93" t="str">
        <f t="shared" si="111"/>
        <v>NO</v>
      </c>
      <c r="AF334" s="2" t="str">
        <f t="shared" si="112"/>
        <v>NO</v>
      </c>
      <c r="AG334" t="str">
        <f t="shared" si="113"/>
        <v>CRAP Transaction</v>
      </c>
    </row>
    <row r="335" spans="1:33" x14ac:dyDescent="0.25">
      <c r="A335" s="2">
        <v>334</v>
      </c>
      <c r="B335" s="3" t="str">
        <f t="shared" si="95"/>
        <v>091121-HE-FRE</v>
      </c>
      <c r="C335" s="3">
        <v>40138</v>
      </c>
      <c r="D335" s="3">
        <f t="shared" si="97"/>
        <v>40151</v>
      </c>
      <c r="E335" s="3">
        <f t="shared" si="98"/>
        <v>40199</v>
      </c>
      <c r="F335" s="3">
        <f t="shared" si="99"/>
        <v>40147</v>
      </c>
      <c r="G335" s="76">
        <f t="shared" si="100"/>
        <v>2009</v>
      </c>
      <c r="H335" s="76">
        <f t="shared" si="101"/>
        <v>11</v>
      </c>
      <c r="I335" s="76" t="str">
        <f>VLOOKUP(H335,'Lookup Values'!$C$2:$D$13,2,FALSE)</f>
        <v>NOV</v>
      </c>
      <c r="J335" s="76">
        <f t="shared" si="102"/>
        <v>21</v>
      </c>
      <c r="K335" s="76">
        <f t="shared" si="103"/>
        <v>7</v>
      </c>
      <c r="L335" s="76" t="str">
        <f>VLOOKUP(K335,'Lookup Values'!$F$2:$G$8,2,FALSE)</f>
        <v>Saturday</v>
      </c>
      <c r="M335" s="3">
        <v>40144</v>
      </c>
      <c r="N335" s="78">
        <f t="shared" si="96"/>
        <v>6</v>
      </c>
      <c r="O335" s="11">
        <v>0.59875947717629685</v>
      </c>
      <c r="P335" s="94">
        <f t="shared" si="104"/>
        <v>14</v>
      </c>
      <c r="Q335" s="94">
        <f t="shared" si="105"/>
        <v>22</v>
      </c>
      <c r="R335" s="94">
        <f t="shared" si="106"/>
        <v>13</v>
      </c>
      <c r="S335" s="94" t="str">
        <f>VLOOKUP(O335,'Lookup Values'!$I$2:$L$8,4,TRUE)</f>
        <v>Afternoon</v>
      </c>
      <c r="T335" t="s">
        <v>107</v>
      </c>
      <c r="U335" t="s">
        <v>108</v>
      </c>
      <c r="V335" t="str">
        <f t="shared" si="107"/>
        <v>Health: Insurance Premium</v>
      </c>
      <c r="W335" t="s">
        <v>106</v>
      </c>
      <c r="X335" t="s">
        <v>78</v>
      </c>
      <c r="Y335" s="1">
        <v>202</v>
      </c>
      <c r="Z335" s="1" t="str">
        <f t="shared" si="108"/>
        <v>Health: $202.00</v>
      </c>
      <c r="AA335" s="1">
        <f>IF(Y335="","",ROUND(Y335*'Lookup Values'!$A$2,2))</f>
        <v>17.93</v>
      </c>
      <c r="AB335" s="12" t="str">
        <f t="shared" si="109"/>
        <v>Expense</v>
      </c>
      <c r="AC335" s="2" t="s">
        <v>254</v>
      </c>
      <c r="AD335" s="3">
        <f t="shared" si="110"/>
        <v>40138</v>
      </c>
      <c r="AE335" s="93" t="str">
        <f t="shared" si="111"/>
        <v>NO</v>
      </c>
      <c r="AF335" s="2" t="str">
        <f t="shared" si="112"/>
        <v>NO</v>
      </c>
      <c r="AG335" t="str">
        <f t="shared" si="113"/>
        <v>Late Transaction</v>
      </c>
    </row>
    <row r="336" spans="1:33" x14ac:dyDescent="0.25">
      <c r="A336" s="2">
        <v>335</v>
      </c>
      <c r="B336" s="3" t="str">
        <f t="shared" si="95"/>
        <v>080712-HO-BED</v>
      </c>
      <c r="C336" s="3">
        <v>39641</v>
      </c>
      <c r="D336" s="3">
        <f t="shared" si="97"/>
        <v>39654</v>
      </c>
      <c r="E336" s="3">
        <f t="shared" si="98"/>
        <v>39703</v>
      </c>
      <c r="F336" s="3">
        <f t="shared" si="99"/>
        <v>39660</v>
      </c>
      <c r="G336" s="76">
        <f t="shared" si="100"/>
        <v>2008</v>
      </c>
      <c r="H336" s="76">
        <f t="shared" si="101"/>
        <v>7</v>
      </c>
      <c r="I336" s="76" t="str">
        <f>VLOOKUP(H336,'Lookup Values'!$C$2:$D$13,2,FALSE)</f>
        <v>JUL</v>
      </c>
      <c r="J336" s="76">
        <f t="shared" si="102"/>
        <v>12</v>
      </c>
      <c r="K336" s="76">
        <f t="shared" si="103"/>
        <v>7</v>
      </c>
      <c r="L336" s="76" t="str">
        <f>VLOOKUP(K336,'Lookup Values'!$F$2:$G$8,2,FALSE)</f>
        <v>Saturday</v>
      </c>
      <c r="M336" s="3">
        <v>39643</v>
      </c>
      <c r="N336" s="78">
        <f t="shared" si="96"/>
        <v>2</v>
      </c>
      <c r="O336" s="11">
        <v>0.7873129542000501</v>
      </c>
      <c r="P336" s="94">
        <f t="shared" si="104"/>
        <v>18</v>
      </c>
      <c r="Q336" s="94">
        <f t="shared" si="105"/>
        <v>53</v>
      </c>
      <c r="R336" s="94">
        <f t="shared" si="106"/>
        <v>44</v>
      </c>
      <c r="S336" s="94" t="str">
        <f>VLOOKUP(O336,'Lookup Values'!$I$2:$L$8,4,TRUE)</f>
        <v>Evening</v>
      </c>
      <c r="T336" t="s">
        <v>100</v>
      </c>
      <c r="U336" t="s">
        <v>101</v>
      </c>
      <c r="V336" t="str">
        <f t="shared" si="107"/>
        <v>Home: Cleaning Supplies</v>
      </c>
      <c r="W336" t="s">
        <v>99</v>
      </c>
      <c r="X336" t="s">
        <v>78</v>
      </c>
      <c r="Y336" s="1">
        <v>402</v>
      </c>
      <c r="Z336" s="1" t="str">
        <f t="shared" si="108"/>
        <v>Home: $402.00</v>
      </c>
      <c r="AA336" s="1">
        <f>IF(Y336="","",ROUND(Y336*'Lookup Values'!$A$2,2))</f>
        <v>35.68</v>
      </c>
      <c r="AB336" s="12" t="str">
        <f t="shared" si="109"/>
        <v>Expense</v>
      </c>
      <c r="AC336" s="2" t="s">
        <v>478</v>
      </c>
      <c r="AD336" s="3">
        <f t="shared" si="110"/>
        <v>39641</v>
      </c>
      <c r="AE336" s="93" t="str">
        <f t="shared" si="111"/>
        <v>NO</v>
      </c>
      <c r="AF336" s="2" t="str">
        <f t="shared" si="112"/>
        <v>NO</v>
      </c>
      <c r="AG336" t="str">
        <f t="shared" si="113"/>
        <v>Late Transaction</v>
      </c>
    </row>
    <row r="337" spans="1:33" x14ac:dyDescent="0.25">
      <c r="A337" s="2">
        <v>336</v>
      </c>
      <c r="B337" s="3" t="str">
        <f t="shared" si="95"/>
        <v>070316-EN-MOE</v>
      </c>
      <c r="C337" s="3">
        <v>39157</v>
      </c>
      <c r="D337" s="3">
        <f t="shared" si="97"/>
        <v>39171</v>
      </c>
      <c r="E337" s="3">
        <f t="shared" si="98"/>
        <v>39218</v>
      </c>
      <c r="F337" s="3">
        <f t="shared" si="99"/>
        <v>39172</v>
      </c>
      <c r="G337" s="76">
        <f t="shared" si="100"/>
        <v>2007</v>
      </c>
      <c r="H337" s="76">
        <f t="shared" si="101"/>
        <v>3</v>
      </c>
      <c r="I337" s="76" t="str">
        <f>VLOOKUP(H337,'Lookup Values'!$C$2:$D$13,2,FALSE)</f>
        <v>MAR</v>
      </c>
      <c r="J337" s="76">
        <f t="shared" si="102"/>
        <v>16</v>
      </c>
      <c r="K337" s="76">
        <f t="shared" si="103"/>
        <v>6</v>
      </c>
      <c r="L337" s="76" t="str">
        <f>VLOOKUP(K337,'Lookup Values'!$F$2:$G$8,2,FALSE)</f>
        <v>Friday</v>
      </c>
      <c r="M337" s="3">
        <v>39163</v>
      </c>
      <c r="N337" s="78">
        <f t="shared" si="96"/>
        <v>6</v>
      </c>
      <c r="O337" s="11">
        <v>0.18271289526565915</v>
      </c>
      <c r="P337" s="94">
        <f t="shared" si="104"/>
        <v>4</v>
      </c>
      <c r="Q337" s="94">
        <f t="shared" si="105"/>
        <v>23</v>
      </c>
      <c r="R337" s="94">
        <f t="shared" si="106"/>
        <v>6</v>
      </c>
      <c r="S337" s="94" t="str">
        <f>VLOOKUP(O337,'Lookup Values'!$I$2:$L$8,4,TRUE)</f>
        <v>Early Morning</v>
      </c>
      <c r="T337" t="s">
        <v>76</v>
      </c>
      <c r="U337" t="s">
        <v>77</v>
      </c>
      <c r="V337" t="str">
        <f t="shared" si="107"/>
        <v>Entertainment: Alcohol</v>
      </c>
      <c r="W337" t="s">
        <v>75</v>
      </c>
      <c r="X337" t="s">
        <v>78</v>
      </c>
      <c r="Y337" s="1">
        <v>236</v>
      </c>
      <c r="Z337" s="1" t="str">
        <f t="shared" si="108"/>
        <v>Entertainment: $236.00</v>
      </c>
      <c r="AA337" s="1">
        <f>IF(Y337="","",ROUND(Y337*'Lookup Values'!$A$2,2))</f>
        <v>20.95</v>
      </c>
      <c r="AB337" s="12" t="str">
        <f t="shared" si="109"/>
        <v>Expense</v>
      </c>
      <c r="AC337" s="2" t="s">
        <v>479</v>
      </c>
      <c r="AD337" s="3">
        <f t="shared" si="110"/>
        <v>39157</v>
      </c>
      <c r="AE337" s="93" t="str">
        <f t="shared" si="111"/>
        <v>NO</v>
      </c>
      <c r="AF337" s="2" t="str">
        <f t="shared" si="112"/>
        <v>NO</v>
      </c>
      <c r="AG337" t="str">
        <f t="shared" si="113"/>
        <v>Awesome Transaction</v>
      </c>
    </row>
    <row r="338" spans="1:33" x14ac:dyDescent="0.25">
      <c r="A338" s="2">
        <v>337</v>
      </c>
      <c r="B338" s="3" t="str">
        <f t="shared" si="95"/>
        <v>110402-BI-CON</v>
      </c>
      <c r="C338" s="3">
        <v>40635</v>
      </c>
      <c r="D338" s="3">
        <f t="shared" si="97"/>
        <v>40648</v>
      </c>
      <c r="E338" s="3">
        <f t="shared" si="98"/>
        <v>40696</v>
      </c>
      <c r="F338" s="3">
        <f t="shared" si="99"/>
        <v>40663</v>
      </c>
      <c r="G338" s="76">
        <f t="shared" si="100"/>
        <v>2011</v>
      </c>
      <c r="H338" s="76">
        <f t="shared" si="101"/>
        <v>4</v>
      </c>
      <c r="I338" s="76" t="str">
        <f>VLOOKUP(H338,'Lookup Values'!$C$2:$D$13,2,FALSE)</f>
        <v>APR</v>
      </c>
      <c r="J338" s="76">
        <f t="shared" si="102"/>
        <v>2</v>
      </c>
      <c r="K338" s="76">
        <f t="shared" si="103"/>
        <v>7</v>
      </c>
      <c r="L338" s="76" t="str">
        <f>VLOOKUP(K338,'Lookup Values'!$F$2:$G$8,2,FALSE)</f>
        <v>Saturday</v>
      </c>
      <c r="M338" s="3">
        <v>40639</v>
      </c>
      <c r="N338" s="78">
        <f t="shared" si="96"/>
        <v>4</v>
      </c>
      <c r="O338" s="11">
        <v>0.67405642189316328</v>
      </c>
      <c r="P338" s="94">
        <f t="shared" si="104"/>
        <v>16</v>
      </c>
      <c r="Q338" s="94">
        <f t="shared" si="105"/>
        <v>10</v>
      </c>
      <c r="R338" s="94">
        <f t="shared" si="106"/>
        <v>38</v>
      </c>
      <c r="S338" s="94" t="str">
        <f>VLOOKUP(O338,'Lookup Values'!$I$2:$L$8,4,TRUE)</f>
        <v>Afternoon</v>
      </c>
      <c r="T338" t="s">
        <v>110</v>
      </c>
      <c r="U338" t="s">
        <v>111</v>
      </c>
      <c r="V338" t="str">
        <f t="shared" si="107"/>
        <v>Bills: Utilities</v>
      </c>
      <c r="W338" t="s">
        <v>109</v>
      </c>
      <c r="X338" t="s">
        <v>91</v>
      </c>
      <c r="Y338" s="1">
        <v>17</v>
      </c>
      <c r="Z338" s="1" t="str">
        <f t="shared" si="108"/>
        <v>Bills: $17.00</v>
      </c>
      <c r="AA338" s="1">
        <f>IF(Y338="","",ROUND(Y338*'Lookup Values'!$A$2,2))</f>
        <v>1.51</v>
      </c>
      <c r="AB338" s="12" t="str">
        <f t="shared" si="109"/>
        <v>Expense</v>
      </c>
      <c r="AC338" s="2" t="s">
        <v>480</v>
      </c>
      <c r="AD338" s="3">
        <f t="shared" si="110"/>
        <v>40635</v>
      </c>
      <c r="AE338" s="93" t="str">
        <f t="shared" si="111"/>
        <v>NO</v>
      </c>
      <c r="AF338" s="2" t="str">
        <f t="shared" si="112"/>
        <v>NO</v>
      </c>
      <c r="AG338" t="str">
        <f t="shared" si="113"/>
        <v>CRAP Transaction</v>
      </c>
    </row>
    <row r="339" spans="1:33" x14ac:dyDescent="0.25">
      <c r="A339" s="2">
        <v>338</v>
      </c>
      <c r="B339" s="3" t="str">
        <f t="shared" si="95"/>
        <v>110506-EN-FAN</v>
      </c>
      <c r="C339" s="3">
        <v>40669</v>
      </c>
      <c r="D339" s="3">
        <f t="shared" si="97"/>
        <v>40683</v>
      </c>
      <c r="E339" s="3">
        <f t="shared" si="98"/>
        <v>40730</v>
      </c>
      <c r="F339" s="3">
        <f t="shared" si="99"/>
        <v>40694</v>
      </c>
      <c r="G339" s="76">
        <f t="shared" si="100"/>
        <v>2011</v>
      </c>
      <c r="H339" s="76">
        <f t="shared" si="101"/>
        <v>5</v>
      </c>
      <c r="I339" s="76" t="str">
        <f>VLOOKUP(H339,'Lookup Values'!$C$2:$D$13,2,FALSE)</f>
        <v>MAY</v>
      </c>
      <c r="J339" s="76">
        <f t="shared" si="102"/>
        <v>6</v>
      </c>
      <c r="K339" s="76">
        <f t="shared" si="103"/>
        <v>6</v>
      </c>
      <c r="L339" s="76" t="str">
        <f>VLOOKUP(K339,'Lookup Values'!$F$2:$G$8,2,FALSE)</f>
        <v>Friday</v>
      </c>
      <c r="M339" s="3">
        <v>40677</v>
      </c>
      <c r="N339" s="78">
        <f t="shared" si="96"/>
        <v>8</v>
      </c>
      <c r="O339" s="11">
        <v>0.37322837363570027</v>
      </c>
      <c r="P339" s="94">
        <f t="shared" si="104"/>
        <v>8</v>
      </c>
      <c r="Q339" s="94">
        <f t="shared" si="105"/>
        <v>57</v>
      </c>
      <c r="R339" s="94">
        <f t="shared" si="106"/>
        <v>27</v>
      </c>
      <c r="S339" s="94" t="str">
        <f>VLOOKUP(O339,'Lookup Values'!$I$2:$L$8,4,TRUE)</f>
        <v>Morning</v>
      </c>
      <c r="T339" t="s">
        <v>76</v>
      </c>
      <c r="U339" t="s">
        <v>90</v>
      </c>
      <c r="V339" t="str">
        <f t="shared" si="107"/>
        <v>Entertainment: Movies</v>
      </c>
      <c r="W339" t="s">
        <v>89</v>
      </c>
      <c r="X339" t="s">
        <v>78</v>
      </c>
      <c r="Y339" s="1">
        <v>165</v>
      </c>
      <c r="Z339" s="1" t="str">
        <f t="shared" si="108"/>
        <v>Entertainment: $165.00</v>
      </c>
      <c r="AA339" s="1">
        <f>IF(Y339="","",ROUND(Y339*'Lookup Values'!$A$2,2))</f>
        <v>14.64</v>
      </c>
      <c r="AB339" s="12" t="str">
        <f t="shared" si="109"/>
        <v>Expense</v>
      </c>
      <c r="AC339" s="2" t="s">
        <v>481</v>
      </c>
      <c r="AD339" s="3">
        <f t="shared" si="110"/>
        <v>40669</v>
      </c>
      <c r="AE339" s="93" t="str">
        <f t="shared" si="111"/>
        <v>NO</v>
      </c>
      <c r="AF339" s="2" t="str">
        <f t="shared" si="112"/>
        <v>NO</v>
      </c>
      <c r="AG339" t="str">
        <f t="shared" si="113"/>
        <v>CRAP Transaction</v>
      </c>
    </row>
    <row r="340" spans="1:33" x14ac:dyDescent="0.25">
      <c r="A340" s="2">
        <v>339</v>
      </c>
      <c r="B340" s="3" t="str">
        <f t="shared" si="95"/>
        <v>090710-ED-ANT</v>
      </c>
      <c r="C340" s="3">
        <v>40004</v>
      </c>
      <c r="D340" s="3">
        <f t="shared" si="97"/>
        <v>40018</v>
      </c>
      <c r="E340" s="3">
        <f t="shared" si="98"/>
        <v>40066</v>
      </c>
      <c r="F340" s="3">
        <f t="shared" si="99"/>
        <v>40025</v>
      </c>
      <c r="G340" s="76">
        <f t="shared" si="100"/>
        <v>2009</v>
      </c>
      <c r="H340" s="76">
        <f t="shared" si="101"/>
        <v>7</v>
      </c>
      <c r="I340" s="76" t="str">
        <f>VLOOKUP(H340,'Lookup Values'!$C$2:$D$13,2,FALSE)</f>
        <v>JUL</v>
      </c>
      <c r="J340" s="76">
        <f t="shared" si="102"/>
        <v>10</v>
      </c>
      <c r="K340" s="76">
        <f t="shared" si="103"/>
        <v>6</v>
      </c>
      <c r="L340" s="76" t="str">
        <f>VLOOKUP(K340,'Lookup Values'!$F$2:$G$8,2,FALSE)</f>
        <v>Friday</v>
      </c>
      <c r="M340" s="3">
        <v>40008</v>
      </c>
      <c r="N340" s="78">
        <f t="shared" si="96"/>
        <v>4</v>
      </c>
      <c r="O340" s="11">
        <v>0.16490796807919827</v>
      </c>
      <c r="P340" s="94">
        <f t="shared" si="104"/>
        <v>3</v>
      </c>
      <c r="Q340" s="94">
        <f t="shared" si="105"/>
        <v>57</v>
      </c>
      <c r="R340" s="94">
        <f t="shared" si="106"/>
        <v>28</v>
      </c>
      <c r="S340" s="94" t="str">
        <f>VLOOKUP(O340,'Lookup Values'!$I$2:$L$8,4,TRUE)</f>
        <v>Dead of Night</v>
      </c>
      <c r="T340" t="s">
        <v>86</v>
      </c>
      <c r="U340" t="s">
        <v>87</v>
      </c>
      <c r="V340" t="str">
        <f t="shared" si="107"/>
        <v>Education: Tango Lessons</v>
      </c>
      <c r="W340" t="s">
        <v>85</v>
      </c>
      <c r="X340" t="s">
        <v>91</v>
      </c>
      <c r="Y340" s="1">
        <v>155</v>
      </c>
      <c r="Z340" s="1" t="str">
        <f t="shared" si="108"/>
        <v>Education: $155.00</v>
      </c>
      <c r="AA340" s="1">
        <f>IF(Y340="","",ROUND(Y340*'Lookup Values'!$A$2,2))</f>
        <v>13.76</v>
      </c>
      <c r="AB340" s="12" t="str">
        <f t="shared" si="109"/>
        <v>Expense</v>
      </c>
      <c r="AC340" s="2" t="s">
        <v>482</v>
      </c>
      <c r="AD340" s="3">
        <f t="shared" si="110"/>
        <v>40004</v>
      </c>
      <c r="AE340" s="93" t="str">
        <f t="shared" si="111"/>
        <v>NO</v>
      </c>
      <c r="AF340" s="2" t="str">
        <f t="shared" si="112"/>
        <v>NO</v>
      </c>
      <c r="AG340" t="str">
        <f t="shared" si="113"/>
        <v>Late Transaction</v>
      </c>
    </row>
    <row r="341" spans="1:33" x14ac:dyDescent="0.25">
      <c r="A341" s="2">
        <v>340</v>
      </c>
      <c r="B341" s="3" t="str">
        <f t="shared" si="95"/>
        <v>120214-IN-LEG</v>
      </c>
      <c r="C341" s="3">
        <v>40953</v>
      </c>
      <c r="D341" s="3">
        <f t="shared" si="97"/>
        <v>40967</v>
      </c>
      <c r="E341" s="3">
        <f t="shared" si="98"/>
        <v>41013</v>
      </c>
      <c r="F341" s="3">
        <f t="shared" si="99"/>
        <v>40968</v>
      </c>
      <c r="G341" s="76">
        <f t="shared" si="100"/>
        <v>2012</v>
      </c>
      <c r="H341" s="76">
        <f t="shared" si="101"/>
        <v>2</v>
      </c>
      <c r="I341" s="76" t="str">
        <f>VLOOKUP(H341,'Lookup Values'!$C$2:$D$13,2,FALSE)</f>
        <v>FEB</v>
      </c>
      <c r="J341" s="76">
        <f t="shared" si="102"/>
        <v>14</v>
      </c>
      <c r="K341" s="76">
        <f t="shared" si="103"/>
        <v>3</v>
      </c>
      <c r="L341" s="76" t="str">
        <f>VLOOKUP(K341,'Lookup Values'!$F$2:$G$8,2,FALSE)</f>
        <v>Tuesday</v>
      </c>
      <c r="M341" s="3">
        <v>40955</v>
      </c>
      <c r="N341" s="78">
        <f t="shared" si="96"/>
        <v>2</v>
      </c>
      <c r="O341" s="11">
        <v>0.40473944887684499</v>
      </c>
      <c r="P341" s="94">
        <f t="shared" si="104"/>
        <v>9</v>
      </c>
      <c r="Q341" s="94">
        <f t="shared" si="105"/>
        <v>42</v>
      </c>
      <c r="R341" s="94">
        <f t="shared" si="106"/>
        <v>49</v>
      </c>
      <c r="S341" s="94" t="str">
        <f>VLOOKUP(O341,'Lookup Values'!$I$2:$L$8,4,TRUE)</f>
        <v>Morning</v>
      </c>
      <c r="T341" t="s">
        <v>158</v>
      </c>
      <c r="U341" t="s">
        <v>160</v>
      </c>
      <c r="V341" t="str">
        <f t="shared" si="107"/>
        <v>Income: Freelance Project</v>
      </c>
      <c r="W341" t="s">
        <v>163</v>
      </c>
      <c r="X341" t="s">
        <v>91</v>
      </c>
      <c r="Y341" s="1">
        <v>477</v>
      </c>
      <c r="Z341" s="1" t="str">
        <f t="shared" si="108"/>
        <v>Income: $477.00</v>
      </c>
      <c r="AA341" s="1">
        <f>IF(Y341="","",ROUND(Y341*'Lookup Values'!$A$2,2))</f>
        <v>42.33</v>
      </c>
      <c r="AB341" s="12" t="str">
        <f t="shared" si="109"/>
        <v>Income</v>
      </c>
      <c r="AC341" s="2" t="s">
        <v>269</v>
      </c>
      <c r="AD341" s="3">
        <f t="shared" si="110"/>
        <v>40953</v>
      </c>
      <c r="AE341" s="93" t="str">
        <f t="shared" si="111"/>
        <v>NO</v>
      </c>
      <c r="AF341" s="2" t="str">
        <f t="shared" si="112"/>
        <v>NO</v>
      </c>
      <c r="AG341" t="str">
        <f t="shared" si="113"/>
        <v>CRAP Transaction</v>
      </c>
    </row>
    <row r="342" spans="1:33" x14ac:dyDescent="0.25">
      <c r="A342" s="2">
        <v>341</v>
      </c>
      <c r="B342" s="3" t="str">
        <f t="shared" si="95"/>
        <v>080501-BI-CON</v>
      </c>
      <c r="C342" s="3">
        <v>39569</v>
      </c>
      <c r="D342" s="3">
        <f t="shared" si="97"/>
        <v>39583</v>
      </c>
      <c r="E342" s="3">
        <f t="shared" si="98"/>
        <v>39630</v>
      </c>
      <c r="F342" s="3">
        <f t="shared" si="99"/>
        <v>39599</v>
      </c>
      <c r="G342" s="76">
        <f t="shared" si="100"/>
        <v>2008</v>
      </c>
      <c r="H342" s="76">
        <f t="shared" si="101"/>
        <v>5</v>
      </c>
      <c r="I342" s="76" t="str">
        <f>VLOOKUP(H342,'Lookup Values'!$C$2:$D$13,2,FALSE)</f>
        <v>MAY</v>
      </c>
      <c r="J342" s="76">
        <f t="shared" si="102"/>
        <v>1</v>
      </c>
      <c r="K342" s="76">
        <f t="shared" si="103"/>
        <v>5</v>
      </c>
      <c r="L342" s="76" t="str">
        <f>VLOOKUP(K342,'Lookup Values'!$F$2:$G$8,2,FALSE)</f>
        <v>Thursday</v>
      </c>
      <c r="M342" s="3">
        <v>39571</v>
      </c>
      <c r="N342" s="78">
        <f t="shared" si="96"/>
        <v>2</v>
      </c>
      <c r="O342" s="11">
        <v>0.82856491361254569</v>
      </c>
      <c r="P342" s="94">
        <f t="shared" si="104"/>
        <v>19</v>
      </c>
      <c r="Q342" s="94">
        <f t="shared" si="105"/>
        <v>53</v>
      </c>
      <c r="R342" s="94">
        <f t="shared" si="106"/>
        <v>8</v>
      </c>
      <c r="S342" s="94" t="str">
        <f>VLOOKUP(O342,'Lookup Values'!$I$2:$L$8,4,TRUE)</f>
        <v>Evening</v>
      </c>
      <c r="T342" t="s">
        <v>110</v>
      </c>
      <c r="U342" t="s">
        <v>111</v>
      </c>
      <c r="V342" t="str">
        <f t="shared" si="107"/>
        <v>Bills: Utilities</v>
      </c>
      <c r="W342" t="s">
        <v>109</v>
      </c>
      <c r="X342" t="s">
        <v>91</v>
      </c>
      <c r="Y342" s="1">
        <v>452</v>
      </c>
      <c r="Z342" s="1" t="str">
        <f t="shared" si="108"/>
        <v>Bills: $452.00</v>
      </c>
      <c r="AA342" s="1">
        <f>IF(Y342="","",ROUND(Y342*'Lookup Values'!$A$2,2))</f>
        <v>40.119999999999997</v>
      </c>
      <c r="AB342" s="12" t="str">
        <f t="shared" si="109"/>
        <v>Expense</v>
      </c>
      <c r="AC342" s="2" t="s">
        <v>483</v>
      </c>
      <c r="AD342" s="3">
        <f t="shared" si="110"/>
        <v>39569</v>
      </c>
      <c r="AE342" s="93" t="str">
        <f t="shared" si="111"/>
        <v>NO</v>
      </c>
      <c r="AF342" s="2" t="str">
        <f t="shared" si="112"/>
        <v>NO</v>
      </c>
      <c r="AG342" t="str">
        <f t="shared" si="113"/>
        <v>Late Transaction</v>
      </c>
    </row>
    <row r="343" spans="1:33" x14ac:dyDescent="0.25">
      <c r="A343" s="2">
        <v>342</v>
      </c>
      <c r="B343" s="3" t="str">
        <f t="shared" si="95"/>
        <v>111107-FO-BAN</v>
      </c>
      <c r="C343" s="3">
        <v>40854</v>
      </c>
      <c r="D343" s="3">
        <f t="shared" si="97"/>
        <v>40868</v>
      </c>
      <c r="E343" s="3">
        <f t="shared" si="98"/>
        <v>40915</v>
      </c>
      <c r="F343" s="3">
        <f t="shared" si="99"/>
        <v>40877</v>
      </c>
      <c r="G343" s="76">
        <f t="shared" si="100"/>
        <v>2011</v>
      </c>
      <c r="H343" s="76">
        <f t="shared" si="101"/>
        <v>11</v>
      </c>
      <c r="I343" s="76" t="str">
        <f>VLOOKUP(H343,'Lookup Values'!$C$2:$D$13,2,FALSE)</f>
        <v>NOV</v>
      </c>
      <c r="J343" s="76">
        <f t="shared" si="102"/>
        <v>7</v>
      </c>
      <c r="K343" s="76">
        <f t="shared" si="103"/>
        <v>2</v>
      </c>
      <c r="L343" s="76" t="str">
        <f>VLOOKUP(K343,'Lookup Values'!$F$2:$G$8,2,FALSE)</f>
        <v>Monday</v>
      </c>
      <c r="M343" s="3">
        <v>40863</v>
      </c>
      <c r="N343" s="78">
        <f t="shared" si="96"/>
        <v>9</v>
      </c>
      <c r="O343" s="11">
        <v>0.17252410036982535</v>
      </c>
      <c r="P343" s="94">
        <f t="shared" si="104"/>
        <v>4</v>
      </c>
      <c r="Q343" s="94">
        <f t="shared" si="105"/>
        <v>8</v>
      </c>
      <c r="R343" s="94">
        <f t="shared" si="106"/>
        <v>26</v>
      </c>
      <c r="S343" s="94" t="str">
        <f>VLOOKUP(O343,'Lookup Values'!$I$2:$L$8,4,TRUE)</f>
        <v>Early Morning</v>
      </c>
      <c r="T343" t="s">
        <v>80</v>
      </c>
      <c r="U343" t="s">
        <v>81</v>
      </c>
      <c r="V343" t="str">
        <f t="shared" si="107"/>
        <v>Food: Restaurants</v>
      </c>
      <c r="W343" t="s">
        <v>79</v>
      </c>
      <c r="X343" t="s">
        <v>91</v>
      </c>
      <c r="Y343" s="1">
        <v>71</v>
      </c>
      <c r="Z343" s="1" t="str">
        <f t="shared" si="108"/>
        <v>Food: $71.00</v>
      </c>
      <c r="AA343" s="1">
        <f>IF(Y343="","",ROUND(Y343*'Lookup Values'!$A$2,2))</f>
        <v>6.3</v>
      </c>
      <c r="AB343" s="12" t="str">
        <f t="shared" si="109"/>
        <v>Expense</v>
      </c>
      <c r="AC343" s="2" t="s">
        <v>484</v>
      </c>
      <c r="AD343" s="3">
        <f t="shared" si="110"/>
        <v>40854</v>
      </c>
      <c r="AE343" s="93" t="str">
        <f t="shared" si="111"/>
        <v>NO</v>
      </c>
      <c r="AF343" s="2" t="str">
        <f t="shared" si="112"/>
        <v>NO</v>
      </c>
      <c r="AG343" t="str">
        <f t="shared" si="113"/>
        <v>CRAP Transaction</v>
      </c>
    </row>
    <row r="344" spans="1:33" x14ac:dyDescent="0.25">
      <c r="A344" s="2">
        <v>343</v>
      </c>
      <c r="B344" s="3" t="str">
        <f t="shared" si="95"/>
        <v>120924-IN-LEG</v>
      </c>
      <c r="C344" s="3">
        <v>41176</v>
      </c>
      <c r="D344" s="3">
        <f t="shared" si="97"/>
        <v>41190</v>
      </c>
      <c r="E344" s="3">
        <f t="shared" si="98"/>
        <v>41237</v>
      </c>
      <c r="F344" s="3">
        <f t="shared" si="99"/>
        <v>41182</v>
      </c>
      <c r="G344" s="76">
        <f t="shared" si="100"/>
        <v>2012</v>
      </c>
      <c r="H344" s="76">
        <f t="shared" si="101"/>
        <v>9</v>
      </c>
      <c r="I344" s="76" t="str">
        <f>VLOOKUP(H344,'Lookup Values'!$C$2:$D$13,2,FALSE)</f>
        <v>SEP</v>
      </c>
      <c r="J344" s="76">
        <f t="shared" si="102"/>
        <v>24</v>
      </c>
      <c r="K344" s="76">
        <f t="shared" si="103"/>
        <v>2</v>
      </c>
      <c r="L344" s="76" t="str">
        <f>VLOOKUP(K344,'Lookup Values'!$F$2:$G$8,2,FALSE)</f>
        <v>Monday</v>
      </c>
      <c r="M344" s="3">
        <v>41180</v>
      </c>
      <c r="N344" s="78">
        <f t="shared" si="96"/>
        <v>4</v>
      </c>
      <c r="O344" s="11">
        <v>0.4309682132247421</v>
      </c>
      <c r="P344" s="94">
        <f t="shared" si="104"/>
        <v>10</v>
      </c>
      <c r="Q344" s="94">
        <f t="shared" si="105"/>
        <v>20</v>
      </c>
      <c r="R344" s="94">
        <f t="shared" si="106"/>
        <v>36</v>
      </c>
      <c r="S344" s="94" t="str">
        <f>VLOOKUP(O344,'Lookup Values'!$I$2:$L$8,4,TRUE)</f>
        <v>Late Morning</v>
      </c>
      <c r="T344" t="s">
        <v>158</v>
      </c>
      <c r="U344" t="s">
        <v>160</v>
      </c>
      <c r="V344" t="str">
        <f t="shared" si="107"/>
        <v>Income: Freelance Project</v>
      </c>
      <c r="W344" t="s">
        <v>163</v>
      </c>
      <c r="X344" t="s">
        <v>88</v>
      </c>
      <c r="Y344" s="1">
        <v>459</v>
      </c>
      <c r="Z344" s="1" t="str">
        <f t="shared" si="108"/>
        <v>Income: $459.00</v>
      </c>
      <c r="AA344" s="1">
        <f>IF(Y344="","",ROUND(Y344*'Lookup Values'!$A$2,2))</f>
        <v>40.74</v>
      </c>
      <c r="AB344" s="12" t="str">
        <f t="shared" si="109"/>
        <v>Income</v>
      </c>
      <c r="AC344" s="2" t="s">
        <v>485</v>
      </c>
      <c r="AD344" s="3">
        <f t="shared" si="110"/>
        <v>41176</v>
      </c>
      <c r="AE344" s="93" t="str">
        <f t="shared" si="111"/>
        <v>NO</v>
      </c>
      <c r="AF344" s="2" t="str">
        <f t="shared" si="112"/>
        <v>NO</v>
      </c>
      <c r="AG344" t="str">
        <f t="shared" si="113"/>
        <v>CRAP Transaction</v>
      </c>
    </row>
    <row r="345" spans="1:33" x14ac:dyDescent="0.25">
      <c r="A345" s="2">
        <v>344</v>
      </c>
      <c r="B345" s="3" t="str">
        <f t="shared" si="95"/>
        <v>110621-BI-CON</v>
      </c>
      <c r="C345" s="3">
        <v>40715</v>
      </c>
      <c r="D345" s="3">
        <f t="shared" si="97"/>
        <v>40729</v>
      </c>
      <c r="E345" s="3">
        <f t="shared" si="98"/>
        <v>40776</v>
      </c>
      <c r="F345" s="3">
        <f t="shared" si="99"/>
        <v>40724</v>
      </c>
      <c r="G345" s="76">
        <f t="shared" si="100"/>
        <v>2011</v>
      </c>
      <c r="H345" s="76">
        <f t="shared" si="101"/>
        <v>6</v>
      </c>
      <c r="I345" s="76" t="str">
        <f>VLOOKUP(H345,'Lookup Values'!$C$2:$D$13,2,FALSE)</f>
        <v>JUN</v>
      </c>
      <c r="J345" s="76">
        <f t="shared" si="102"/>
        <v>21</v>
      </c>
      <c r="K345" s="76">
        <f t="shared" si="103"/>
        <v>3</v>
      </c>
      <c r="L345" s="76" t="str">
        <f>VLOOKUP(K345,'Lookup Values'!$F$2:$G$8,2,FALSE)</f>
        <v>Tuesday</v>
      </c>
      <c r="M345" s="3">
        <v>40716</v>
      </c>
      <c r="N345" s="78">
        <f t="shared" si="96"/>
        <v>1</v>
      </c>
      <c r="O345" s="11">
        <v>9.283520504035403E-2</v>
      </c>
      <c r="P345" s="94">
        <f t="shared" si="104"/>
        <v>2</v>
      </c>
      <c r="Q345" s="94">
        <f t="shared" si="105"/>
        <v>13</v>
      </c>
      <c r="R345" s="94">
        <f t="shared" si="106"/>
        <v>41</v>
      </c>
      <c r="S345" s="94" t="str">
        <f>VLOOKUP(O345,'Lookup Values'!$I$2:$L$8,4,TRUE)</f>
        <v>Dead of Night</v>
      </c>
      <c r="T345" t="s">
        <v>110</v>
      </c>
      <c r="U345" t="s">
        <v>111</v>
      </c>
      <c r="V345" t="str">
        <f t="shared" si="107"/>
        <v>Bills: Utilities</v>
      </c>
      <c r="W345" t="s">
        <v>109</v>
      </c>
      <c r="X345" t="s">
        <v>78</v>
      </c>
      <c r="Y345" s="1">
        <v>57</v>
      </c>
      <c r="Z345" s="1" t="str">
        <f t="shared" si="108"/>
        <v>Bills: $57.00</v>
      </c>
      <c r="AA345" s="1">
        <f>IF(Y345="","",ROUND(Y345*'Lookup Values'!$A$2,2))</f>
        <v>5.0599999999999996</v>
      </c>
      <c r="AB345" s="12" t="str">
        <f t="shared" si="109"/>
        <v>Expense</v>
      </c>
      <c r="AC345" s="2" t="s">
        <v>486</v>
      </c>
      <c r="AD345" s="3">
        <f t="shared" si="110"/>
        <v>40715</v>
      </c>
      <c r="AE345" s="93" t="str">
        <f t="shared" si="111"/>
        <v>NO</v>
      </c>
      <c r="AF345" s="2" t="str">
        <f t="shared" si="112"/>
        <v>NO</v>
      </c>
      <c r="AG345" t="str">
        <f t="shared" si="113"/>
        <v>CRAP Transaction</v>
      </c>
    </row>
    <row r="346" spans="1:33" x14ac:dyDescent="0.25">
      <c r="A346" s="2">
        <v>345</v>
      </c>
      <c r="B346" s="3" t="str">
        <f t="shared" si="95"/>
        <v>070505-ED-ANT</v>
      </c>
      <c r="C346" s="3">
        <v>39207</v>
      </c>
      <c r="D346" s="3">
        <f t="shared" si="97"/>
        <v>39220</v>
      </c>
      <c r="E346" s="3">
        <f t="shared" si="98"/>
        <v>39268</v>
      </c>
      <c r="F346" s="3">
        <f t="shared" si="99"/>
        <v>39233</v>
      </c>
      <c r="G346" s="76">
        <f t="shared" si="100"/>
        <v>2007</v>
      </c>
      <c r="H346" s="76">
        <f t="shared" si="101"/>
        <v>5</v>
      </c>
      <c r="I346" s="76" t="str">
        <f>VLOOKUP(H346,'Lookup Values'!$C$2:$D$13,2,FALSE)</f>
        <v>MAY</v>
      </c>
      <c r="J346" s="76">
        <f t="shared" si="102"/>
        <v>5</v>
      </c>
      <c r="K346" s="76">
        <f t="shared" si="103"/>
        <v>7</v>
      </c>
      <c r="L346" s="76" t="str">
        <f>VLOOKUP(K346,'Lookup Values'!$F$2:$G$8,2,FALSE)</f>
        <v>Saturday</v>
      </c>
      <c r="M346" s="3">
        <v>39216</v>
      </c>
      <c r="N346" s="78">
        <f t="shared" si="96"/>
        <v>9</v>
      </c>
      <c r="O346" s="11">
        <v>0.98654409263775078</v>
      </c>
      <c r="P346" s="94">
        <f t="shared" si="104"/>
        <v>23</v>
      </c>
      <c r="Q346" s="94">
        <f t="shared" si="105"/>
        <v>40</v>
      </c>
      <c r="R346" s="94">
        <f t="shared" si="106"/>
        <v>37</v>
      </c>
      <c r="S346" s="94" t="str">
        <f>VLOOKUP(O346,'Lookup Values'!$I$2:$L$8,4,TRUE)</f>
        <v>Late Evening</v>
      </c>
      <c r="T346" t="s">
        <v>86</v>
      </c>
      <c r="U346" t="s">
        <v>87</v>
      </c>
      <c r="V346" t="str">
        <f t="shared" si="107"/>
        <v>Education: Tango Lessons</v>
      </c>
      <c r="W346" t="s">
        <v>85</v>
      </c>
      <c r="X346" t="s">
        <v>88</v>
      </c>
      <c r="Y346" s="1">
        <v>147</v>
      </c>
      <c r="Z346" s="1" t="str">
        <f t="shared" si="108"/>
        <v>Education: $147.00</v>
      </c>
      <c r="AA346" s="1">
        <f>IF(Y346="","",ROUND(Y346*'Lookup Values'!$A$2,2))</f>
        <v>13.05</v>
      </c>
      <c r="AB346" s="12" t="str">
        <f t="shared" si="109"/>
        <v>Expense</v>
      </c>
      <c r="AC346" s="2" t="s">
        <v>205</v>
      </c>
      <c r="AD346" s="3">
        <f t="shared" si="110"/>
        <v>39207</v>
      </c>
      <c r="AE346" s="93" t="str">
        <f t="shared" si="111"/>
        <v>NO</v>
      </c>
      <c r="AF346" s="2" t="str">
        <f t="shared" si="112"/>
        <v>NO</v>
      </c>
      <c r="AG346" t="str">
        <f t="shared" si="113"/>
        <v>Late Transaction</v>
      </c>
    </row>
    <row r="347" spans="1:33" x14ac:dyDescent="0.25">
      <c r="A347" s="2">
        <v>346</v>
      </c>
      <c r="B347" s="3" t="str">
        <f t="shared" si="95"/>
        <v>070315-ED-SKI</v>
      </c>
      <c r="C347" s="3">
        <v>39156</v>
      </c>
      <c r="D347" s="3">
        <f t="shared" si="97"/>
        <v>39170</v>
      </c>
      <c r="E347" s="3">
        <f t="shared" si="98"/>
        <v>39217</v>
      </c>
      <c r="F347" s="3">
        <f t="shared" si="99"/>
        <v>39172</v>
      </c>
      <c r="G347" s="76">
        <f t="shared" si="100"/>
        <v>2007</v>
      </c>
      <c r="H347" s="76">
        <f t="shared" si="101"/>
        <v>3</v>
      </c>
      <c r="I347" s="76" t="str">
        <f>VLOOKUP(H347,'Lookup Values'!$C$2:$D$13,2,FALSE)</f>
        <v>MAR</v>
      </c>
      <c r="J347" s="76">
        <f t="shared" si="102"/>
        <v>15</v>
      </c>
      <c r="K347" s="76">
        <f t="shared" si="103"/>
        <v>5</v>
      </c>
      <c r="L347" s="76" t="str">
        <f>VLOOKUP(K347,'Lookup Values'!$F$2:$G$8,2,FALSE)</f>
        <v>Thursday</v>
      </c>
      <c r="M347" s="3">
        <v>39165</v>
      </c>
      <c r="N347" s="78">
        <f t="shared" si="96"/>
        <v>9</v>
      </c>
      <c r="O347" s="11">
        <v>0.12176555997488214</v>
      </c>
      <c r="P347" s="94">
        <f t="shared" si="104"/>
        <v>2</v>
      </c>
      <c r="Q347" s="94">
        <f t="shared" si="105"/>
        <v>55</v>
      </c>
      <c r="R347" s="94">
        <f t="shared" si="106"/>
        <v>21</v>
      </c>
      <c r="S347" s="94" t="str">
        <f>VLOOKUP(O347,'Lookup Values'!$I$2:$L$8,4,TRUE)</f>
        <v>Dead of Night</v>
      </c>
      <c r="T347" t="s">
        <v>86</v>
      </c>
      <c r="U347" t="s">
        <v>98</v>
      </c>
      <c r="V347" t="str">
        <f t="shared" si="107"/>
        <v>Education: Professional Development</v>
      </c>
      <c r="W347" t="s">
        <v>97</v>
      </c>
      <c r="X347" t="s">
        <v>78</v>
      </c>
      <c r="Y347" s="1">
        <v>339</v>
      </c>
      <c r="Z347" s="1" t="str">
        <f t="shared" si="108"/>
        <v>Education: $339.00</v>
      </c>
      <c r="AA347" s="1">
        <f>IF(Y347="","",ROUND(Y347*'Lookup Values'!$A$2,2))</f>
        <v>30.09</v>
      </c>
      <c r="AB347" s="12" t="str">
        <f t="shared" si="109"/>
        <v>Expense</v>
      </c>
      <c r="AC347" s="2" t="s">
        <v>487</v>
      </c>
      <c r="AD347" s="3">
        <f t="shared" si="110"/>
        <v>39156</v>
      </c>
      <c r="AE347" s="93" t="str">
        <f t="shared" si="111"/>
        <v>YES</v>
      </c>
      <c r="AF347" s="2" t="str">
        <f t="shared" si="112"/>
        <v>NO</v>
      </c>
      <c r="AG347" t="str">
        <f t="shared" si="113"/>
        <v>Late Transaction</v>
      </c>
    </row>
    <row r="348" spans="1:33" x14ac:dyDescent="0.25">
      <c r="A348" s="2">
        <v>347</v>
      </c>
      <c r="B348" s="3" t="str">
        <f t="shared" si="95"/>
        <v>110705-ED-ANT</v>
      </c>
      <c r="C348" s="3">
        <v>40729</v>
      </c>
      <c r="D348" s="3">
        <f t="shared" si="97"/>
        <v>40743</v>
      </c>
      <c r="E348" s="3">
        <f t="shared" si="98"/>
        <v>40791</v>
      </c>
      <c r="F348" s="3">
        <f t="shared" si="99"/>
        <v>40755</v>
      </c>
      <c r="G348" s="76">
        <f t="shared" si="100"/>
        <v>2011</v>
      </c>
      <c r="H348" s="76">
        <f t="shared" si="101"/>
        <v>7</v>
      </c>
      <c r="I348" s="76" t="str">
        <f>VLOOKUP(H348,'Lookup Values'!$C$2:$D$13,2,FALSE)</f>
        <v>JUL</v>
      </c>
      <c r="J348" s="76">
        <f t="shared" si="102"/>
        <v>5</v>
      </c>
      <c r="K348" s="76">
        <f t="shared" si="103"/>
        <v>3</v>
      </c>
      <c r="L348" s="76" t="str">
        <f>VLOOKUP(K348,'Lookup Values'!$F$2:$G$8,2,FALSE)</f>
        <v>Tuesday</v>
      </c>
      <c r="M348" s="3">
        <v>40734</v>
      </c>
      <c r="N348" s="78">
        <f t="shared" si="96"/>
        <v>5</v>
      </c>
      <c r="O348" s="11">
        <v>0.23579159087070711</v>
      </c>
      <c r="P348" s="94">
        <f t="shared" si="104"/>
        <v>5</v>
      </c>
      <c r="Q348" s="94">
        <f t="shared" si="105"/>
        <v>39</v>
      </c>
      <c r="R348" s="94">
        <f t="shared" si="106"/>
        <v>32</v>
      </c>
      <c r="S348" s="94" t="str">
        <f>VLOOKUP(O348,'Lookup Values'!$I$2:$L$8,4,TRUE)</f>
        <v>Early Morning</v>
      </c>
      <c r="T348" t="s">
        <v>86</v>
      </c>
      <c r="U348" t="s">
        <v>87</v>
      </c>
      <c r="V348" t="str">
        <f t="shared" si="107"/>
        <v>Education: Tango Lessons</v>
      </c>
      <c r="W348" t="s">
        <v>85</v>
      </c>
      <c r="X348" t="s">
        <v>88</v>
      </c>
      <c r="Y348" s="1">
        <v>458</v>
      </c>
      <c r="Z348" s="1" t="str">
        <f t="shared" si="108"/>
        <v>Education: $458.00</v>
      </c>
      <c r="AA348" s="1">
        <f>IF(Y348="","",ROUND(Y348*'Lookup Values'!$A$2,2))</f>
        <v>40.65</v>
      </c>
      <c r="AB348" s="12" t="str">
        <f t="shared" si="109"/>
        <v>Expense</v>
      </c>
      <c r="AC348" s="2" t="s">
        <v>488</v>
      </c>
      <c r="AD348" s="3">
        <f t="shared" si="110"/>
        <v>40729</v>
      </c>
      <c r="AE348" s="93" t="str">
        <f t="shared" si="111"/>
        <v>NO</v>
      </c>
      <c r="AF348" s="2" t="str">
        <f t="shared" si="112"/>
        <v>NO</v>
      </c>
      <c r="AG348" t="str">
        <f t="shared" si="113"/>
        <v>CRAP Transaction</v>
      </c>
    </row>
    <row r="349" spans="1:33" x14ac:dyDescent="0.25">
      <c r="A349" s="2">
        <v>348</v>
      </c>
      <c r="B349" s="3" t="str">
        <f t="shared" si="95"/>
        <v>110415-HE-FRE</v>
      </c>
      <c r="C349" s="3">
        <v>40648</v>
      </c>
      <c r="D349" s="3">
        <f t="shared" si="97"/>
        <v>40662</v>
      </c>
      <c r="E349" s="3">
        <f t="shared" si="98"/>
        <v>40709</v>
      </c>
      <c r="F349" s="3">
        <f t="shared" si="99"/>
        <v>40663</v>
      </c>
      <c r="G349" s="76">
        <f t="shared" si="100"/>
        <v>2011</v>
      </c>
      <c r="H349" s="76">
        <f t="shared" si="101"/>
        <v>4</v>
      </c>
      <c r="I349" s="76" t="str">
        <f>VLOOKUP(H349,'Lookup Values'!$C$2:$D$13,2,FALSE)</f>
        <v>APR</v>
      </c>
      <c r="J349" s="76">
        <f t="shared" si="102"/>
        <v>15</v>
      </c>
      <c r="K349" s="76">
        <f t="shared" si="103"/>
        <v>6</v>
      </c>
      <c r="L349" s="76" t="str">
        <f>VLOOKUP(K349,'Lookup Values'!$F$2:$G$8,2,FALSE)</f>
        <v>Friday</v>
      </c>
      <c r="M349" s="3">
        <v>40650</v>
      </c>
      <c r="N349" s="78">
        <f t="shared" si="96"/>
        <v>2</v>
      </c>
      <c r="O349" s="11">
        <v>0.96931596067343084</v>
      </c>
      <c r="P349" s="94">
        <f t="shared" si="104"/>
        <v>23</v>
      </c>
      <c r="Q349" s="94">
        <f t="shared" si="105"/>
        <v>15</v>
      </c>
      <c r="R349" s="94">
        <f t="shared" si="106"/>
        <v>49</v>
      </c>
      <c r="S349" s="94" t="str">
        <f>VLOOKUP(O349,'Lookup Values'!$I$2:$L$8,4,TRUE)</f>
        <v>Late Evening</v>
      </c>
      <c r="T349" t="s">
        <v>107</v>
      </c>
      <c r="U349" t="s">
        <v>108</v>
      </c>
      <c r="V349" t="str">
        <f t="shared" si="107"/>
        <v>Health: Insurance Premium</v>
      </c>
      <c r="W349" t="s">
        <v>106</v>
      </c>
      <c r="X349" t="s">
        <v>78</v>
      </c>
      <c r="Y349" s="1">
        <v>207</v>
      </c>
      <c r="Z349" s="1" t="str">
        <f t="shared" si="108"/>
        <v>Health: $207.00</v>
      </c>
      <c r="AA349" s="1">
        <f>IF(Y349="","",ROUND(Y349*'Lookup Values'!$A$2,2))</f>
        <v>18.37</v>
      </c>
      <c r="AB349" s="12" t="str">
        <f t="shared" si="109"/>
        <v>Expense</v>
      </c>
      <c r="AC349" s="2" t="s">
        <v>489</v>
      </c>
      <c r="AD349" s="3">
        <f t="shared" si="110"/>
        <v>40648</v>
      </c>
      <c r="AE349" s="93" t="str">
        <f t="shared" si="111"/>
        <v>NO</v>
      </c>
      <c r="AF349" s="2" t="str">
        <f t="shared" si="112"/>
        <v>NO</v>
      </c>
      <c r="AG349" t="str">
        <f t="shared" si="113"/>
        <v>CRAP Transaction</v>
      </c>
    </row>
    <row r="350" spans="1:33" x14ac:dyDescent="0.25">
      <c r="A350" s="2">
        <v>349</v>
      </c>
      <c r="B350" s="3" t="str">
        <f t="shared" si="95"/>
        <v>111115-SH-EXP</v>
      </c>
      <c r="C350" s="3">
        <v>40862</v>
      </c>
      <c r="D350" s="3">
        <f t="shared" si="97"/>
        <v>40876</v>
      </c>
      <c r="E350" s="3">
        <f t="shared" si="98"/>
        <v>40923</v>
      </c>
      <c r="F350" s="3">
        <f t="shared" si="99"/>
        <v>40877</v>
      </c>
      <c r="G350" s="76">
        <f t="shared" si="100"/>
        <v>2011</v>
      </c>
      <c r="H350" s="76">
        <f t="shared" si="101"/>
        <v>11</v>
      </c>
      <c r="I350" s="76" t="str">
        <f>VLOOKUP(H350,'Lookup Values'!$C$2:$D$13,2,FALSE)</f>
        <v>NOV</v>
      </c>
      <c r="J350" s="76">
        <f t="shared" si="102"/>
        <v>15</v>
      </c>
      <c r="K350" s="76">
        <f t="shared" si="103"/>
        <v>3</v>
      </c>
      <c r="L350" s="76" t="str">
        <f>VLOOKUP(K350,'Lookup Values'!$F$2:$G$8,2,FALSE)</f>
        <v>Tuesday</v>
      </c>
      <c r="M350" s="3">
        <v>40869</v>
      </c>
      <c r="N350" s="78">
        <f t="shared" si="96"/>
        <v>7</v>
      </c>
      <c r="O350" s="11">
        <v>0.66148069803108189</v>
      </c>
      <c r="P350" s="94">
        <f t="shared" si="104"/>
        <v>15</v>
      </c>
      <c r="Q350" s="94">
        <f t="shared" si="105"/>
        <v>52</v>
      </c>
      <c r="R350" s="94">
        <f t="shared" si="106"/>
        <v>32</v>
      </c>
      <c r="S350" s="94" t="str">
        <f>VLOOKUP(O350,'Lookup Values'!$I$2:$L$8,4,TRUE)</f>
        <v>Afternoon</v>
      </c>
      <c r="T350" t="s">
        <v>83</v>
      </c>
      <c r="U350" t="s">
        <v>103</v>
      </c>
      <c r="V350" t="str">
        <f t="shared" si="107"/>
        <v>Shopping: Clothing</v>
      </c>
      <c r="W350" t="s">
        <v>102</v>
      </c>
      <c r="X350" t="s">
        <v>88</v>
      </c>
      <c r="Y350" s="1">
        <v>186</v>
      </c>
      <c r="Z350" s="1" t="str">
        <f t="shared" si="108"/>
        <v>Shopping: $186.00</v>
      </c>
      <c r="AA350" s="1">
        <f>IF(Y350="","",ROUND(Y350*'Lookup Values'!$A$2,2))</f>
        <v>16.510000000000002</v>
      </c>
      <c r="AB350" s="12" t="str">
        <f t="shared" si="109"/>
        <v>Expense</v>
      </c>
      <c r="AC350" s="2" t="s">
        <v>490</v>
      </c>
      <c r="AD350" s="3">
        <f t="shared" si="110"/>
        <v>40862</v>
      </c>
      <c r="AE350" s="93" t="str">
        <f t="shared" si="111"/>
        <v>NO</v>
      </c>
      <c r="AF350" s="2" t="str">
        <f t="shared" si="112"/>
        <v>NO</v>
      </c>
      <c r="AG350" t="str">
        <f t="shared" si="113"/>
        <v>CRAP Transaction</v>
      </c>
    </row>
    <row r="351" spans="1:33" x14ac:dyDescent="0.25">
      <c r="A351" s="2">
        <v>350</v>
      </c>
      <c r="B351" s="3" t="str">
        <f t="shared" si="95"/>
        <v>101229-SH-EXP</v>
      </c>
      <c r="C351" s="3">
        <v>40541</v>
      </c>
      <c r="D351" s="3">
        <f t="shared" si="97"/>
        <v>40555</v>
      </c>
      <c r="E351" s="3">
        <f t="shared" si="98"/>
        <v>40602</v>
      </c>
      <c r="F351" s="3">
        <f t="shared" si="99"/>
        <v>40543</v>
      </c>
      <c r="G351" s="76">
        <f t="shared" si="100"/>
        <v>2010</v>
      </c>
      <c r="H351" s="76">
        <f t="shared" si="101"/>
        <v>12</v>
      </c>
      <c r="I351" s="76" t="str">
        <f>VLOOKUP(H351,'Lookup Values'!$C$2:$D$13,2,FALSE)</f>
        <v>DEC</v>
      </c>
      <c r="J351" s="76">
        <f t="shared" si="102"/>
        <v>29</v>
      </c>
      <c r="K351" s="76">
        <f t="shared" si="103"/>
        <v>4</v>
      </c>
      <c r="L351" s="76" t="str">
        <f>VLOOKUP(K351,'Lookup Values'!$F$2:$G$8,2,FALSE)</f>
        <v>Wednesday</v>
      </c>
      <c r="M351" s="3">
        <v>40551</v>
      </c>
      <c r="N351" s="78">
        <f t="shared" si="96"/>
        <v>10</v>
      </c>
      <c r="O351" s="11">
        <v>0.5696329036941582</v>
      </c>
      <c r="P351" s="94">
        <f t="shared" si="104"/>
        <v>13</v>
      </c>
      <c r="Q351" s="94">
        <f t="shared" si="105"/>
        <v>40</v>
      </c>
      <c r="R351" s="94">
        <f t="shared" si="106"/>
        <v>16</v>
      </c>
      <c r="S351" s="94" t="str">
        <f>VLOOKUP(O351,'Lookup Values'!$I$2:$L$8,4,TRUE)</f>
        <v>Afternoon</v>
      </c>
      <c r="T351" t="s">
        <v>83</v>
      </c>
      <c r="U351" t="s">
        <v>103</v>
      </c>
      <c r="V351" t="str">
        <f t="shared" si="107"/>
        <v>Shopping: Clothing</v>
      </c>
      <c r="W351" t="s">
        <v>102</v>
      </c>
      <c r="X351" t="s">
        <v>91</v>
      </c>
      <c r="Y351" s="1">
        <v>274</v>
      </c>
      <c r="Z351" s="1" t="str">
        <f t="shared" si="108"/>
        <v>Shopping: $274.00</v>
      </c>
      <c r="AA351" s="1">
        <f>IF(Y351="","",ROUND(Y351*'Lookup Values'!$A$2,2))</f>
        <v>24.32</v>
      </c>
      <c r="AB351" s="12" t="str">
        <f t="shared" si="109"/>
        <v>Expense</v>
      </c>
      <c r="AC351" s="2" t="s">
        <v>456</v>
      </c>
      <c r="AD351" s="3">
        <f t="shared" si="110"/>
        <v>40541</v>
      </c>
      <c r="AE351" s="93" t="str">
        <f t="shared" si="111"/>
        <v>NO</v>
      </c>
      <c r="AF351" s="2" t="str">
        <f t="shared" si="112"/>
        <v>NO</v>
      </c>
      <c r="AG351" t="str">
        <f t="shared" si="113"/>
        <v>Late Transaction</v>
      </c>
    </row>
    <row r="352" spans="1:33" x14ac:dyDescent="0.25">
      <c r="A352" s="2">
        <v>351</v>
      </c>
      <c r="B352" s="3" t="str">
        <f t="shared" si="95"/>
        <v>080325-EN-MOE</v>
      </c>
      <c r="C352" s="3">
        <v>39532</v>
      </c>
      <c r="D352" s="3">
        <f t="shared" si="97"/>
        <v>39546</v>
      </c>
      <c r="E352" s="3">
        <f t="shared" si="98"/>
        <v>39593</v>
      </c>
      <c r="F352" s="3">
        <f t="shared" si="99"/>
        <v>39538</v>
      </c>
      <c r="G352" s="76">
        <f t="shared" si="100"/>
        <v>2008</v>
      </c>
      <c r="H352" s="76">
        <f t="shared" si="101"/>
        <v>3</v>
      </c>
      <c r="I352" s="76" t="str">
        <f>VLOOKUP(H352,'Lookup Values'!$C$2:$D$13,2,FALSE)</f>
        <v>MAR</v>
      </c>
      <c r="J352" s="76">
        <f t="shared" si="102"/>
        <v>25</v>
      </c>
      <c r="K352" s="76">
        <f t="shared" si="103"/>
        <v>3</v>
      </c>
      <c r="L352" s="76" t="str">
        <f>VLOOKUP(K352,'Lookup Values'!$F$2:$G$8,2,FALSE)</f>
        <v>Tuesday</v>
      </c>
      <c r="M352" s="3">
        <v>39537</v>
      </c>
      <c r="N352" s="78">
        <f t="shared" si="96"/>
        <v>5</v>
      </c>
      <c r="O352" s="11">
        <v>0.39412225347781782</v>
      </c>
      <c r="P352" s="94">
        <f t="shared" si="104"/>
        <v>9</v>
      </c>
      <c r="Q352" s="94">
        <f t="shared" si="105"/>
        <v>27</v>
      </c>
      <c r="R352" s="94">
        <f t="shared" si="106"/>
        <v>32</v>
      </c>
      <c r="S352" s="94" t="str">
        <f>VLOOKUP(O352,'Lookup Values'!$I$2:$L$8,4,TRUE)</f>
        <v>Morning</v>
      </c>
      <c r="T352" t="s">
        <v>76</v>
      </c>
      <c r="U352" t="s">
        <v>77</v>
      </c>
      <c r="V352" t="str">
        <f t="shared" si="107"/>
        <v>Entertainment: Alcohol</v>
      </c>
      <c r="W352" t="s">
        <v>75</v>
      </c>
      <c r="X352" t="s">
        <v>78</v>
      </c>
      <c r="Y352" s="1">
        <v>146</v>
      </c>
      <c r="Z352" s="1" t="str">
        <f t="shared" si="108"/>
        <v>Entertainment: $146.00</v>
      </c>
      <c r="AA352" s="1">
        <f>IF(Y352="","",ROUND(Y352*'Lookup Values'!$A$2,2))</f>
        <v>12.96</v>
      </c>
      <c r="AB352" s="12" t="str">
        <f t="shared" si="109"/>
        <v>Expense</v>
      </c>
      <c r="AC352" s="2" t="s">
        <v>491</v>
      </c>
      <c r="AD352" s="3">
        <f t="shared" si="110"/>
        <v>39532</v>
      </c>
      <c r="AE352" s="93" t="str">
        <f t="shared" si="111"/>
        <v>NO</v>
      </c>
      <c r="AF352" s="2" t="str">
        <f t="shared" si="112"/>
        <v>NO</v>
      </c>
      <c r="AG352" t="str">
        <f t="shared" si="113"/>
        <v>Awesome Transaction</v>
      </c>
    </row>
    <row r="353" spans="1:33" x14ac:dyDescent="0.25">
      <c r="A353" s="2">
        <v>352</v>
      </c>
      <c r="B353" s="3" t="str">
        <f t="shared" si="95"/>
        <v>111110-IN-AUN</v>
      </c>
      <c r="C353" s="3">
        <v>40857</v>
      </c>
      <c r="D353" s="3">
        <f t="shared" si="97"/>
        <v>40871</v>
      </c>
      <c r="E353" s="3">
        <f t="shared" si="98"/>
        <v>40918</v>
      </c>
      <c r="F353" s="3">
        <f t="shared" si="99"/>
        <v>40877</v>
      </c>
      <c r="G353" s="76">
        <f t="shared" si="100"/>
        <v>2011</v>
      </c>
      <c r="H353" s="76">
        <f t="shared" si="101"/>
        <v>11</v>
      </c>
      <c r="I353" s="76" t="str">
        <f>VLOOKUP(H353,'Lookup Values'!$C$2:$D$13,2,FALSE)</f>
        <v>NOV</v>
      </c>
      <c r="J353" s="76">
        <f t="shared" si="102"/>
        <v>10</v>
      </c>
      <c r="K353" s="76">
        <f t="shared" si="103"/>
        <v>5</v>
      </c>
      <c r="L353" s="76" t="str">
        <f>VLOOKUP(K353,'Lookup Values'!$F$2:$G$8,2,FALSE)</f>
        <v>Thursday</v>
      </c>
      <c r="M353" s="3">
        <v>40859</v>
      </c>
      <c r="N353" s="78">
        <f t="shared" si="96"/>
        <v>2</v>
      </c>
      <c r="O353" s="11">
        <v>0.56477222997783616</v>
      </c>
      <c r="P353" s="94">
        <f t="shared" si="104"/>
        <v>13</v>
      </c>
      <c r="Q353" s="94">
        <f t="shared" si="105"/>
        <v>33</v>
      </c>
      <c r="R353" s="94">
        <f t="shared" si="106"/>
        <v>16</v>
      </c>
      <c r="S353" s="94" t="str">
        <f>VLOOKUP(O353,'Lookup Values'!$I$2:$L$8,4,TRUE)</f>
        <v>Afternoon</v>
      </c>
      <c r="T353" t="s">
        <v>158</v>
      </c>
      <c r="U353" t="s">
        <v>161</v>
      </c>
      <c r="V353" t="str">
        <f t="shared" si="107"/>
        <v>Income: Gift Received</v>
      </c>
      <c r="W353" t="s">
        <v>164</v>
      </c>
      <c r="X353" t="s">
        <v>88</v>
      </c>
      <c r="Y353" s="1">
        <v>167</v>
      </c>
      <c r="Z353" s="1" t="str">
        <f t="shared" si="108"/>
        <v>Income: $167.00</v>
      </c>
      <c r="AA353" s="1">
        <f>IF(Y353="","",ROUND(Y353*'Lookup Values'!$A$2,2))</f>
        <v>14.82</v>
      </c>
      <c r="AB353" s="12" t="str">
        <f t="shared" si="109"/>
        <v>Income</v>
      </c>
      <c r="AC353" s="2" t="s">
        <v>492</v>
      </c>
      <c r="AD353" s="3">
        <f t="shared" si="110"/>
        <v>40857</v>
      </c>
      <c r="AE353" s="93" t="str">
        <f t="shared" si="111"/>
        <v>NO</v>
      </c>
      <c r="AF353" s="2" t="str">
        <f t="shared" si="112"/>
        <v>NO</v>
      </c>
      <c r="AG353" t="str">
        <f t="shared" si="113"/>
        <v>CRAP Transaction</v>
      </c>
    </row>
    <row r="354" spans="1:33" x14ac:dyDescent="0.25">
      <c r="A354" s="2">
        <v>353</v>
      </c>
      <c r="B354" s="3" t="str">
        <f t="shared" si="95"/>
        <v>090331-EN-FAN</v>
      </c>
      <c r="C354" s="3">
        <v>39903</v>
      </c>
      <c r="D354" s="3">
        <f t="shared" si="97"/>
        <v>39917</v>
      </c>
      <c r="E354" s="3">
        <f t="shared" si="98"/>
        <v>39964</v>
      </c>
      <c r="F354" s="3">
        <f t="shared" si="99"/>
        <v>39903</v>
      </c>
      <c r="G354" s="76">
        <f t="shared" si="100"/>
        <v>2009</v>
      </c>
      <c r="H354" s="76">
        <f t="shared" si="101"/>
        <v>3</v>
      </c>
      <c r="I354" s="76" t="str">
        <f>VLOOKUP(H354,'Lookup Values'!$C$2:$D$13,2,FALSE)</f>
        <v>MAR</v>
      </c>
      <c r="J354" s="76">
        <f t="shared" si="102"/>
        <v>31</v>
      </c>
      <c r="K354" s="76">
        <f t="shared" si="103"/>
        <v>3</v>
      </c>
      <c r="L354" s="76" t="str">
        <f>VLOOKUP(K354,'Lookup Values'!$F$2:$G$8,2,FALSE)</f>
        <v>Tuesday</v>
      </c>
      <c r="M354" s="3">
        <v>39907</v>
      </c>
      <c r="N354" s="78">
        <f t="shared" si="96"/>
        <v>4</v>
      </c>
      <c r="O354" s="11">
        <v>0.23060207535722421</v>
      </c>
      <c r="P354" s="94">
        <f t="shared" si="104"/>
        <v>5</v>
      </c>
      <c r="Q354" s="94">
        <f t="shared" si="105"/>
        <v>32</v>
      </c>
      <c r="R354" s="94">
        <f t="shared" si="106"/>
        <v>4</v>
      </c>
      <c r="S354" s="94" t="str">
        <f>VLOOKUP(O354,'Lookup Values'!$I$2:$L$8,4,TRUE)</f>
        <v>Early Morning</v>
      </c>
      <c r="T354" t="s">
        <v>76</v>
      </c>
      <c r="U354" t="s">
        <v>90</v>
      </c>
      <c r="V354" t="str">
        <f t="shared" si="107"/>
        <v>Entertainment: Movies</v>
      </c>
      <c r="W354" t="s">
        <v>89</v>
      </c>
      <c r="X354" t="s">
        <v>91</v>
      </c>
      <c r="Y354" s="1">
        <v>459</v>
      </c>
      <c r="Z354" s="1" t="str">
        <f t="shared" si="108"/>
        <v>Entertainment: $459.00</v>
      </c>
      <c r="AA354" s="1">
        <f>IF(Y354="","",ROUND(Y354*'Lookup Values'!$A$2,2))</f>
        <v>40.74</v>
      </c>
      <c r="AB354" s="12" t="str">
        <f t="shared" si="109"/>
        <v>Expense</v>
      </c>
      <c r="AC354" s="2" t="s">
        <v>493</v>
      </c>
      <c r="AD354" s="3">
        <f t="shared" si="110"/>
        <v>39903</v>
      </c>
      <c r="AE354" s="93" t="str">
        <f t="shared" si="111"/>
        <v>NO</v>
      </c>
      <c r="AF354" s="2" t="str">
        <f t="shared" si="112"/>
        <v>NO</v>
      </c>
      <c r="AG354" t="str">
        <f t="shared" si="113"/>
        <v>Awesome Transaction</v>
      </c>
    </row>
    <row r="355" spans="1:33" x14ac:dyDescent="0.25">
      <c r="A355" s="2">
        <v>354</v>
      </c>
      <c r="B355" s="3" t="str">
        <f t="shared" si="95"/>
        <v>080811-BI-CON</v>
      </c>
      <c r="C355" s="3">
        <v>39671</v>
      </c>
      <c r="D355" s="3">
        <f t="shared" si="97"/>
        <v>39685</v>
      </c>
      <c r="E355" s="3">
        <f t="shared" si="98"/>
        <v>39732</v>
      </c>
      <c r="F355" s="3">
        <f t="shared" si="99"/>
        <v>39691</v>
      </c>
      <c r="G355" s="76">
        <f t="shared" si="100"/>
        <v>2008</v>
      </c>
      <c r="H355" s="76">
        <f t="shared" si="101"/>
        <v>8</v>
      </c>
      <c r="I355" s="76" t="str">
        <f>VLOOKUP(H355,'Lookup Values'!$C$2:$D$13,2,FALSE)</f>
        <v>AUG</v>
      </c>
      <c r="J355" s="76">
        <f t="shared" si="102"/>
        <v>11</v>
      </c>
      <c r="K355" s="76">
        <f t="shared" si="103"/>
        <v>2</v>
      </c>
      <c r="L355" s="76" t="str">
        <f>VLOOKUP(K355,'Lookup Values'!$F$2:$G$8,2,FALSE)</f>
        <v>Monday</v>
      </c>
      <c r="M355" s="3">
        <v>39681</v>
      </c>
      <c r="N355" s="78">
        <f t="shared" si="96"/>
        <v>10</v>
      </c>
      <c r="O355" s="11">
        <v>0.28707362373006085</v>
      </c>
      <c r="P355" s="94">
        <f t="shared" si="104"/>
        <v>6</v>
      </c>
      <c r="Q355" s="94">
        <f t="shared" si="105"/>
        <v>53</v>
      </c>
      <c r="R355" s="94">
        <f t="shared" si="106"/>
        <v>23</v>
      </c>
      <c r="S355" s="94" t="str">
        <f>VLOOKUP(O355,'Lookup Values'!$I$2:$L$8,4,TRUE)</f>
        <v>Early Morning</v>
      </c>
      <c r="T355" t="s">
        <v>110</v>
      </c>
      <c r="U355" t="s">
        <v>111</v>
      </c>
      <c r="V355" t="str">
        <f t="shared" si="107"/>
        <v>Bills: Utilities</v>
      </c>
      <c r="W355" t="s">
        <v>109</v>
      </c>
      <c r="X355" t="s">
        <v>91</v>
      </c>
      <c r="Y355" s="1">
        <v>384</v>
      </c>
      <c r="Z355" s="1" t="str">
        <f t="shared" si="108"/>
        <v>Bills: $384.00</v>
      </c>
      <c r="AA355" s="1">
        <f>IF(Y355="","",ROUND(Y355*'Lookup Values'!$A$2,2))</f>
        <v>34.08</v>
      </c>
      <c r="AB355" s="12" t="str">
        <f t="shared" si="109"/>
        <v>Expense</v>
      </c>
      <c r="AC355" s="2" t="s">
        <v>183</v>
      </c>
      <c r="AD355" s="3">
        <f t="shared" si="110"/>
        <v>39671</v>
      </c>
      <c r="AE355" s="93" t="str">
        <f t="shared" si="111"/>
        <v>NO</v>
      </c>
      <c r="AF355" s="2" t="str">
        <f t="shared" si="112"/>
        <v>NO</v>
      </c>
      <c r="AG355" t="str">
        <f t="shared" si="113"/>
        <v>Late Transaction</v>
      </c>
    </row>
    <row r="356" spans="1:33" x14ac:dyDescent="0.25">
      <c r="A356" s="2">
        <v>355</v>
      </c>
      <c r="B356" s="3" t="str">
        <f t="shared" si="95"/>
        <v>070202-FO-CIT</v>
      </c>
      <c r="C356" s="3">
        <v>39115</v>
      </c>
      <c r="D356" s="3">
        <f t="shared" si="97"/>
        <v>39129</v>
      </c>
      <c r="E356" s="3">
        <f t="shared" si="98"/>
        <v>39174</v>
      </c>
      <c r="F356" s="3">
        <f t="shared" si="99"/>
        <v>39141</v>
      </c>
      <c r="G356" s="76">
        <f t="shared" si="100"/>
        <v>2007</v>
      </c>
      <c r="H356" s="76">
        <f t="shared" si="101"/>
        <v>2</v>
      </c>
      <c r="I356" s="76" t="str">
        <f>VLOOKUP(H356,'Lookup Values'!$C$2:$D$13,2,FALSE)</f>
        <v>FEB</v>
      </c>
      <c r="J356" s="76">
        <f t="shared" si="102"/>
        <v>2</v>
      </c>
      <c r="K356" s="76">
        <f t="shared" si="103"/>
        <v>6</v>
      </c>
      <c r="L356" s="76" t="str">
        <f>VLOOKUP(K356,'Lookup Values'!$F$2:$G$8,2,FALSE)</f>
        <v>Friday</v>
      </c>
      <c r="M356" s="3">
        <v>39119</v>
      </c>
      <c r="N356" s="78">
        <f t="shared" si="96"/>
        <v>4</v>
      </c>
      <c r="O356" s="11">
        <v>0.50076637371471211</v>
      </c>
      <c r="P356" s="94">
        <f t="shared" si="104"/>
        <v>12</v>
      </c>
      <c r="Q356" s="94">
        <f t="shared" si="105"/>
        <v>1</v>
      </c>
      <c r="R356" s="94">
        <f t="shared" si="106"/>
        <v>6</v>
      </c>
      <c r="S356" s="94" t="str">
        <f>VLOOKUP(O356,'Lookup Values'!$I$2:$L$8,4,TRUE)</f>
        <v>Afternoon</v>
      </c>
      <c r="T356" t="s">
        <v>80</v>
      </c>
      <c r="U356" t="s">
        <v>105</v>
      </c>
      <c r="V356" t="str">
        <f t="shared" si="107"/>
        <v>Food: Coffee</v>
      </c>
      <c r="W356" t="s">
        <v>104</v>
      </c>
      <c r="X356" t="s">
        <v>91</v>
      </c>
      <c r="Y356" s="1">
        <v>247</v>
      </c>
      <c r="Z356" s="1" t="str">
        <f t="shared" si="108"/>
        <v>Food: $247.00</v>
      </c>
      <c r="AA356" s="1">
        <f>IF(Y356="","",ROUND(Y356*'Lookup Values'!$A$2,2))</f>
        <v>21.92</v>
      </c>
      <c r="AB356" s="12" t="str">
        <f t="shared" si="109"/>
        <v>Expense</v>
      </c>
      <c r="AC356" s="2" t="s">
        <v>395</v>
      </c>
      <c r="AD356" s="3">
        <f t="shared" si="110"/>
        <v>39115</v>
      </c>
      <c r="AE356" s="93" t="str">
        <f t="shared" si="111"/>
        <v>NO</v>
      </c>
      <c r="AF356" s="2" t="str">
        <f t="shared" si="112"/>
        <v>NO</v>
      </c>
      <c r="AG356" t="str">
        <f t="shared" si="113"/>
        <v>Awesome Transaction</v>
      </c>
    </row>
    <row r="357" spans="1:33" x14ac:dyDescent="0.25">
      <c r="A357" s="2">
        <v>356</v>
      </c>
      <c r="B357" s="3" t="str">
        <f t="shared" si="95"/>
        <v>120429-ED-ANT</v>
      </c>
      <c r="C357" s="3">
        <v>41028</v>
      </c>
      <c r="D357" s="3">
        <f t="shared" si="97"/>
        <v>41040</v>
      </c>
      <c r="E357" s="3">
        <f t="shared" si="98"/>
        <v>41089</v>
      </c>
      <c r="F357" s="3">
        <f t="shared" si="99"/>
        <v>41029</v>
      </c>
      <c r="G357" s="76">
        <f t="shared" si="100"/>
        <v>2012</v>
      </c>
      <c r="H357" s="76">
        <f t="shared" si="101"/>
        <v>4</v>
      </c>
      <c r="I357" s="76" t="str">
        <f>VLOOKUP(H357,'Lookup Values'!$C$2:$D$13,2,FALSE)</f>
        <v>APR</v>
      </c>
      <c r="J357" s="76">
        <f t="shared" si="102"/>
        <v>29</v>
      </c>
      <c r="K357" s="76">
        <f t="shared" si="103"/>
        <v>1</v>
      </c>
      <c r="L357" s="76" t="str">
        <f>VLOOKUP(K357,'Lookup Values'!$F$2:$G$8,2,FALSE)</f>
        <v>Sunday</v>
      </c>
      <c r="M357" s="3">
        <v>41033</v>
      </c>
      <c r="N357" s="78">
        <f t="shared" si="96"/>
        <v>5</v>
      </c>
      <c r="O357" s="11">
        <v>0.68611989881492252</v>
      </c>
      <c r="P357" s="94">
        <f t="shared" si="104"/>
        <v>16</v>
      </c>
      <c r="Q357" s="94">
        <f t="shared" si="105"/>
        <v>28</v>
      </c>
      <c r="R357" s="94">
        <f t="shared" si="106"/>
        <v>1</v>
      </c>
      <c r="S357" s="94" t="str">
        <f>VLOOKUP(O357,'Lookup Values'!$I$2:$L$8,4,TRUE)</f>
        <v>Afternoon</v>
      </c>
      <c r="T357" t="s">
        <v>86</v>
      </c>
      <c r="U357" t="s">
        <v>87</v>
      </c>
      <c r="V357" t="str">
        <f t="shared" si="107"/>
        <v>Education: Tango Lessons</v>
      </c>
      <c r="W357" t="s">
        <v>85</v>
      </c>
      <c r="X357" t="s">
        <v>78</v>
      </c>
      <c r="Y357" s="1">
        <v>76</v>
      </c>
      <c r="Z357" s="1" t="str">
        <f t="shared" si="108"/>
        <v>Education: $76.00</v>
      </c>
      <c r="AA357" s="1">
        <f>IF(Y357="","",ROUND(Y357*'Lookup Values'!$A$2,2))</f>
        <v>6.75</v>
      </c>
      <c r="AB357" s="12" t="str">
        <f t="shared" si="109"/>
        <v>Expense</v>
      </c>
      <c r="AC357" s="2" t="s">
        <v>166</v>
      </c>
      <c r="AD357" s="3">
        <f t="shared" si="110"/>
        <v>41028</v>
      </c>
      <c r="AE357" s="93" t="str">
        <f t="shared" si="111"/>
        <v>NO</v>
      </c>
      <c r="AF357" s="2" t="str">
        <f t="shared" si="112"/>
        <v>NO</v>
      </c>
      <c r="AG357" t="str">
        <f t="shared" si="113"/>
        <v>CRAP Transaction</v>
      </c>
    </row>
    <row r="358" spans="1:33" x14ac:dyDescent="0.25">
      <c r="A358" s="2">
        <v>357</v>
      </c>
      <c r="B358" s="3" t="str">
        <f t="shared" si="95"/>
        <v>080716-IN-LEG</v>
      </c>
      <c r="C358" s="3">
        <v>39645</v>
      </c>
      <c r="D358" s="3">
        <f t="shared" si="97"/>
        <v>39659</v>
      </c>
      <c r="E358" s="3">
        <f t="shared" si="98"/>
        <v>39707</v>
      </c>
      <c r="F358" s="3">
        <f t="shared" si="99"/>
        <v>39660</v>
      </c>
      <c r="G358" s="76">
        <f t="shared" si="100"/>
        <v>2008</v>
      </c>
      <c r="H358" s="76">
        <f t="shared" si="101"/>
        <v>7</v>
      </c>
      <c r="I358" s="76" t="str">
        <f>VLOOKUP(H358,'Lookup Values'!$C$2:$D$13,2,FALSE)</f>
        <v>JUL</v>
      </c>
      <c r="J358" s="76">
        <f t="shared" si="102"/>
        <v>16</v>
      </c>
      <c r="K358" s="76">
        <f t="shared" si="103"/>
        <v>4</v>
      </c>
      <c r="L358" s="76" t="str">
        <f>VLOOKUP(K358,'Lookup Values'!$F$2:$G$8,2,FALSE)</f>
        <v>Wednesday</v>
      </c>
      <c r="M358" s="3">
        <v>39653</v>
      </c>
      <c r="N358" s="78">
        <f t="shared" si="96"/>
        <v>8</v>
      </c>
      <c r="O358" s="11">
        <v>0.73161929257947578</v>
      </c>
      <c r="P358" s="94">
        <f t="shared" si="104"/>
        <v>17</v>
      </c>
      <c r="Q358" s="94">
        <f t="shared" si="105"/>
        <v>33</v>
      </c>
      <c r="R358" s="94">
        <f t="shared" si="106"/>
        <v>32</v>
      </c>
      <c r="S358" s="94" t="str">
        <f>VLOOKUP(O358,'Lookup Values'!$I$2:$L$8,4,TRUE)</f>
        <v>Evening</v>
      </c>
      <c r="T358" t="s">
        <v>158</v>
      </c>
      <c r="U358" t="s">
        <v>160</v>
      </c>
      <c r="V358" t="str">
        <f t="shared" si="107"/>
        <v>Income: Freelance Project</v>
      </c>
      <c r="W358" t="s">
        <v>163</v>
      </c>
      <c r="X358" t="s">
        <v>78</v>
      </c>
      <c r="Y358" s="1">
        <v>462</v>
      </c>
      <c r="Z358" s="1" t="str">
        <f t="shared" si="108"/>
        <v>Income: $462.00</v>
      </c>
      <c r="AA358" s="1">
        <f>IF(Y358="","",ROUND(Y358*'Lookup Values'!$A$2,2))</f>
        <v>41</v>
      </c>
      <c r="AB358" s="12" t="str">
        <f t="shared" si="109"/>
        <v>Income</v>
      </c>
      <c r="AC358" s="2" t="s">
        <v>379</v>
      </c>
      <c r="AD358" s="3">
        <f t="shared" si="110"/>
        <v>39645</v>
      </c>
      <c r="AE358" s="93" t="str">
        <f t="shared" si="111"/>
        <v>NO</v>
      </c>
      <c r="AF358" s="2" t="str">
        <f t="shared" si="112"/>
        <v>NO</v>
      </c>
      <c r="AG358" t="str">
        <f t="shared" si="113"/>
        <v>Late Transaction</v>
      </c>
    </row>
    <row r="359" spans="1:33" x14ac:dyDescent="0.25">
      <c r="A359" s="2">
        <v>358</v>
      </c>
      <c r="B359" s="3" t="str">
        <f t="shared" si="95"/>
        <v>100822-BI-CON</v>
      </c>
      <c r="C359" s="3">
        <v>40412</v>
      </c>
      <c r="D359" s="3">
        <f t="shared" si="97"/>
        <v>40424</v>
      </c>
      <c r="E359" s="3">
        <f t="shared" si="98"/>
        <v>40473</v>
      </c>
      <c r="F359" s="3">
        <f t="shared" si="99"/>
        <v>40421</v>
      </c>
      <c r="G359" s="76">
        <f t="shared" si="100"/>
        <v>2010</v>
      </c>
      <c r="H359" s="76">
        <f t="shared" si="101"/>
        <v>8</v>
      </c>
      <c r="I359" s="76" t="str">
        <f>VLOOKUP(H359,'Lookup Values'!$C$2:$D$13,2,FALSE)</f>
        <v>AUG</v>
      </c>
      <c r="J359" s="76">
        <f t="shared" si="102"/>
        <v>22</v>
      </c>
      <c r="K359" s="76">
        <f t="shared" si="103"/>
        <v>1</v>
      </c>
      <c r="L359" s="76" t="str">
        <f>VLOOKUP(K359,'Lookup Values'!$F$2:$G$8,2,FALSE)</f>
        <v>Sunday</v>
      </c>
      <c r="M359" s="3">
        <v>40421</v>
      </c>
      <c r="N359" s="78">
        <f t="shared" si="96"/>
        <v>9</v>
      </c>
      <c r="O359" s="11">
        <v>0.1243207529806204</v>
      </c>
      <c r="P359" s="94">
        <f t="shared" si="104"/>
        <v>2</v>
      </c>
      <c r="Q359" s="94">
        <f t="shared" si="105"/>
        <v>59</v>
      </c>
      <c r="R359" s="94">
        <f t="shared" si="106"/>
        <v>1</v>
      </c>
      <c r="S359" s="94" t="str">
        <f>VLOOKUP(O359,'Lookup Values'!$I$2:$L$8,4,TRUE)</f>
        <v>Dead of Night</v>
      </c>
      <c r="T359" t="s">
        <v>110</v>
      </c>
      <c r="U359" t="s">
        <v>111</v>
      </c>
      <c r="V359" t="str">
        <f t="shared" si="107"/>
        <v>Bills: Utilities</v>
      </c>
      <c r="W359" t="s">
        <v>109</v>
      </c>
      <c r="X359" t="s">
        <v>78</v>
      </c>
      <c r="Y359" s="1">
        <v>116</v>
      </c>
      <c r="Z359" s="1" t="str">
        <f t="shared" si="108"/>
        <v>Bills: $116.00</v>
      </c>
      <c r="AA359" s="1">
        <f>IF(Y359="","",ROUND(Y359*'Lookup Values'!$A$2,2))</f>
        <v>10.3</v>
      </c>
      <c r="AB359" s="12" t="str">
        <f t="shared" si="109"/>
        <v>Expense</v>
      </c>
      <c r="AC359" s="2" t="s">
        <v>494</v>
      </c>
      <c r="AD359" s="3">
        <f t="shared" si="110"/>
        <v>40412</v>
      </c>
      <c r="AE359" s="93" t="str">
        <f t="shared" si="111"/>
        <v>NO</v>
      </c>
      <c r="AF359" s="2" t="str">
        <f t="shared" si="112"/>
        <v>NO</v>
      </c>
      <c r="AG359" t="str">
        <f t="shared" si="113"/>
        <v>Late Transaction</v>
      </c>
    </row>
    <row r="360" spans="1:33" x14ac:dyDescent="0.25">
      <c r="A360" s="2">
        <v>359</v>
      </c>
      <c r="B360" s="3" t="str">
        <f t="shared" si="95"/>
        <v>080510-HO-BED</v>
      </c>
      <c r="C360" s="3">
        <v>39578</v>
      </c>
      <c r="D360" s="3">
        <f t="shared" si="97"/>
        <v>39591</v>
      </c>
      <c r="E360" s="3">
        <f t="shared" si="98"/>
        <v>39639</v>
      </c>
      <c r="F360" s="3">
        <f t="shared" si="99"/>
        <v>39599</v>
      </c>
      <c r="G360" s="76">
        <f t="shared" si="100"/>
        <v>2008</v>
      </c>
      <c r="H360" s="76">
        <f t="shared" si="101"/>
        <v>5</v>
      </c>
      <c r="I360" s="76" t="str">
        <f>VLOOKUP(H360,'Lookup Values'!$C$2:$D$13,2,FALSE)</f>
        <v>MAY</v>
      </c>
      <c r="J360" s="76">
        <f t="shared" si="102"/>
        <v>10</v>
      </c>
      <c r="K360" s="76">
        <f t="shared" si="103"/>
        <v>7</v>
      </c>
      <c r="L360" s="76" t="str">
        <f>VLOOKUP(K360,'Lookup Values'!$F$2:$G$8,2,FALSE)</f>
        <v>Saturday</v>
      </c>
      <c r="M360" s="3">
        <v>39584</v>
      </c>
      <c r="N360" s="78">
        <f t="shared" si="96"/>
        <v>6</v>
      </c>
      <c r="O360" s="11">
        <v>0.16966544700836705</v>
      </c>
      <c r="P360" s="94">
        <f t="shared" si="104"/>
        <v>4</v>
      </c>
      <c r="Q360" s="94">
        <f t="shared" si="105"/>
        <v>4</v>
      </c>
      <c r="R360" s="94">
        <f t="shared" si="106"/>
        <v>19</v>
      </c>
      <c r="S360" s="94" t="str">
        <f>VLOOKUP(O360,'Lookup Values'!$I$2:$L$8,4,TRUE)</f>
        <v>Early Morning</v>
      </c>
      <c r="T360" t="s">
        <v>100</v>
      </c>
      <c r="U360" t="s">
        <v>101</v>
      </c>
      <c r="V360" t="str">
        <f t="shared" si="107"/>
        <v>Home: Cleaning Supplies</v>
      </c>
      <c r="W360" t="s">
        <v>99</v>
      </c>
      <c r="X360" t="s">
        <v>88</v>
      </c>
      <c r="Y360" s="1">
        <v>189</v>
      </c>
      <c r="Z360" s="1" t="str">
        <f t="shared" si="108"/>
        <v>Home: $189.00</v>
      </c>
      <c r="AA360" s="1">
        <f>IF(Y360="","",ROUND(Y360*'Lookup Values'!$A$2,2))</f>
        <v>16.77</v>
      </c>
      <c r="AB360" s="12" t="str">
        <f t="shared" si="109"/>
        <v>Expense</v>
      </c>
      <c r="AC360" s="2" t="s">
        <v>495</v>
      </c>
      <c r="AD360" s="3">
        <f t="shared" si="110"/>
        <v>39578</v>
      </c>
      <c r="AE360" s="93" t="str">
        <f t="shared" si="111"/>
        <v>NO</v>
      </c>
      <c r="AF360" s="2" t="str">
        <f t="shared" si="112"/>
        <v>NO</v>
      </c>
      <c r="AG360" t="str">
        <f t="shared" si="113"/>
        <v>Late Transaction</v>
      </c>
    </row>
    <row r="361" spans="1:33" x14ac:dyDescent="0.25">
      <c r="A361" s="2">
        <v>360</v>
      </c>
      <c r="B361" s="3" t="str">
        <f t="shared" si="95"/>
        <v>120406-ED-ANT</v>
      </c>
      <c r="C361" s="3">
        <v>41005</v>
      </c>
      <c r="D361" s="3">
        <f t="shared" si="97"/>
        <v>41019</v>
      </c>
      <c r="E361" s="3">
        <f t="shared" si="98"/>
        <v>41066</v>
      </c>
      <c r="F361" s="3">
        <f t="shared" si="99"/>
        <v>41029</v>
      </c>
      <c r="G361" s="76">
        <f t="shared" si="100"/>
        <v>2012</v>
      </c>
      <c r="H361" s="76">
        <f t="shared" si="101"/>
        <v>4</v>
      </c>
      <c r="I361" s="76" t="str">
        <f>VLOOKUP(H361,'Lookup Values'!$C$2:$D$13,2,FALSE)</f>
        <v>APR</v>
      </c>
      <c r="J361" s="76">
        <f t="shared" si="102"/>
        <v>6</v>
      </c>
      <c r="K361" s="76">
        <f t="shared" si="103"/>
        <v>6</v>
      </c>
      <c r="L361" s="76" t="str">
        <f>VLOOKUP(K361,'Lookup Values'!$F$2:$G$8,2,FALSE)</f>
        <v>Friday</v>
      </c>
      <c r="M361" s="3">
        <v>41012</v>
      </c>
      <c r="N361" s="78">
        <f t="shared" si="96"/>
        <v>7</v>
      </c>
      <c r="O361" s="11">
        <v>0.55567511701628958</v>
      </c>
      <c r="P361" s="94">
        <f t="shared" si="104"/>
        <v>13</v>
      </c>
      <c r="Q361" s="94">
        <f t="shared" si="105"/>
        <v>20</v>
      </c>
      <c r="R361" s="94">
        <f t="shared" si="106"/>
        <v>10</v>
      </c>
      <c r="S361" s="94" t="str">
        <f>VLOOKUP(O361,'Lookup Values'!$I$2:$L$8,4,TRUE)</f>
        <v>Afternoon</v>
      </c>
      <c r="T361" t="s">
        <v>86</v>
      </c>
      <c r="U361" t="s">
        <v>87</v>
      </c>
      <c r="V361" t="str">
        <f t="shared" si="107"/>
        <v>Education: Tango Lessons</v>
      </c>
      <c r="W361" t="s">
        <v>85</v>
      </c>
      <c r="X361" t="s">
        <v>78</v>
      </c>
      <c r="Y361" s="1">
        <v>136</v>
      </c>
      <c r="Z361" s="1" t="str">
        <f t="shared" si="108"/>
        <v>Education: $136.00</v>
      </c>
      <c r="AA361" s="1">
        <f>IF(Y361="","",ROUND(Y361*'Lookup Values'!$A$2,2))</f>
        <v>12.07</v>
      </c>
      <c r="AB361" s="12" t="str">
        <f t="shared" si="109"/>
        <v>Expense</v>
      </c>
      <c r="AC361" s="2" t="s">
        <v>496</v>
      </c>
      <c r="AD361" s="3">
        <f t="shared" si="110"/>
        <v>41005</v>
      </c>
      <c r="AE361" s="93" t="str">
        <f t="shared" si="111"/>
        <v>NO</v>
      </c>
      <c r="AF361" s="2" t="str">
        <f t="shared" si="112"/>
        <v>NO</v>
      </c>
      <c r="AG361" t="str">
        <f t="shared" si="113"/>
        <v>CRAP Transaction</v>
      </c>
    </row>
    <row r="362" spans="1:33" x14ac:dyDescent="0.25">
      <c r="A362" s="2">
        <v>361</v>
      </c>
      <c r="B362" s="3" t="str">
        <f t="shared" si="95"/>
        <v>100818-HE-FRE</v>
      </c>
      <c r="C362" s="3">
        <v>40408</v>
      </c>
      <c r="D362" s="3">
        <f t="shared" si="97"/>
        <v>40422</v>
      </c>
      <c r="E362" s="3">
        <f t="shared" si="98"/>
        <v>40469</v>
      </c>
      <c r="F362" s="3">
        <f t="shared" si="99"/>
        <v>40421</v>
      </c>
      <c r="G362" s="76">
        <f t="shared" si="100"/>
        <v>2010</v>
      </c>
      <c r="H362" s="76">
        <f t="shared" si="101"/>
        <v>8</v>
      </c>
      <c r="I362" s="76" t="str">
        <f>VLOOKUP(H362,'Lookup Values'!$C$2:$D$13,2,FALSE)</f>
        <v>AUG</v>
      </c>
      <c r="J362" s="76">
        <f t="shared" si="102"/>
        <v>18</v>
      </c>
      <c r="K362" s="76">
        <f t="shared" si="103"/>
        <v>4</v>
      </c>
      <c r="L362" s="76" t="str">
        <f>VLOOKUP(K362,'Lookup Values'!$F$2:$G$8,2,FALSE)</f>
        <v>Wednesday</v>
      </c>
      <c r="M362" s="3">
        <v>40416</v>
      </c>
      <c r="N362" s="78">
        <f t="shared" si="96"/>
        <v>8</v>
      </c>
      <c r="O362" s="11">
        <v>3.6603348573770567E-2</v>
      </c>
      <c r="P362" s="94">
        <f t="shared" si="104"/>
        <v>0</v>
      </c>
      <c r="Q362" s="94">
        <f t="shared" si="105"/>
        <v>52</v>
      </c>
      <c r="R362" s="94">
        <f t="shared" si="106"/>
        <v>43</v>
      </c>
      <c r="S362" s="94" t="str">
        <f>VLOOKUP(O362,'Lookup Values'!$I$2:$L$8,4,TRUE)</f>
        <v>Dead of Night</v>
      </c>
      <c r="T362" t="s">
        <v>107</v>
      </c>
      <c r="U362" t="s">
        <v>108</v>
      </c>
      <c r="V362" t="str">
        <f t="shared" si="107"/>
        <v>Health: Insurance Premium</v>
      </c>
      <c r="W362" t="s">
        <v>106</v>
      </c>
      <c r="X362" t="s">
        <v>91</v>
      </c>
      <c r="Y362" s="1">
        <v>69</v>
      </c>
      <c r="Z362" s="1" t="str">
        <f t="shared" si="108"/>
        <v>Health: $69.00</v>
      </c>
      <c r="AA362" s="1">
        <f>IF(Y362="","",ROUND(Y362*'Lookup Values'!$A$2,2))</f>
        <v>6.12</v>
      </c>
      <c r="AB362" s="12" t="str">
        <f t="shared" si="109"/>
        <v>Expense</v>
      </c>
      <c r="AC362" s="2" t="s">
        <v>497</v>
      </c>
      <c r="AD362" s="3">
        <f t="shared" si="110"/>
        <v>40408</v>
      </c>
      <c r="AE362" s="93" t="str">
        <f t="shared" si="111"/>
        <v>NO</v>
      </c>
      <c r="AF362" s="2" t="str">
        <f t="shared" si="112"/>
        <v>NO</v>
      </c>
      <c r="AG362" t="str">
        <f t="shared" si="113"/>
        <v>Late Transaction</v>
      </c>
    </row>
    <row r="363" spans="1:33" x14ac:dyDescent="0.25">
      <c r="A363" s="2">
        <v>362</v>
      </c>
      <c r="B363" s="3" t="str">
        <f t="shared" si="95"/>
        <v>080727-IN-LEG</v>
      </c>
      <c r="C363" s="3">
        <v>39656</v>
      </c>
      <c r="D363" s="3">
        <f t="shared" si="97"/>
        <v>39668</v>
      </c>
      <c r="E363" s="3">
        <f t="shared" si="98"/>
        <v>39718</v>
      </c>
      <c r="F363" s="3">
        <f t="shared" si="99"/>
        <v>39660</v>
      </c>
      <c r="G363" s="76">
        <f t="shared" si="100"/>
        <v>2008</v>
      </c>
      <c r="H363" s="76">
        <f t="shared" si="101"/>
        <v>7</v>
      </c>
      <c r="I363" s="76" t="str">
        <f>VLOOKUP(H363,'Lookup Values'!$C$2:$D$13,2,FALSE)</f>
        <v>JUL</v>
      </c>
      <c r="J363" s="76">
        <f t="shared" si="102"/>
        <v>27</v>
      </c>
      <c r="K363" s="76">
        <f t="shared" si="103"/>
        <v>1</v>
      </c>
      <c r="L363" s="76" t="str">
        <f>VLOOKUP(K363,'Lookup Values'!$F$2:$G$8,2,FALSE)</f>
        <v>Sunday</v>
      </c>
      <c r="M363" s="3">
        <v>39663</v>
      </c>
      <c r="N363" s="78">
        <f t="shared" si="96"/>
        <v>7</v>
      </c>
      <c r="O363" s="11">
        <v>0.38225112193799082</v>
      </c>
      <c r="P363" s="94">
        <f t="shared" si="104"/>
        <v>9</v>
      </c>
      <c r="Q363" s="94">
        <f t="shared" si="105"/>
        <v>10</v>
      </c>
      <c r="R363" s="94">
        <f t="shared" si="106"/>
        <v>26</v>
      </c>
      <c r="S363" s="94" t="str">
        <f>VLOOKUP(O363,'Lookup Values'!$I$2:$L$8,4,TRUE)</f>
        <v>Morning</v>
      </c>
      <c r="T363" t="s">
        <v>158</v>
      </c>
      <c r="U363" t="s">
        <v>160</v>
      </c>
      <c r="V363" t="str">
        <f t="shared" si="107"/>
        <v>Income: Freelance Project</v>
      </c>
      <c r="W363" t="s">
        <v>163</v>
      </c>
      <c r="X363" t="s">
        <v>88</v>
      </c>
      <c r="Y363" s="1">
        <v>287</v>
      </c>
      <c r="Z363" s="1" t="str">
        <f t="shared" si="108"/>
        <v>Income: $287.00</v>
      </c>
      <c r="AA363" s="1">
        <f>IF(Y363="","",ROUND(Y363*'Lookup Values'!$A$2,2))</f>
        <v>25.47</v>
      </c>
      <c r="AB363" s="12" t="str">
        <f t="shared" si="109"/>
        <v>Income</v>
      </c>
      <c r="AC363" s="2" t="s">
        <v>498</v>
      </c>
      <c r="AD363" s="3">
        <f t="shared" si="110"/>
        <v>39656</v>
      </c>
      <c r="AE363" s="93" t="str">
        <f t="shared" si="111"/>
        <v>NO</v>
      </c>
      <c r="AF363" s="2" t="str">
        <f t="shared" si="112"/>
        <v>NO</v>
      </c>
      <c r="AG363" t="str">
        <f t="shared" si="113"/>
        <v>Late Transaction</v>
      </c>
    </row>
    <row r="364" spans="1:33" x14ac:dyDescent="0.25">
      <c r="A364" s="2">
        <v>363</v>
      </c>
      <c r="B364" s="3" t="str">
        <f t="shared" si="95"/>
        <v>110709-EN-FAN</v>
      </c>
      <c r="C364" s="3">
        <v>40733</v>
      </c>
      <c r="D364" s="3">
        <f t="shared" si="97"/>
        <v>40746</v>
      </c>
      <c r="E364" s="3">
        <f t="shared" si="98"/>
        <v>40795</v>
      </c>
      <c r="F364" s="3">
        <f t="shared" si="99"/>
        <v>40755</v>
      </c>
      <c r="G364" s="76">
        <f t="shared" si="100"/>
        <v>2011</v>
      </c>
      <c r="H364" s="76">
        <f t="shared" si="101"/>
        <v>7</v>
      </c>
      <c r="I364" s="76" t="str">
        <f>VLOOKUP(H364,'Lookup Values'!$C$2:$D$13,2,FALSE)</f>
        <v>JUL</v>
      </c>
      <c r="J364" s="76">
        <f t="shared" si="102"/>
        <v>9</v>
      </c>
      <c r="K364" s="76">
        <f t="shared" si="103"/>
        <v>7</v>
      </c>
      <c r="L364" s="76" t="str">
        <f>VLOOKUP(K364,'Lookup Values'!$F$2:$G$8,2,FALSE)</f>
        <v>Saturday</v>
      </c>
      <c r="M364" s="3">
        <v>40735</v>
      </c>
      <c r="N364" s="78">
        <f t="shared" si="96"/>
        <v>2</v>
      </c>
      <c r="O364" s="11">
        <v>0.99725710291093383</v>
      </c>
      <c r="P364" s="94">
        <f t="shared" si="104"/>
        <v>23</v>
      </c>
      <c r="Q364" s="94">
        <f t="shared" si="105"/>
        <v>56</v>
      </c>
      <c r="R364" s="94">
        <f t="shared" si="106"/>
        <v>3</v>
      </c>
      <c r="S364" s="94" t="str">
        <f>VLOOKUP(O364,'Lookup Values'!$I$2:$L$8,4,TRUE)</f>
        <v>Late Evening</v>
      </c>
      <c r="T364" t="s">
        <v>76</v>
      </c>
      <c r="U364" t="s">
        <v>90</v>
      </c>
      <c r="V364" t="str">
        <f t="shared" si="107"/>
        <v>Entertainment: Movies</v>
      </c>
      <c r="W364" t="s">
        <v>89</v>
      </c>
      <c r="X364" t="s">
        <v>88</v>
      </c>
      <c r="Y364" s="1">
        <v>140</v>
      </c>
      <c r="Z364" s="1" t="str">
        <f t="shared" si="108"/>
        <v>Entertainment: $140.00</v>
      </c>
      <c r="AA364" s="1">
        <f>IF(Y364="","",ROUND(Y364*'Lookup Values'!$A$2,2))</f>
        <v>12.43</v>
      </c>
      <c r="AB364" s="12" t="str">
        <f t="shared" si="109"/>
        <v>Expense</v>
      </c>
      <c r="AC364" s="2" t="s">
        <v>499</v>
      </c>
      <c r="AD364" s="3">
        <f t="shared" si="110"/>
        <v>40733</v>
      </c>
      <c r="AE364" s="93" t="str">
        <f t="shared" si="111"/>
        <v>NO</v>
      </c>
      <c r="AF364" s="2" t="str">
        <f t="shared" si="112"/>
        <v>NO</v>
      </c>
      <c r="AG364" t="str">
        <f t="shared" si="113"/>
        <v>CRAP Transaction</v>
      </c>
    </row>
    <row r="365" spans="1:33" x14ac:dyDescent="0.25">
      <c r="A365" s="2">
        <v>364</v>
      </c>
      <c r="B365" s="3" t="str">
        <f t="shared" si="95"/>
        <v>080124-ED-SKI</v>
      </c>
      <c r="C365" s="3">
        <v>39471</v>
      </c>
      <c r="D365" s="3">
        <f t="shared" si="97"/>
        <v>39485</v>
      </c>
      <c r="E365" s="3">
        <f t="shared" si="98"/>
        <v>39531</v>
      </c>
      <c r="F365" s="3">
        <f t="shared" si="99"/>
        <v>39478</v>
      </c>
      <c r="G365" s="76">
        <f t="shared" si="100"/>
        <v>2008</v>
      </c>
      <c r="H365" s="76">
        <f t="shared" si="101"/>
        <v>1</v>
      </c>
      <c r="I365" s="76" t="str">
        <f>VLOOKUP(H365,'Lookup Values'!$C$2:$D$13,2,FALSE)</f>
        <v>JAN</v>
      </c>
      <c r="J365" s="76">
        <f t="shared" si="102"/>
        <v>24</v>
      </c>
      <c r="K365" s="76">
        <f t="shared" si="103"/>
        <v>5</v>
      </c>
      <c r="L365" s="76" t="str">
        <f>VLOOKUP(K365,'Lookup Values'!$F$2:$G$8,2,FALSE)</f>
        <v>Thursday</v>
      </c>
      <c r="M365" s="3">
        <v>39473</v>
      </c>
      <c r="N365" s="78">
        <f t="shared" si="96"/>
        <v>2</v>
      </c>
      <c r="O365" s="11">
        <v>0.37964154607735512</v>
      </c>
      <c r="P365" s="94">
        <f t="shared" si="104"/>
        <v>9</v>
      </c>
      <c r="Q365" s="94">
        <f t="shared" si="105"/>
        <v>6</v>
      </c>
      <c r="R365" s="94">
        <f t="shared" si="106"/>
        <v>41</v>
      </c>
      <c r="S365" s="94" t="str">
        <f>VLOOKUP(O365,'Lookup Values'!$I$2:$L$8,4,TRUE)</f>
        <v>Morning</v>
      </c>
      <c r="T365" t="s">
        <v>86</v>
      </c>
      <c r="U365" t="s">
        <v>98</v>
      </c>
      <c r="V365" t="str">
        <f t="shared" si="107"/>
        <v>Education: Professional Development</v>
      </c>
      <c r="W365" t="s">
        <v>97</v>
      </c>
      <c r="X365" t="s">
        <v>88</v>
      </c>
      <c r="Y365" s="1">
        <v>353</v>
      </c>
      <c r="Z365" s="1" t="str">
        <f t="shared" si="108"/>
        <v>Education: $353.00</v>
      </c>
      <c r="AA365" s="1">
        <f>IF(Y365="","",ROUND(Y365*'Lookup Values'!$A$2,2))</f>
        <v>31.33</v>
      </c>
      <c r="AB365" s="12" t="str">
        <f t="shared" si="109"/>
        <v>Expense</v>
      </c>
      <c r="AC365" s="2" t="s">
        <v>500</v>
      </c>
      <c r="AD365" s="3">
        <f t="shared" si="110"/>
        <v>39471</v>
      </c>
      <c r="AE365" s="93" t="str">
        <f t="shared" si="111"/>
        <v>YES</v>
      </c>
      <c r="AF365" s="2" t="str">
        <f t="shared" si="112"/>
        <v>NO</v>
      </c>
      <c r="AG365" t="str">
        <f t="shared" si="113"/>
        <v>Late Transaction</v>
      </c>
    </row>
    <row r="366" spans="1:33" x14ac:dyDescent="0.25">
      <c r="A366" s="2">
        <v>365</v>
      </c>
      <c r="B366" s="3" t="str">
        <f t="shared" si="95"/>
        <v>070610-HE-FRE</v>
      </c>
      <c r="C366" s="3">
        <v>39243</v>
      </c>
      <c r="D366" s="3">
        <f t="shared" si="97"/>
        <v>39255</v>
      </c>
      <c r="E366" s="3">
        <f t="shared" si="98"/>
        <v>39304</v>
      </c>
      <c r="F366" s="3">
        <f t="shared" si="99"/>
        <v>39263</v>
      </c>
      <c r="G366" s="76">
        <f t="shared" si="100"/>
        <v>2007</v>
      </c>
      <c r="H366" s="76">
        <f t="shared" si="101"/>
        <v>6</v>
      </c>
      <c r="I366" s="76" t="str">
        <f>VLOOKUP(H366,'Lookup Values'!$C$2:$D$13,2,FALSE)</f>
        <v>JUN</v>
      </c>
      <c r="J366" s="76">
        <f t="shared" si="102"/>
        <v>10</v>
      </c>
      <c r="K366" s="76">
        <f t="shared" si="103"/>
        <v>1</v>
      </c>
      <c r="L366" s="76" t="str">
        <f>VLOOKUP(K366,'Lookup Values'!$F$2:$G$8,2,FALSE)</f>
        <v>Sunday</v>
      </c>
      <c r="M366" s="3">
        <v>39251</v>
      </c>
      <c r="N366" s="78">
        <f t="shared" si="96"/>
        <v>8</v>
      </c>
      <c r="O366" s="11">
        <v>0.97757438421103238</v>
      </c>
      <c r="P366" s="94">
        <f t="shared" si="104"/>
        <v>23</v>
      </c>
      <c r="Q366" s="94">
        <f t="shared" si="105"/>
        <v>27</v>
      </c>
      <c r="R366" s="94">
        <f t="shared" si="106"/>
        <v>42</v>
      </c>
      <c r="S366" s="94" t="str">
        <f>VLOOKUP(O366,'Lookup Values'!$I$2:$L$8,4,TRUE)</f>
        <v>Late Evening</v>
      </c>
      <c r="T366" t="s">
        <v>107</v>
      </c>
      <c r="U366" t="s">
        <v>108</v>
      </c>
      <c r="V366" t="str">
        <f t="shared" si="107"/>
        <v>Health: Insurance Premium</v>
      </c>
      <c r="W366" t="s">
        <v>106</v>
      </c>
      <c r="X366" t="s">
        <v>88</v>
      </c>
      <c r="Y366" s="1">
        <v>346</v>
      </c>
      <c r="Z366" s="1" t="str">
        <f t="shared" si="108"/>
        <v>Health: $346.00</v>
      </c>
      <c r="AA366" s="1">
        <f>IF(Y366="","",ROUND(Y366*'Lookup Values'!$A$2,2))</f>
        <v>30.71</v>
      </c>
      <c r="AB366" s="12" t="str">
        <f t="shared" si="109"/>
        <v>Expense</v>
      </c>
      <c r="AC366" s="2" t="s">
        <v>501</v>
      </c>
      <c r="AD366" s="3">
        <f t="shared" si="110"/>
        <v>39243</v>
      </c>
      <c r="AE366" s="93" t="str">
        <f t="shared" si="111"/>
        <v>NO</v>
      </c>
      <c r="AF366" s="2" t="str">
        <f t="shared" si="112"/>
        <v>NO</v>
      </c>
      <c r="AG366" t="str">
        <f t="shared" si="113"/>
        <v>Late Transaction</v>
      </c>
    </row>
    <row r="367" spans="1:33" x14ac:dyDescent="0.25">
      <c r="A367" s="2">
        <v>366</v>
      </c>
      <c r="B367" s="3" t="str">
        <f t="shared" si="95"/>
        <v>081031-ED-ANT</v>
      </c>
      <c r="C367" s="3">
        <v>39752</v>
      </c>
      <c r="D367" s="3">
        <f t="shared" si="97"/>
        <v>39766</v>
      </c>
      <c r="E367" s="3">
        <f t="shared" si="98"/>
        <v>39813</v>
      </c>
      <c r="F367" s="3">
        <f t="shared" si="99"/>
        <v>39752</v>
      </c>
      <c r="G367" s="76">
        <f t="shared" si="100"/>
        <v>2008</v>
      </c>
      <c r="H367" s="76">
        <f t="shared" si="101"/>
        <v>10</v>
      </c>
      <c r="I367" s="76" t="str">
        <f>VLOOKUP(H367,'Lookup Values'!$C$2:$D$13,2,FALSE)</f>
        <v>OCT</v>
      </c>
      <c r="J367" s="76">
        <f t="shared" si="102"/>
        <v>31</v>
      </c>
      <c r="K367" s="76">
        <f t="shared" si="103"/>
        <v>6</v>
      </c>
      <c r="L367" s="76" t="str">
        <f>VLOOKUP(K367,'Lookup Values'!$F$2:$G$8,2,FALSE)</f>
        <v>Friday</v>
      </c>
      <c r="M367" s="3">
        <v>39762</v>
      </c>
      <c r="N367" s="78">
        <f t="shared" si="96"/>
        <v>10</v>
      </c>
      <c r="O367" s="11">
        <v>0.15265290644962992</v>
      </c>
      <c r="P367" s="94">
        <f t="shared" si="104"/>
        <v>3</v>
      </c>
      <c r="Q367" s="94">
        <f t="shared" si="105"/>
        <v>39</v>
      </c>
      <c r="R367" s="94">
        <f t="shared" si="106"/>
        <v>49</v>
      </c>
      <c r="S367" s="94" t="str">
        <f>VLOOKUP(O367,'Lookup Values'!$I$2:$L$8,4,TRUE)</f>
        <v>Dead of Night</v>
      </c>
      <c r="T367" t="s">
        <v>86</v>
      </c>
      <c r="U367" t="s">
        <v>87</v>
      </c>
      <c r="V367" t="str">
        <f t="shared" si="107"/>
        <v>Education: Tango Lessons</v>
      </c>
      <c r="W367" t="s">
        <v>85</v>
      </c>
      <c r="X367" t="s">
        <v>88</v>
      </c>
      <c r="Y367" s="1">
        <v>129</v>
      </c>
      <c r="Z367" s="1" t="str">
        <f t="shared" si="108"/>
        <v>Education: $129.00</v>
      </c>
      <c r="AA367" s="1">
        <f>IF(Y367="","",ROUND(Y367*'Lookup Values'!$A$2,2))</f>
        <v>11.45</v>
      </c>
      <c r="AB367" s="12" t="str">
        <f t="shared" si="109"/>
        <v>Expense</v>
      </c>
      <c r="AC367" s="2" t="s">
        <v>502</v>
      </c>
      <c r="AD367" s="3">
        <f t="shared" si="110"/>
        <v>39752</v>
      </c>
      <c r="AE367" s="93" t="str">
        <f t="shared" si="111"/>
        <v>NO</v>
      </c>
      <c r="AF367" s="2" t="str">
        <f t="shared" si="112"/>
        <v>NO</v>
      </c>
      <c r="AG367" t="str">
        <f t="shared" si="113"/>
        <v>Late Transaction</v>
      </c>
    </row>
    <row r="368" spans="1:33" x14ac:dyDescent="0.25">
      <c r="A368" s="2">
        <v>367</v>
      </c>
      <c r="B368" s="3" t="str">
        <f t="shared" si="95"/>
        <v>080516-BI-CON</v>
      </c>
      <c r="C368" s="3">
        <v>39584</v>
      </c>
      <c r="D368" s="3">
        <f t="shared" si="97"/>
        <v>39598</v>
      </c>
      <c r="E368" s="3">
        <f t="shared" si="98"/>
        <v>39645</v>
      </c>
      <c r="F368" s="3">
        <f t="shared" si="99"/>
        <v>39599</v>
      </c>
      <c r="G368" s="76">
        <f t="shared" si="100"/>
        <v>2008</v>
      </c>
      <c r="H368" s="76">
        <f t="shared" si="101"/>
        <v>5</v>
      </c>
      <c r="I368" s="76" t="str">
        <f>VLOOKUP(H368,'Lookup Values'!$C$2:$D$13,2,FALSE)</f>
        <v>MAY</v>
      </c>
      <c r="J368" s="76">
        <f t="shared" si="102"/>
        <v>16</v>
      </c>
      <c r="K368" s="76">
        <f t="shared" si="103"/>
        <v>6</v>
      </c>
      <c r="L368" s="76" t="str">
        <f>VLOOKUP(K368,'Lookup Values'!$F$2:$G$8,2,FALSE)</f>
        <v>Friday</v>
      </c>
      <c r="M368" s="3">
        <v>39590</v>
      </c>
      <c r="N368" s="78">
        <f t="shared" si="96"/>
        <v>6</v>
      </c>
      <c r="O368" s="11">
        <v>0.90494256237068371</v>
      </c>
      <c r="P368" s="94">
        <f t="shared" si="104"/>
        <v>21</v>
      </c>
      <c r="Q368" s="94">
        <f t="shared" si="105"/>
        <v>43</v>
      </c>
      <c r="R368" s="94">
        <f t="shared" si="106"/>
        <v>7</v>
      </c>
      <c r="S368" s="94" t="str">
        <f>VLOOKUP(O368,'Lookup Values'!$I$2:$L$8,4,TRUE)</f>
        <v>Late Evening</v>
      </c>
      <c r="T368" t="s">
        <v>110</v>
      </c>
      <c r="U368" t="s">
        <v>111</v>
      </c>
      <c r="V368" t="str">
        <f t="shared" si="107"/>
        <v>Bills: Utilities</v>
      </c>
      <c r="W368" t="s">
        <v>109</v>
      </c>
      <c r="X368" t="s">
        <v>91</v>
      </c>
      <c r="Y368" s="1">
        <v>377</v>
      </c>
      <c r="Z368" s="1" t="str">
        <f t="shared" si="108"/>
        <v>Bills: $377.00</v>
      </c>
      <c r="AA368" s="1">
        <f>IF(Y368="","",ROUND(Y368*'Lookup Values'!$A$2,2))</f>
        <v>33.46</v>
      </c>
      <c r="AB368" s="12" t="str">
        <f t="shared" si="109"/>
        <v>Expense</v>
      </c>
      <c r="AC368" s="2" t="s">
        <v>194</v>
      </c>
      <c r="AD368" s="3">
        <f t="shared" si="110"/>
        <v>39584</v>
      </c>
      <c r="AE368" s="93" t="str">
        <f t="shared" si="111"/>
        <v>NO</v>
      </c>
      <c r="AF368" s="2" t="str">
        <f t="shared" si="112"/>
        <v>NO</v>
      </c>
      <c r="AG368" t="str">
        <f t="shared" si="113"/>
        <v>Late Transaction</v>
      </c>
    </row>
    <row r="369" spans="1:33" x14ac:dyDescent="0.25">
      <c r="A369" s="2">
        <v>368</v>
      </c>
      <c r="B369" s="3" t="str">
        <f t="shared" si="95"/>
        <v>080927-IN-LEG</v>
      </c>
      <c r="C369" s="3">
        <v>39718</v>
      </c>
      <c r="D369" s="3">
        <f t="shared" si="97"/>
        <v>39731</v>
      </c>
      <c r="E369" s="3">
        <f t="shared" si="98"/>
        <v>39779</v>
      </c>
      <c r="F369" s="3">
        <f t="shared" si="99"/>
        <v>39721</v>
      </c>
      <c r="G369" s="76">
        <f t="shared" si="100"/>
        <v>2008</v>
      </c>
      <c r="H369" s="76">
        <f t="shared" si="101"/>
        <v>9</v>
      </c>
      <c r="I369" s="76" t="str">
        <f>VLOOKUP(H369,'Lookup Values'!$C$2:$D$13,2,FALSE)</f>
        <v>SEP</v>
      </c>
      <c r="J369" s="76">
        <f t="shared" si="102"/>
        <v>27</v>
      </c>
      <c r="K369" s="76">
        <f t="shared" si="103"/>
        <v>7</v>
      </c>
      <c r="L369" s="76" t="str">
        <f>VLOOKUP(K369,'Lookup Values'!$F$2:$G$8,2,FALSE)</f>
        <v>Saturday</v>
      </c>
      <c r="M369" s="3">
        <v>39724</v>
      </c>
      <c r="N369" s="78">
        <f t="shared" si="96"/>
        <v>6</v>
      </c>
      <c r="O369" s="11">
        <v>0.98722147728966725</v>
      </c>
      <c r="P369" s="94">
        <f t="shared" si="104"/>
        <v>23</v>
      </c>
      <c r="Q369" s="94">
        <f t="shared" si="105"/>
        <v>41</v>
      </c>
      <c r="R369" s="94">
        <f t="shared" si="106"/>
        <v>36</v>
      </c>
      <c r="S369" s="94" t="str">
        <f>VLOOKUP(O369,'Lookup Values'!$I$2:$L$8,4,TRUE)</f>
        <v>Late Evening</v>
      </c>
      <c r="T369" t="s">
        <v>158</v>
      </c>
      <c r="U369" t="s">
        <v>160</v>
      </c>
      <c r="V369" t="str">
        <f t="shared" si="107"/>
        <v>Income: Freelance Project</v>
      </c>
      <c r="W369" t="s">
        <v>163</v>
      </c>
      <c r="X369" t="s">
        <v>88</v>
      </c>
      <c r="Y369" s="1">
        <v>376</v>
      </c>
      <c r="Z369" s="1" t="str">
        <f t="shared" si="108"/>
        <v>Income: $376.00</v>
      </c>
      <c r="AA369" s="1">
        <f>IF(Y369="","",ROUND(Y369*'Lookup Values'!$A$2,2))</f>
        <v>33.369999999999997</v>
      </c>
      <c r="AB369" s="12" t="str">
        <f t="shared" si="109"/>
        <v>Income</v>
      </c>
      <c r="AC369" s="2" t="s">
        <v>503</v>
      </c>
      <c r="AD369" s="3">
        <f t="shared" si="110"/>
        <v>39718</v>
      </c>
      <c r="AE369" s="93" t="str">
        <f t="shared" si="111"/>
        <v>NO</v>
      </c>
      <c r="AF369" s="2" t="str">
        <f t="shared" si="112"/>
        <v>NO</v>
      </c>
      <c r="AG369" t="str">
        <f t="shared" si="113"/>
        <v>Late Transaction</v>
      </c>
    </row>
    <row r="370" spans="1:33" x14ac:dyDescent="0.25">
      <c r="A370" s="2">
        <v>369</v>
      </c>
      <c r="B370" s="3" t="str">
        <f t="shared" si="95"/>
        <v>120712-TR-MTA</v>
      </c>
      <c r="C370" s="3">
        <v>41102</v>
      </c>
      <c r="D370" s="3">
        <f t="shared" si="97"/>
        <v>41116</v>
      </c>
      <c r="E370" s="3">
        <f t="shared" si="98"/>
        <v>41164</v>
      </c>
      <c r="F370" s="3">
        <f t="shared" si="99"/>
        <v>41121</v>
      </c>
      <c r="G370" s="76">
        <f t="shared" si="100"/>
        <v>2012</v>
      </c>
      <c r="H370" s="76">
        <f t="shared" si="101"/>
        <v>7</v>
      </c>
      <c r="I370" s="76" t="str">
        <f>VLOOKUP(H370,'Lookup Values'!$C$2:$D$13,2,FALSE)</f>
        <v>JUL</v>
      </c>
      <c r="J370" s="76">
        <f t="shared" si="102"/>
        <v>12</v>
      </c>
      <c r="K370" s="76">
        <f t="shared" si="103"/>
        <v>5</v>
      </c>
      <c r="L370" s="76" t="str">
        <f>VLOOKUP(K370,'Lookup Values'!$F$2:$G$8,2,FALSE)</f>
        <v>Thursday</v>
      </c>
      <c r="M370" s="3">
        <v>41109</v>
      </c>
      <c r="N370" s="78">
        <f t="shared" si="96"/>
        <v>7</v>
      </c>
      <c r="O370" s="11">
        <v>0.1421213343576645</v>
      </c>
      <c r="P370" s="94">
        <f t="shared" si="104"/>
        <v>3</v>
      </c>
      <c r="Q370" s="94">
        <f t="shared" si="105"/>
        <v>24</v>
      </c>
      <c r="R370" s="94">
        <f t="shared" si="106"/>
        <v>39</v>
      </c>
      <c r="S370" s="94" t="str">
        <f>VLOOKUP(O370,'Lookup Values'!$I$2:$L$8,4,TRUE)</f>
        <v>Dead of Night</v>
      </c>
      <c r="T370" t="s">
        <v>95</v>
      </c>
      <c r="U370" t="s">
        <v>96</v>
      </c>
      <c r="V370" t="str">
        <f t="shared" si="107"/>
        <v>Transportation: Subway</v>
      </c>
      <c r="W370" t="s">
        <v>94</v>
      </c>
      <c r="X370" t="s">
        <v>78</v>
      </c>
      <c r="Y370" s="1">
        <v>25</v>
      </c>
      <c r="Z370" s="1" t="str">
        <f t="shared" si="108"/>
        <v>Transportation: $25.00</v>
      </c>
      <c r="AA370" s="1">
        <f>IF(Y370="","",ROUND(Y370*'Lookup Values'!$A$2,2))</f>
        <v>2.2200000000000002</v>
      </c>
      <c r="AB370" s="12" t="str">
        <f t="shared" si="109"/>
        <v>Expense</v>
      </c>
      <c r="AC370" s="2" t="s">
        <v>504</v>
      </c>
      <c r="AD370" s="3">
        <f t="shared" si="110"/>
        <v>41102</v>
      </c>
      <c r="AE370" s="93" t="str">
        <f t="shared" si="111"/>
        <v>YES</v>
      </c>
      <c r="AF370" s="2" t="str">
        <f t="shared" si="112"/>
        <v>NO</v>
      </c>
      <c r="AG370" t="str">
        <f t="shared" si="113"/>
        <v>CRAP Transaction</v>
      </c>
    </row>
    <row r="371" spans="1:33" x14ac:dyDescent="0.25">
      <c r="A371" s="2">
        <v>370</v>
      </c>
      <c r="B371" s="3" t="str">
        <f t="shared" si="95"/>
        <v>120512-HE-FRE</v>
      </c>
      <c r="C371" s="3">
        <v>41041</v>
      </c>
      <c r="D371" s="3">
        <f t="shared" si="97"/>
        <v>41054</v>
      </c>
      <c r="E371" s="3">
        <f t="shared" si="98"/>
        <v>41102</v>
      </c>
      <c r="F371" s="3">
        <f t="shared" si="99"/>
        <v>41060</v>
      </c>
      <c r="G371" s="76">
        <f t="shared" si="100"/>
        <v>2012</v>
      </c>
      <c r="H371" s="76">
        <f t="shared" si="101"/>
        <v>5</v>
      </c>
      <c r="I371" s="76" t="str">
        <f>VLOOKUP(H371,'Lookup Values'!$C$2:$D$13,2,FALSE)</f>
        <v>MAY</v>
      </c>
      <c r="J371" s="76">
        <f t="shared" si="102"/>
        <v>12</v>
      </c>
      <c r="K371" s="76">
        <f t="shared" si="103"/>
        <v>7</v>
      </c>
      <c r="L371" s="76" t="str">
        <f>VLOOKUP(K371,'Lookup Values'!$F$2:$G$8,2,FALSE)</f>
        <v>Saturday</v>
      </c>
      <c r="M371" s="3">
        <v>41046</v>
      </c>
      <c r="N371" s="78">
        <f t="shared" si="96"/>
        <v>5</v>
      </c>
      <c r="O371" s="11">
        <v>0.43869130646870658</v>
      </c>
      <c r="P371" s="94">
        <f t="shared" si="104"/>
        <v>10</v>
      </c>
      <c r="Q371" s="94">
        <f t="shared" si="105"/>
        <v>31</v>
      </c>
      <c r="R371" s="94">
        <f t="shared" si="106"/>
        <v>43</v>
      </c>
      <c r="S371" s="94" t="str">
        <f>VLOOKUP(O371,'Lookup Values'!$I$2:$L$8,4,TRUE)</f>
        <v>Late Morning</v>
      </c>
      <c r="T371" t="s">
        <v>107</v>
      </c>
      <c r="U371" t="s">
        <v>108</v>
      </c>
      <c r="V371" t="str">
        <f t="shared" si="107"/>
        <v>Health: Insurance Premium</v>
      </c>
      <c r="W371" t="s">
        <v>106</v>
      </c>
      <c r="X371" t="s">
        <v>78</v>
      </c>
      <c r="Y371" s="1">
        <v>278</v>
      </c>
      <c r="Z371" s="1" t="str">
        <f t="shared" si="108"/>
        <v>Health: $278.00</v>
      </c>
      <c r="AA371" s="1">
        <f>IF(Y371="","",ROUND(Y371*'Lookup Values'!$A$2,2))</f>
        <v>24.67</v>
      </c>
      <c r="AB371" s="12" t="str">
        <f t="shared" si="109"/>
        <v>Expense</v>
      </c>
      <c r="AC371" s="2" t="s">
        <v>505</v>
      </c>
      <c r="AD371" s="3">
        <f t="shared" si="110"/>
        <v>41041</v>
      </c>
      <c r="AE371" s="93" t="str">
        <f t="shared" si="111"/>
        <v>NO</v>
      </c>
      <c r="AF371" s="2" t="str">
        <f t="shared" si="112"/>
        <v>NO</v>
      </c>
      <c r="AG371" t="str">
        <f t="shared" si="113"/>
        <v>CRAP Transaction</v>
      </c>
    </row>
    <row r="372" spans="1:33" x14ac:dyDescent="0.25">
      <c r="A372" s="2">
        <v>371</v>
      </c>
      <c r="B372" s="3" t="str">
        <f t="shared" si="95"/>
        <v>091208-IN-AUN</v>
      </c>
      <c r="C372" s="3">
        <v>40155</v>
      </c>
      <c r="D372" s="3">
        <f t="shared" si="97"/>
        <v>40169</v>
      </c>
      <c r="E372" s="3">
        <f t="shared" si="98"/>
        <v>40217</v>
      </c>
      <c r="F372" s="3">
        <f t="shared" si="99"/>
        <v>40178</v>
      </c>
      <c r="G372" s="76">
        <f t="shared" si="100"/>
        <v>2009</v>
      </c>
      <c r="H372" s="76">
        <f t="shared" si="101"/>
        <v>12</v>
      </c>
      <c r="I372" s="76" t="str">
        <f>VLOOKUP(H372,'Lookup Values'!$C$2:$D$13,2,FALSE)</f>
        <v>DEC</v>
      </c>
      <c r="J372" s="76">
        <f t="shared" si="102"/>
        <v>8</v>
      </c>
      <c r="K372" s="76">
        <f t="shared" si="103"/>
        <v>3</v>
      </c>
      <c r="L372" s="76" t="str">
        <f>VLOOKUP(K372,'Lookup Values'!$F$2:$G$8,2,FALSE)</f>
        <v>Tuesday</v>
      </c>
      <c r="M372" s="3">
        <v>40161</v>
      </c>
      <c r="N372" s="78">
        <f t="shared" si="96"/>
        <v>6</v>
      </c>
      <c r="O372" s="11">
        <v>0.35544535749123285</v>
      </c>
      <c r="P372" s="94">
        <f t="shared" si="104"/>
        <v>8</v>
      </c>
      <c r="Q372" s="94">
        <f t="shared" si="105"/>
        <v>31</v>
      </c>
      <c r="R372" s="94">
        <f t="shared" si="106"/>
        <v>50</v>
      </c>
      <c r="S372" s="94" t="str">
        <f>VLOOKUP(O372,'Lookup Values'!$I$2:$L$8,4,TRUE)</f>
        <v>Morning</v>
      </c>
      <c r="T372" t="s">
        <v>158</v>
      </c>
      <c r="U372" t="s">
        <v>161</v>
      </c>
      <c r="V372" t="str">
        <f t="shared" si="107"/>
        <v>Income: Gift Received</v>
      </c>
      <c r="W372" t="s">
        <v>164</v>
      </c>
      <c r="X372" t="s">
        <v>78</v>
      </c>
      <c r="Y372" s="1">
        <v>125</v>
      </c>
      <c r="Z372" s="1" t="str">
        <f t="shared" si="108"/>
        <v>Income: $125.00</v>
      </c>
      <c r="AA372" s="1">
        <f>IF(Y372="","",ROUND(Y372*'Lookup Values'!$A$2,2))</f>
        <v>11.09</v>
      </c>
      <c r="AB372" s="12" t="str">
        <f t="shared" si="109"/>
        <v>Income</v>
      </c>
      <c r="AC372" s="2" t="s">
        <v>199</v>
      </c>
      <c r="AD372" s="3">
        <f t="shared" si="110"/>
        <v>40155</v>
      </c>
      <c r="AE372" s="93" t="str">
        <f t="shared" si="111"/>
        <v>NO</v>
      </c>
      <c r="AF372" s="2" t="str">
        <f t="shared" si="112"/>
        <v>NO</v>
      </c>
      <c r="AG372" t="str">
        <f t="shared" si="113"/>
        <v>Late Transaction</v>
      </c>
    </row>
    <row r="373" spans="1:33" x14ac:dyDescent="0.25">
      <c r="A373" s="2">
        <v>372</v>
      </c>
      <c r="B373" s="3" t="str">
        <f t="shared" si="95"/>
        <v>120425-HE-FRE</v>
      </c>
      <c r="C373" s="3">
        <v>41024</v>
      </c>
      <c r="D373" s="3">
        <f t="shared" si="97"/>
        <v>41038</v>
      </c>
      <c r="E373" s="3">
        <f t="shared" si="98"/>
        <v>41085</v>
      </c>
      <c r="F373" s="3">
        <f t="shared" si="99"/>
        <v>41029</v>
      </c>
      <c r="G373" s="76">
        <f t="shared" si="100"/>
        <v>2012</v>
      </c>
      <c r="H373" s="76">
        <f t="shared" si="101"/>
        <v>4</v>
      </c>
      <c r="I373" s="76" t="str">
        <f>VLOOKUP(H373,'Lookup Values'!$C$2:$D$13,2,FALSE)</f>
        <v>APR</v>
      </c>
      <c r="J373" s="76">
        <f t="shared" si="102"/>
        <v>25</v>
      </c>
      <c r="K373" s="76">
        <f t="shared" si="103"/>
        <v>4</v>
      </c>
      <c r="L373" s="76" t="str">
        <f>VLOOKUP(K373,'Lookup Values'!$F$2:$G$8,2,FALSE)</f>
        <v>Wednesday</v>
      </c>
      <c r="M373" s="3">
        <v>41031</v>
      </c>
      <c r="N373" s="78">
        <f t="shared" si="96"/>
        <v>7</v>
      </c>
      <c r="O373" s="11">
        <v>0.34647214443760854</v>
      </c>
      <c r="P373" s="94">
        <f t="shared" si="104"/>
        <v>8</v>
      </c>
      <c r="Q373" s="94">
        <f t="shared" si="105"/>
        <v>18</v>
      </c>
      <c r="R373" s="94">
        <f t="shared" si="106"/>
        <v>55</v>
      </c>
      <c r="S373" s="94" t="str">
        <f>VLOOKUP(O373,'Lookup Values'!$I$2:$L$8,4,TRUE)</f>
        <v>Morning</v>
      </c>
      <c r="T373" t="s">
        <v>107</v>
      </c>
      <c r="U373" t="s">
        <v>108</v>
      </c>
      <c r="V373" t="str">
        <f t="shared" si="107"/>
        <v>Health: Insurance Premium</v>
      </c>
      <c r="W373" t="s">
        <v>106</v>
      </c>
      <c r="X373" t="s">
        <v>91</v>
      </c>
      <c r="Y373" s="1">
        <v>362</v>
      </c>
      <c r="Z373" s="1" t="str">
        <f t="shared" si="108"/>
        <v>Health: $362.00</v>
      </c>
      <c r="AA373" s="1">
        <f>IF(Y373="","",ROUND(Y373*'Lookup Values'!$A$2,2))</f>
        <v>32.130000000000003</v>
      </c>
      <c r="AB373" s="12" t="str">
        <f t="shared" si="109"/>
        <v>Expense</v>
      </c>
      <c r="AC373" s="2" t="s">
        <v>506</v>
      </c>
      <c r="AD373" s="3">
        <f t="shared" si="110"/>
        <v>41024</v>
      </c>
      <c r="AE373" s="93" t="str">
        <f t="shared" si="111"/>
        <v>NO</v>
      </c>
      <c r="AF373" s="2" t="str">
        <f t="shared" si="112"/>
        <v>NO</v>
      </c>
      <c r="AG373" t="str">
        <f t="shared" si="113"/>
        <v>CRAP Transaction</v>
      </c>
    </row>
    <row r="374" spans="1:33" x14ac:dyDescent="0.25">
      <c r="A374" s="2">
        <v>373</v>
      </c>
      <c r="B374" s="3" t="str">
        <f t="shared" si="95"/>
        <v>100223-FO-CIT</v>
      </c>
      <c r="C374" s="3">
        <v>40232</v>
      </c>
      <c r="D374" s="3">
        <f t="shared" si="97"/>
        <v>40246</v>
      </c>
      <c r="E374" s="3">
        <f t="shared" si="98"/>
        <v>40291</v>
      </c>
      <c r="F374" s="3">
        <f t="shared" si="99"/>
        <v>40237</v>
      </c>
      <c r="G374" s="76">
        <f t="shared" si="100"/>
        <v>2010</v>
      </c>
      <c r="H374" s="76">
        <f t="shared" si="101"/>
        <v>2</v>
      </c>
      <c r="I374" s="76" t="str">
        <f>VLOOKUP(H374,'Lookup Values'!$C$2:$D$13,2,FALSE)</f>
        <v>FEB</v>
      </c>
      <c r="J374" s="76">
        <f t="shared" si="102"/>
        <v>23</v>
      </c>
      <c r="K374" s="76">
        <f t="shared" si="103"/>
        <v>3</v>
      </c>
      <c r="L374" s="76" t="str">
        <f>VLOOKUP(K374,'Lookup Values'!$F$2:$G$8,2,FALSE)</f>
        <v>Tuesday</v>
      </c>
      <c r="M374" s="3">
        <v>40233</v>
      </c>
      <c r="N374" s="78">
        <f t="shared" si="96"/>
        <v>1</v>
      </c>
      <c r="O374" s="11">
        <v>6.5369964132355296E-2</v>
      </c>
      <c r="P374" s="94">
        <f t="shared" si="104"/>
        <v>1</v>
      </c>
      <c r="Q374" s="94">
        <f t="shared" si="105"/>
        <v>34</v>
      </c>
      <c r="R374" s="94">
        <f t="shared" si="106"/>
        <v>8</v>
      </c>
      <c r="S374" s="94" t="str">
        <f>VLOOKUP(O374,'Lookup Values'!$I$2:$L$8,4,TRUE)</f>
        <v>Dead of Night</v>
      </c>
      <c r="T374" t="s">
        <v>80</v>
      </c>
      <c r="U374" t="s">
        <v>105</v>
      </c>
      <c r="V374" t="str">
        <f t="shared" si="107"/>
        <v>Food: Coffee</v>
      </c>
      <c r="W374" t="s">
        <v>104</v>
      </c>
      <c r="X374" t="s">
        <v>91</v>
      </c>
      <c r="Y374" s="1">
        <v>351</v>
      </c>
      <c r="Z374" s="1" t="str">
        <f t="shared" si="108"/>
        <v>Food: $351.00</v>
      </c>
      <c r="AA374" s="1">
        <f>IF(Y374="","",ROUND(Y374*'Lookup Values'!$A$2,2))</f>
        <v>31.15</v>
      </c>
      <c r="AB374" s="12" t="str">
        <f t="shared" si="109"/>
        <v>Expense</v>
      </c>
      <c r="AC374" s="2" t="s">
        <v>271</v>
      </c>
      <c r="AD374" s="3">
        <f t="shared" si="110"/>
        <v>40232</v>
      </c>
      <c r="AE374" s="93" t="str">
        <f t="shared" si="111"/>
        <v>NO</v>
      </c>
      <c r="AF374" s="2" t="str">
        <f t="shared" si="112"/>
        <v>NO</v>
      </c>
      <c r="AG374" t="str">
        <f t="shared" si="113"/>
        <v>Late Transaction</v>
      </c>
    </row>
    <row r="375" spans="1:33" x14ac:dyDescent="0.25">
      <c r="A375" s="2">
        <v>374</v>
      </c>
      <c r="B375" s="3" t="str">
        <f t="shared" si="95"/>
        <v>100716-FO-CIT</v>
      </c>
      <c r="C375" s="3">
        <v>40375</v>
      </c>
      <c r="D375" s="3">
        <f t="shared" si="97"/>
        <v>40389</v>
      </c>
      <c r="E375" s="3">
        <f t="shared" si="98"/>
        <v>40437</v>
      </c>
      <c r="F375" s="3">
        <f t="shared" si="99"/>
        <v>40390</v>
      </c>
      <c r="G375" s="76">
        <f t="shared" si="100"/>
        <v>2010</v>
      </c>
      <c r="H375" s="76">
        <f t="shared" si="101"/>
        <v>7</v>
      </c>
      <c r="I375" s="76" t="str">
        <f>VLOOKUP(H375,'Lookup Values'!$C$2:$D$13,2,FALSE)</f>
        <v>JUL</v>
      </c>
      <c r="J375" s="76">
        <f t="shared" si="102"/>
        <v>16</v>
      </c>
      <c r="K375" s="76">
        <f t="shared" si="103"/>
        <v>6</v>
      </c>
      <c r="L375" s="76" t="str">
        <f>VLOOKUP(K375,'Lookup Values'!$F$2:$G$8,2,FALSE)</f>
        <v>Friday</v>
      </c>
      <c r="M375" s="3">
        <v>40377</v>
      </c>
      <c r="N375" s="78">
        <f t="shared" si="96"/>
        <v>2</v>
      </c>
      <c r="O375" s="11">
        <v>0.9811848448797994</v>
      </c>
      <c r="P375" s="94">
        <f t="shared" si="104"/>
        <v>23</v>
      </c>
      <c r="Q375" s="94">
        <f t="shared" si="105"/>
        <v>32</v>
      </c>
      <c r="R375" s="94">
        <f t="shared" si="106"/>
        <v>54</v>
      </c>
      <c r="S375" s="94" t="str">
        <f>VLOOKUP(O375,'Lookup Values'!$I$2:$L$8,4,TRUE)</f>
        <v>Late Evening</v>
      </c>
      <c r="T375" t="s">
        <v>80</v>
      </c>
      <c r="U375" t="s">
        <v>105</v>
      </c>
      <c r="V375" t="str">
        <f t="shared" si="107"/>
        <v>Food: Coffee</v>
      </c>
      <c r="W375" t="s">
        <v>104</v>
      </c>
      <c r="X375" t="s">
        <v>91</v>
      </c>
      <c r="Y375" s="1">
        <v>282</v>
      </c>
      <c r="Z375" s="1" t="str">
        <f t="shared" si="108"/>
        <v>Food: $282.00</v>
      </c>
      <c r="AA375" s="1">
        <f>IF(Y375="","",ROUND(Y375*'Lookup Values'!$A$2,2))</f>
        <v>25.03</v>
      </c>
      <c r="AB375" s="12" t="str">
        <f t="shared" si="109"/>
        <v>Expense</v>
      </c>
      <c r="AC375" s="2" t="s">
        <v>507</v>
      </c>
      <c r="AD375" s="3">
        <f t="shared" si="110"/>
        <v>40375</v>
      </c>
      <c r="AE375" s="93" t="str">
        <f t="shared" si="111"/>
        <v>NO</v>
      </c>
      <c r="AF375" s="2" t="str">
        <f t="shared" si="112"/>
        <v>NO</v>
      </c>
      <c r="AG375" t="str">
        <f t="shared" si="113"/>
        <v>Late Transaction</v>
      </c>
    </row>
    <row r="376" spans="1:33" x14ac:dyDescent="0.25">
      <c r="A376" s="2">
        <v>375</v>
      </c>
      <c r="B376" s="3" t="str">
        <f t="shared" si="95"/>
        <v>080213-ED-ANT</v>
      </c>
      <c r="C376" s="3">
        <v>39491</v>
      </c>
      <c r="D376" s="3">
        <f t="shared" si="97"/>
        <v>39505</v>
      </c>
      <c r="E376" s="3">
        <f t="shared" si="98"/>
        <v>39551</v>
      </c>
      <c r="F376" s="3">
        <f t="shared" si="99"/>
        <v>39507</v>
      </c>
      <c r="G376" s="76">
        <f t="shared" si="100"/>
        <v>2008</v>
      </c>
      <c r="H376" s="76">
        <f t="shared" si="101"/>
        <v>2</v>
      </c>
      <c r="I376" s="76" t="str">
        <f>VLOOKUP(H376,'Lookup Values'!$C$2:$D$13,2,FALSE)</f>
        <v>FEB</v>
      </c>
      <c r="J376" s="76">
        <f t="shared" si="102"/>
        <v>13</v>
      </c>
      <c r="K376" s="76">
        <f t="shared" si="103"/>
        <v>4</v>
      </c>
      <c r="L376" s="76" t="str">
        <f>VLOOKUP(K376,'Lookup Values'!$F$2:$G$8,2,FALSE)</f>
        <v>Wednesday</v>
      </c>
      <c r="M376" s="3">
        <v>39493</v>
      </c>
      <c r="N376" s="78">
        <f t="shared" si="96"/>
        <v>2</v>
      </c>
      <c r="O376" s="11">
        <v>0.76506100116419795</v>
      </c>
      <c r="P376" s="94">
        <f t="shared" si="104"/>
        <v>18</v>
      </c>
      <c r="Q376" s="94">
        <f t="shared" si="105"/>
        <v>21</v>
      </c>
      <c r="R376" s="94">
        <f t="shared" si="106"/>
        <v>41</v>
      </c>
      <c r="S376" s="94" t="str">
        <f>VLOOKUP(O376,'Lookup Values'!$I$2:$L$8,4,TRUE)</f>
        <v>Evening</v>
      </c>
      <c r="T376" t="s">
        <v>86</v>
      </c>
      <c r="U376" t="s">
        <v>87</v>
      </c>
      <c r="V376" t="str">
        <f t="shared" si="107"/>
        <v>Education: Tango Lessons</v>
      </c>
      <c r="W376" t="s">
        <v>85</v>
      </c>
      <c r="X376" t="s">
        <v>88</v>
      </c>
      <c r="Y376" s="1">
        <v>310</v>
      </c>
      <c r="Z376" s="1" t="str">
        <f t="shared" si="108"/>
        <v>Education: $310.00</v>
      </c>
      <c r="AA376" s="1">
        <f>IF(Y376="","",ROUND(Y376*'Lookup Values'!$A$2,2))</f>
        <v>27.51</v>
      </c>
      <c r="AB376" s="12" t="str">
        <f t="shared" si="109"/>
        <v>Expense</v>
      </c>
      <c r="AC376" s="2" t="s">
        <v>508</v>
      </c>
      <c r="AD376" s="3">
        <f t="shared" si="110"/>
        <v>39491</v>
      </c>
      <c r="AE376" s="93" t="str">
        <f t="shared" si="111"/>
        <v>NO</v>
      </c>
      <c r="AF376" s="2" t="str">
        <f t="shared" si="112"/>
        <v>NO</v>
      </c>
      <c r="AG376" t="str">
        <f t="shared" si="113"/>
        <v>Late Transaction</v>
      </c>
    </row>
    <row r="377" spans="1:33" x14ac:dyDescent="0.25">
      <c r="A377" s="2">
        <v>376</v>
      </c>
      <c r="B377" s="3" t="str">
        <f t="shared" si="95"/>
        <v>111025-BI-CON</v>
      </c>
      <c r="C377" s="3">
        <v>40841</v>
      </c>
      <c r="D377" s="3">
        <f t="shared" si="97"/>
        <v>40855</v>
      </c>
      <c r="E377" s="3">
        <f t="shared" si="98"/>
        <v>40902</v>
      </c>
      <c r="F377" s="3">
        <f t="shared" si="99"/>
        <v>40847</v>
      </c>
      <c r="G377" s="76">
        <f t="shared" si="100"/>
        <v>2011</v>
      </c>
      <c r="H377" s="76">
        <f t="shared" si="101"/>
        <v>10</v>
      </c>
      <c r="I377" s="76" t="str">
        <f>VLOOKUP(H377,'Lookup Values'!$C$2:$D$13,2,FALSE)</f>
        <v>OCT</v>
      </c>
      <c r="J377" s="76">
        <f t="shared" si="102"/>
        <v>25</v>
      </c>
      <c r="K377" s="76">
        <f t="shared" si="103"/>
        <v>3</v>
      </c>
      <c r="L377" s="76" t="str">
        <f>VLOOKUP(K377,'Lookup Values'!$F$2:$G$8,2,FALSE)</f>
        <v>Tuesday</v>
      </c>
      <c r="M377" s="3">
        <v>40847</v>
      </c>
      <c r="N377" s="78">
        <f t="shared" si="96"/>
        <v>6</v>
      </c>
      <c r="O377" s="11">
        <v>0.82553714275542134</v>
      </c>
      <c r="P377" s="94">
        <f t="shared" si="104"/>
        <v>19</v>
      </c>
      <c r="Q377" s="94">
        <f t="shared" si="105"/>
        <v>48</v>
      </c>
      <c r="R377" s="94">
        <f t="shared" si="106"/>
        <v>46</v>
      </c>
      <c r="S377" s="94" t="str">
        <f>VLOOKUP(O377,'Lookup Values'!$I$2:$L$8,4,TRUE)</f>
        <v>Evening</v>
      </c>
      <c r="T377" t="s">
        <v>110</v>
      </c>
      <c r="U377" t="s">
        <v>111</v>
      </c>
      <c r="V377" t="str">
        <f t="shared" si="107"/>
        <v>Bills: Utilities</v>
      </c>
      <c r="W377" t="s">
        <v>109</v>
      </c>
      <c r="X377" t="s">
        <v>91</v>
      </c>
      <c r="Y377" s="1">
        <v>384</v>
      </c>
      <c r="Z377" s="1" t="str">
        <f t="shared" si="108"/>
        <v>Bills: $384.00</v>
      </c>
      <c r="AA377" s="1">
        <f>IF(Y377="","",ROUND(Y377*'Lookup Values'!$A$2,2))</f>
        <v>34.08</v>
      </c>
      <c r="AB377" s="12" t="str">
        <f t="shared" si="109"/>
        <v>Expense</v>
      </c>
      <c r="AC377" s="2" t="s">
        <v>509</v>
      </c>
      <c r="AD377" s="3">
        <f t="shared" si="110"/>
        <v>40841</v>
      </c>
      <c r="AE377" s="93" t="str">
        <f t="shared" si="111"/>
        <v>NO</v>
      </c>
      <c r="AF377" s="2" t="str">
        <f t="shared" si="112"/>
        <v>NO</v>
      </c>
      <c r="AG377" t="str">
        <f t="shared" si="113"/>
        <v>CRAP Transaction</v>
      </c>
    </row>
    <row r="378" spans="1:33" x14ac:dyDescent="0.25">
      <c r="A378" s="2">
        <v>377</v>
      </c>
      <c r="B378" s="3" t="str">
        <f t="shared" si="95"/>
        <v>091229-SH-EXP</v>
      </c>
      <c r="C378" s="3">
        <v>40176</v>
      </c>
      <c r="D378" s="3">
        <f t="shared" si="97"/>
        <v>40190</v>
      </c>
      <c r="E378" s="3">
        <f t="shared" si="98"/>
        <v>40237</v>
      </c>
      <c r="F378" s="3">
        <f t="shared" si="99"/>
        <v>40178</v>
      </c>
      <c r="G378" s="76">
        <f t="shared" si="100"/>
        <v>2009</v>
      </c>
      <c r="H378" s="76">
        <f t="shared" si="101"/>
        <v>12</v>
      </c>
      <c r="I378" s="76" t="str">
        <f>VLOOKUP(H378,'Lookup Values'!$C$2:$D$13,2,FALSE)</f>
        <v>DEC</v>
      </c>
      <c r="J378" s="76">
        <f t="shared" si="102"/>
        <v>29</v>
      </c>
      <c r="K378" s="76">
        <f t="shared" si="103"/>
        <v>3</v>
      </c>
      <c r="L378" s="76" t="str">
        <f>VLOOKUP(K378,'Lookup Values'!$F$2:$G$8,2,FALSE)</f>
        <v>Tuesday</v>
      </c>
      <c r="M378" s="3">
        <v>40178</v>
      </c>
      <c r="N378" s="78">
        <f t="shared" si="96"/>
        <v>2</v>
      </c>
      <c r="O378" s="11">
        <v>0.60214375352248728</v>
      </c>
      <c r="P378" s="94">
        <f t="shared" si="104"/>
        <v>14</v>
      </c>
      <c r="Q378" s="94">
        <f t="shared" si="105"/>
        <v>27</v>
      </c>
      <c r="R378" s="94">
        <f t="shared" si="106"/>
        <v>5</v>
      </c>
      <c r="S378" s="94" t="str">
        <f>VLOOKUP(O378,'Lookup Values'!$I$2:$L$8,4,TRUE)</f>
        <v>Afternoon</v>
      </c>
      <c r="T378" t="s">
        <v>83</v>
      </c>
      <c r="U378" t="s">
        <v>103</v>
      </c>
      <c r="V378" t="str">
        <f t="shared" si="107"/>
        <v>Shopping: Clothing</v>
      </c>
      <c r="W378" t="s">
        <v>102</v>
      </c>
      <c r="X378" t="s">
        <v>88</v>
      </c>
      <c r="Y378" s="1">
        <v>412</v>
      </c>
      <c r="Z378" s="1" t="str">
        <f t="shared" si="108"/>
        <v>Shopping: $412.00</v>
      </c>
      <c r="AA378" s="1">
        <f>IF(Y378="","",ROUND(Y378*'Lookup Values'!$A$2,2))</f>
        <v>36.57</v>
      </c>
      <c r="AB378" s="12" t="str">
        <f t="shared" si="109"/>
        <v>Expense</v>
      </c>
      <c r="AC378" s="2" t="s">
        <v>310</v>
      </c>
      <c r="AD378" s="3">
        <f t="shared" si="110"/>
        <v>40176</v>
      </c>
      <c r="AE378" s="93" t="str">
        <f t="shared" si="111"/>
        <v>NO</v>
      </c>
      <c r="AF378" s="2" t="str">
        <f t="shared" si="112"/>
        <v>NO</v>
      </c>
      <c r="AG378" t="str">
        <f t="shared" si="113"/>
        <v>Awesome Transaction</v>
      </c>
    </row>
    <row r="379" spans="1:33" x14ac:dyDescent="0.25">
      <c r="A379" s="2">
        <v>378</v>
      </c>
      <c r="B379" s="3" t="str">
        <f t="shared" si="95"/>
        <v>120623-SH-AMA</v>
      </c>
      <c r="C379" s="3">
        <v>41083</v>
      </c>
      <c r="D379" s="3">
        <f t="shared" si="97"/>
        <v>41096</v>
      </c>
      <c r="E379" s="3">
        <f t="shared" si="98"/>
        <v>41144</v>
      </c>
      <c r="F379" s="3">
        <f t="shared" si="99"/>
        <v>41090</v>
      </c>
      <c r="G379" s="76">
        <f t="shared" si="100"/>
        <v>2012</v>
      </c>
      <c r="H379" s="76">
        <f t="shared" si="101"/>
        <v>6</v>
      </c>
      <c r="I379" s="76" t="str">
        <f>VLOOKUP(H379,'Lookup Values'!$C$2:$D$13,2,FALSE)</f>
        <v>JUN</v>
      </c>
      <c r="J379" s="76">
        <f t="shared" si="102"/>
        <v>23</v>
      </c>
      <c r="K379" s="76">
        <f t="shared" si="103"/>
        <v>7</v>
      </c>
      <c r="L379" s="76" t="str">
        <f>VLOOKUP(K379,'Lookup Values'!$F$2:$G$8,2,FALSE)</f>
        <v>Saturday</v>
      </c>
      <c r="M379" s="3">
        <v>41092</v>
      </c>
      <c r="N379" s="78">
        <f t="shared" si="96"/>
        <v>9</v>
      </c>
      <c r="O379" s="11">
        <v>0.82010024522542202</v>
      </c>
      <c r="P379" s="94">
        <f t="shared" si="104"/>
        <v>19</v>
      </c>
      <c r="Q379" s="94">
        <f t="shared" si="105"/>
        <v>40</v>
      </c>
      <c r="R379" s="94">
        <f t="shared" si="106"/>
        <v>57</v>
      </c>
      <c r="S379" s="94" t="str">
        <f>VLOOKUP(O379,'Lookup Values'!$I$2:$L$8,4,TRUE)</f>
        <v>Evening</v>
      </c>
      <c r="T379" t="s">
        <v>83</v>
      </c>
      <c r="U379" t="s">
        <v>84</v>
      </c>
      <c r="V379" t="str">
        <f t="shared" si="107"/>
        <v>Shopping: Electronics</v>
      </c>
      <c r="W379" t="s">
        <v>82</v>
      </c>
      <c r="X379" t="s">
        <v>78</v>
      </c>
      <c r="Y379" s="1">
        <v>304</v>
      </c>
      <c r="Z379" s="1" t="str">
        <f t="shared" si="108"/>
        <v>Shopping: $304.00</v>
      </c>
      <c r="AA379" s="1">
        <f>IF(Y379="","",ROUND(Y379*'Lookup Values'!$A$2,2))</f>
        <v>26.98</v>
      </c>
      <c r="AB379" s="12" t="str">
        <f t="shared" si="109"/>
        <v>Expense</v>
      </c>
      <c r="AC379" s="2" t="s">
        <v>510</v>
      </c>
      <c r="AD379" s="3">
        <f t="shared" si="110"/>
        <v>41083</v>
      </c>
      <c r="AE379" s="93" t="str">
        <f t="shared" si="111"/>
        <v>YES</v>
      </c>
      <c r="AF379" s="2" t="str">
        <f t="shared" si="112"/>
        <v>NO</v>
      </c>
      <c r="AG379" t="str">
        <f t="shared" si="113"/>
        <v>CRAP Transaction</v>
      </c>
    </row>
    <row r="380" spans="1:33" x14ac:dyDescent="0.25">
      <c r="A380" s="2">
        <v>379</v>
      </c>
      <c r="B380" s="3" t="str">
        <f t="shared" si="95"/>
        <v>091107-IN-EZE</v>
      </c>
      <c r="C380" s="3">
        <v>40124</v>
      </c>
      <c r="D380" s="3">
        <f t="shared" si="97"/>
        <v>40137</v>
      </c>
      <c r="E380" s="3">
        <f t="shared" si="98"/>
        <v>40185</v>
      </c>
      <c r="F380" s="3">
        <f t="shared" si="99"/>
        <v>40147</v>
      </c>
      <c r="G380" s="76">
        <f t="shared" si="100"/>
        <v>2009</v>
      </c>
      <c r="H380" s="76">
        <f t="shared" si="101"/>
        <v>11</v>
      </c>
      <c r="I380" s="76" t="str">
        <f>VLOOKUP(H380,'Lookup Values'!$C$2:$D$13,2,FALSE)</f>
        <v>NOV</v>
      </c>
      <c r="J380" s="76">
        <f t="shared" si="102"/>
        <v>7</v>
      </c>
      <c r="K380" s="76">
        <f t="shared" si="103"/>
        <v>7</v>
      </c>
      <c r="L380" s="76" t="str">
        <f>VLOOKUP(K380,'Lookup Values'!$F$2:$G$8,2,FALSE)</f>
        <v>Saturday</v>
      </c>
      <c r="M380" s="3">
        <v>40126</v>
      </c>
      <c r="N380" s="78">
        <f t="shared" si="96"/>
        <v>2</v>
      </c>
      <c r="O380" s="11">
        <v>0.96799453991755069</v>
      </c>
      <c r="P380" s="94">
        <f t="shared" si="104"/>
        <v>23</v>
      </c>
      <c r="Q380" s="94">
        <f t="shared" si="105"/>
        <v>13</v>
      </c>
      <c r="R380" s="94">
        <f t="shared" si="106"/>
        <v>55</v>
      </c>
      <c r="S380" s="94" t="str">
        <f>VLOOKUP(O380,'Lookup Values'!$I$2:$L$8,4,TRUE)</f>
        <v>Late Evening</v>
      </c>
      <c r="T380" t="s">
        <v>158</v>
      </c>
      <c r="U380" t="s">
        <v>159</v>
      </c>
      <c r="V380" t="str">
        <f t="shared" si="107"/>
        <v>Income: Salary</v>
      </c>
      <c r="W380" t="s">
        <v>162</v>
      </c>
      <c r="X380" t="s">
        <v>78</v>
      </c>
      <c r="Y380" s="1">
        <v>414</v>
      </c>
      <c r="Z380" s="1" t="str">
        <f t="shared" si="108"/>
        <v>Income: $414.00</v>
      </c>
      <c r="AA380" s="1">
        <f>IF(Y380="","",ROUND(Y380*'Lookup Values'!$A$2,2))</f>
        <v>36.74</v>
      </c>
      <c r="AB380" s="12" t="str">
        <f t="shared" si="109"/>
        <v>Income</v>
      </c>
      <c r="AC380" s="2" t="s">
        <v>511</v>
      </c>
      <c r="AD380" s="3">
        <f t="shared" si="110"/>
        <v>40124</v>
      </c>
      <c r="AE380" s="93" t="str">
        <f t="shared" si="111"/>
        <v>NO</v>
      </c>
      <c r="AF380" s="2" t="str">
        <f t="shared" si="112"/>
        <v>NO</v>
      </c>
      <c r="AG380" t="str">
        <f t="shared" si="113"/>
        <v>Late Transaction</v>
      </c>
    </row>
    <row r="381" spans="1:33" x14ac:dyDescent="0.25">
      <c r="A381" s="2">
        <v>380</v>
      </c>
      <c r="B381" s="3" t="str">
        <f t="shared" si="95"/>
        <v>070303-TR-MTA</v>
      </c>
      <c r="C381" s="3">
        <v>39144</v>
      </c>
      <c r="D381" s="3">
        <f t="shared" si="97"/>
        <v>39157</v>
      </c>
      <c r="E381" s="3">
        <f t="shared" si="98"/>
        <v>39205</v>
      </c>
      <c r="F381" s="3">
        <f t="shared" si="99"/>
        <v>39172</v>
      </c>
      <c r="G381" s="76">
        <f t="shared" si="100"/>
        <v>2007</v>
      </c>
      <c r="H381" s="76">
        <f t="shared" si="101"/>
        <v>3</v>
      </c>
      <c r="I381" s="76" t="str">
        <f>VLOOKUP(H381,'Lookup Values'!$C$2:$D$13,2,FALSE)</f>
        <v>MAR</v>
      </c>
      <c r="J381" s="76">
        <f t="shared" si="102"/>
        <v>3</v>
      </c>
      <c r="K381" s="76">
        <f t="shared" si="103"/>
        <v>7</v>
      </c>
      <c r="L381" s="76" t="str">
        <f>VLOOKUP(K381,'Lookup Values'!$F$2:$G$8,2,FALSE)</f>
        <v>Saturday</v>
      </c>
      <c r="M381" s="3">
        <v>39147</v>
      </c>
      <c r="N381" s="78">
        <f t="shared" si="96"/>
        <v>3</v>
      </c>
      <c r="O381" s="11">
        <v>0.49819130624828434</v>
      </c>
      <c r="P381" s="94">
        <f t="shared" si="104"/>
        <v>11</v>
      </c>
      <c r="Q381" s="94">
        <f t="shared" si="105"/>
        <v>57</v>
      </c>
      <c r="R381" s="94">
        <f t="shared" si="106"/>
        <v>24</v>
      </c>
      <c r="S381" s="94" t="str">
        <f>VLOOKUP(O381,'Lookup Values'!$I$2:$L$8,4,TRUE)</f>
        <v>Late Morning</v>
      </c>
      <c r="T381" t="s">
        <v>95</v>
      </c>
      <c r="U381" t="s">
        <v>96</v>
      </c>
      <c r="V381" t="str">
        <f t="shared" si="107"/>
        <v>Transportation: Subway</v>
      </c>
      <c r="W381" t="s">
        <v>94</v>
      </c>
      <c r="X381" t="s">
        <v>78</v>
      </c>
      <c r="Y381" s="1">
        <v>121</v>
      </c>
      <c r="Z381" s="1" t="str">
        <f t="shared" si="108"/>
        <v>Transportation: $121.00</v>
      </c>
      <c r="AA381" s="1">
        <f>IF(Y381="","",ROUND(Y381*'Lookup Values'!$A$2,2))</f>
        <v>10.74</v>
      </c>
      <c r="AB381" s="12" t="str">
        <f t="shared" si="109"/>
        <v>Expense</v>
      </c>
      <c r="AC381" s="2" t="s">
        <v>512</v>
      </c>
      <c r="AD381" s="3">
        <f t="shared" si="110"/>
        <v>39144</v>
      </c>
      <c r="AE381" s="93" t="str">
        <f t="shared" si="111"/>
        <v>YES</v>
      </c>
      <c r="AF381" s="2" t="str">
        <f t="shared" si="112"/>
        <v>NO</v>
      </c>
      <c r="AG381" t="str">
        <f t="shared" si="113"/>
        <v>Late Transaction</v>
      </c>
    </row>
    <row r="382" spans="1:33" x14ac:dyDescent="0.25">
      <c r="A382" s="2">
        <v>381</v>
      </c>
      <c r="B382" s="3" t="str">
        <f t="shared" si="95"/>
        <v>121015-SH-EXP</v>
      </c>
      <c r="C382" s="3">
        <v>41197</v>
      </c>
      <c r="D382" s="3">
        <f t="shared" si="97"/>
        <v>41211</v>
      </c>
      <c r="E382" s="3">
        <f t="shared" si="98"/>
        <v>41258</v>
      </c>
      <c r="F382" s="3">
        <f t="shared" si="99"/>
        <v>41213</v>
      </c>
      <c r="G382" s="76">
        <f t="shared" si="100"/>
        <v>2012</v>
      </c>
      <c r="H382" s="76">
        <f t="shared" si="101"/>
        <v>10</v>
      </c>
      <c r="I382" s="76" t="str">
        <f>VLOOKUP(H382,'Lookup Values'!$C$2:$D$13,2,FALSE)</f>
        <v>OCT</v>
      </c>
      <c r="J382" s="76">
        <f t="shared" si="102"/>
        <v>15</v>
      </c>
      <c r="K382" s="76">
        <f t="shared" si="103"/>
        <v>2</v>
      </c>
      <c r="L382" s="76" t="str">
        <f>VLOOKUP(K382,'Lookup Values'!$F$2:$G$8,2,FALSE)</f>
        <v>Monday</v>
      </c>
      <c r="M382" s="3">
        <v>41200</v>
      </c>
      <c r="N382" s="78">
        <f t="shared" si="96"/>
        <v>3</v>
      </c>
      <c r="O382" s="11">
        <v>0.38399704798057543</v>
      </c>
      <c r="P382" s="94">
        <f t="shared" si="104"/>
        <v>9</v>
      </c>
      <c r="Q382" s="94">
        <f t="shared" si="105"/>
        <v>12</v>
      </c>
      <c r="R382" s="94">
        <f t="shared" si="106"/>
        <v>57</v>
      </c>
      <c r="S382" s="94" t="str">
        <f>VLOOKUP(O382,'Lookup Values'!$I$2:$L$8,4,TRUE)</f>
        <v>Morning</v>
      </c>
      <c r="T382" t="s">
        <v>83</v>
      </c>
      <c r="U382" t="s">
        <v>103</v>
      </c>
      <c r="V382" t="str">
        <f t="shared" si="107"/>
        <v>Shopping: Clothing</v>
      </c>
      <c r="W382" t="s">
        <v>102</v>
      </c>
      <c r="X382" t="s">
        <v>91</v>
      </c>
      <c r="Y382" s="1">
        <v>178</v>
      </c>
      <c r="Z382" s="1" t="str">
        <f t="shared" si="108"/>
        <v>Shopping: $178.00</v>
      </c>
      <c r="AA382" s="1">
        <f>IF(Y382="","",ROUND(Y382*'Lookup Values'!$A$2,2))</f>
        <v>15.8</v>
      </c>
      <c r="AB382" s="12" t="str">
        <f t="shared" si="109"/>
        <v>Expense</v>
      </c>
      <c r="AC382" s="2" t="s">
        <v>513</v>
      </c>
      <c r="AD382" s="3">
        <f t="shared" si="110"/>
        <v>41197</v>
      </c>
      <c r="AE382" s="93" t="str">
        <f t="shared" si="111"/>
        <v>NO</v>
      </c>
      <c r="AF382" s="2" t="str">
        <f t="shared" si="112"/>
        <v>NO</v>
      </c>
      <c r="AG382" t="str">
        <f t="shared" si="113"/>
        <v>CRAP Transaction</v>
      </c>
    </row>
    <row r="383" spans="1:33" x14ac:dyDescent="0.25">
      <c r="A383" s="2">
        <v>382</v>
      </c>
      <c r="B383" s="3" t="str">
        <f t="shared" si="95"/>
        <v>100529-FO-BAN</v>
      </c>
      <c r="C383" s="3">
        <v>40327</v>
      </c>
      <c r="D383" s="3">
        <f t="shared" si="97"/>
        <v>40340</v>
      </c>
      <c r="E383" s="3">
        <f t="shared" si="98"/>
        <v>40388</v>
      </c>
      <c r="F383" s="3">
        <f t="shared" si="99"/>
        <v>40329</v>
      </c>
      <c r="G383" s="76">
        <f t="shared" si="100"/>
        <v>2010</v>
      </c>
      <c r="H383" s="76">
        <f t="shared" si="101"/>
        <v>5</v>
      </c>
      <c r="I383" s="76" t="str">
        <f>VLOOKUP(H383,'Lookup Values'!$C$2:$D$13,2,FALSE)</f>
        <v>MAY</v>
      </c>
      <c r="J383" s="76">
        <f t="shared" si="102"/>
        <v>29</v>
      </c>
      <c r="K383" s="76">
        <f t="shared" si="103"/>
        <v>7</v>
      </c>
      <c r="L383" s="76" t="str">
        <f>VLOOKUP(K383,'Lookup Values'!$F$2:$G$8,2,FALSE)</f>
        <v>Saturday</v>
      </c>
      <c r="M383" s="3">
        <v>40331</v>
      </c>
      <c r="N383" s="78">
        <f t="shared" si="96"/>
        <v>4</v>
      </c>
      <c r="O383" s="11">
        <v>0.44345936401896857</v>
      </c>
      <c r="P383" s="94">
        <f t="shared" si="104"/>
        <v>10</v>
      </c>
      <c r="Q383" s="94">
        <f t="shared" si="105"/>
        <v>38</v>
      </c>
      <c r="R383" s="94">
        <f t="shared" si="106"/>
        <v>35</v>
      </c>
      <c r="S383" s="94" t="str">
        <f>VLOOKUP(O383,'Lookup Values'!$I$2:$L$8,4,TRUE)</f>
        <v>Late Morning</v>
      </c>
      <c r="T383" t="s">
        <v>80</v>
      </c>
      <c r="U383" t="s">
        <v>81</v>
      </c>
      <c r="V383" t="str">
        <f t="shared" si="107"/>
        <v>Food: Restaurants</v>
      </c>
      <c r="W383" t="s">
        <v>79</v>
      </c>
      <c r="X383" t="s">
        <v>88</v>
      </c>
      <c r="Y383" s="1">
        <v>230</v>
      </c>
      <c r="Z383" s="1" t="str">
        <f t="shared" si="108"/>
        <v>Food: $230.00</v>
      </c>
      <c r="AA383" s="1">
        <f>IF(Y383="","",ROUND(Y383*'Lookup Values'!$A$2,2))</f>
        <v>20.41</v>
      </c>
      <c r="AB383" s="12" t="str">
        <f t="shared" si="109"/>
        <v>Expense</v>
      </c>
      <c r="AC383" s="2" t="s">
        <v>514</v>
      </c>
      <c r="AD383" s="3">
        <f t="shared" si="110"/>
        <v>40327</v>
      </c>
      <c r="AE383" s="93" t="str">
        <f t="shared" si="111"/>
        <v>NO</v>
      </c>
      <c r="AF383" s="2" t="str">
        <f t="shared" si="112"/>
        <v>NO</v>
      </c>
      <c r="AG383" t="str">
        <f t="shared" si="113"/>
        <v>Late Transaction</v>
      </c>
    </row>
    <row r="384" spans="1:33" x14ac:dyDescent="0.25">
      <c r="A384" s="2">
        <v>383</v>
      </c>
      <c r="B384" s="3" t="str">
        <f t="shared" si="95"/>
        <v>090913-FO-CIT</v>
      </c>
      <c r="C384" s="3">
        <v>40069</v>
      </c>
      <c r="D384" s="3">
        <f t="shared" si="97"/>
        <v>40081</v>
      </c>
      <c r="E384" s="3">
        <f t="shared" si="98"/>
        <v>40130</v>
      </c>
      <c r="F384" s="3">
        <f t="shared" si="99"/>
        <v>40086</v>
      </c>
      <c r="G384" s="76">
        <f t="shared" si="100"/>
        <v>2009</v>
      </c>
      <c r="H384" s="76">
        <f t="shared" si="101"/>
        <v>9</v>
      </c>
      <c r="I384" s="76" t="str">
        <f>VLOOKUP(H384,'Lookup Values'!$C$2:$D$13,2,FALSE)</f>
        <v>SEP</v>
      </c>
      <c r="J384" s="76">
        <f t="shared" si="102"/>
        <v>13</v>
      </c>
      <c r="K384" s="76">
        <f t="shared" si="103"/>
        <v>1</v>
      </c>
      <c r="L384" s="76" t="str">
        <f>VLOOKUP(K384,'Lookup Values'!$F$2:$G$8,2,FALSE)</f>
        <v>Sunday</v>
      </c>
      <c r="M384" s="3">
        <v>40075</v>
      </c>
      <c r="N384" s="78">
        <f t="shared" si="96"/>
        <v>6</v>
      </c>
      <c r="O384" s="11">
        <v>0.34479103480122208</v>
      </c>
      <c r="P384" s="94">
        <f t="shared" si="104"/>
        <v>8</v>
      </c>
      <c r="Q384" s="94">
        <f t="shared" si="105"/>
        <v>16</v>
      </c>
      <c r="R384" s="94">
        <f t="shared" si="106"/>
        <v>30</v>
      </c>
      <c r="S384" s="94" t="str">
        <f>VLOOKUP(O384,'Lookup Values'!$I$2:$L$8,4,TRUE)</f>
        <v>Morning</v>
      </c>
      <c r="T384" t="s">
        <v>80</v>
      </c>
      <c r="U384" t="s">
        <v>105</v>
      </c>
      <c r="V384" t="str">
        <f t="shared" si="107"/>
        <v>Food: Coffee</v>
      </c>
      <c r="W384" t="s">
        <v>104</v>
      </c>
      <c r="X384" t="s">
        <v>78</v>
      </c>
      <c r="Y384" s="1">
        <v>279</v>
      </c>
      <c r="Z384" s="1" t="str">
        <f t="shared" si="108"/>
        <v>Food: $279.00</v>
      </c>
      <c r="AA384" s="1">
        <f>IF(Y384="","",ROUND(Y384*'Lookup Values'!$A$2,2))</f>
        <v>24.76</v>
      </c>
      <c r="AB384" s="12" t="str">
        <f t="shared" si="109"/>
        <v>Expense</v>
      </c>
      <c r="AC384" s="2" t="s">
        <v>416</v>
      </c>
      <c r="AD384" s="3">
        <f t="shared" si="110"/>
        <v>40069</v>
      </c>
      <c r="AE384" s="93" t="str">
        <f t="shared" si="111"/>
        <v>NO</v>
      </c>
      <c r="AF384" s="2" t="str">
        <f t="shared" si="112"/>
        <v>NO</v>
      </c>
      <c r="AG384" t="str">
        <f t="shared" si="113"/>
        <v>Awesome Transaction</v>
      </c>
    </row>
    <row r="385" spans="1:33" x14ac:dyDescent="0.25">
      <c r="A385" s="2">
        <v>384</v>
      </c>
      <c r="B385" s="3" t="str">
        <f t="shared" si="95"/>
        <v>070809-ED-ANT</v>
      </c>
      <c r="C385" s="3">
        <v>39303</v>
      </c>
      <c r="D385" s="3">
        <f t="shared" si="97"/>
        <v>39317</v>
      </c>
      <c r="E385" s="3">
        <f t="shared" si="98"/>
        <v>39364</v>
      </c>
      <c r="F385" s="3">
        <f t="shared" si="99"/>
        <v>39325</v>
      </c>
      <c r="G385" s="76">
        <f t="shared" si="100"/>
        <v>2007</v>
      </c>
      <c r="H385" s="76">
        <f t="shared" si="101"/>
        <v>8</v>
      </c>
      <c r="I385" s="76" t="str">
        <f>VLOOKUP(H385,'Lookup Values'!$C$2:$D$13,2,FALSE)</f>
        <v>AUG</v>
      </c>
      <c r="J385" s="76">
        <f t="shared" si="102"/>
        <v>9</v>
      </c>
      <c r="K385" s="76">
        <f t="shared" si="103"/>
        <v>5</v>
      </c>
      <c r="L385" s="76" t="str">
        <f>VLOOKUP(K385,'Lookup Values'!$F$2:$G$8,2,FALSE)</f>
        <v>Thursday</v>
      </c>
      <c r="M385" s="3">
        <v>39312</v>
      </c>
      <c r="N385" s="78">
        <f t="shared" si="96"/>
        <v>9</v>
      </c>
      <c r="O385" s="11">
        <v>6.8767430758752135E-2</v>
      </c>
      <c r="P385" s="94">
        <f t="shared" si="104"/>
        <v>1</v>
      </c>
      <c r="Q385" s="94">
        <f t="shared" si="105"/>
        <v>39</v>
      </c>
      <c r="R385" s="94">
        <f t="shared" si="106"/>
        <v>2</v>
      </c>
      <c r="S385" s="94" t="str">
        <f>VLOOKUP(O385,'Lookup Values'!$I$2:$L$8,4,TRUE)</f>
        <v>Dead of Night</v>
      </c>
      <c r="T385" t="s">
        <v>86</v>
      </c>
      <c r="U385" t="s">
        <v>87</v>
      </c>
      <c r="V385" t="str">
        <f t="shared" si="107"/>
        <v>Education: Tango Lessons</v>
      </c>
      <c r="W385" t="s">
        <v>85</v>
      </c>
      <c r="X385" t="s">
        <v>78</v>
      </c>
      <c r="Y385" s="1">
        <v>200</v>
      </c>
      <c r="Z385" s="1" t="str">
        <f t="shared" si="108"/>
        <v>Education: $200.00</v>
      </c>
      <c r="AA385" s="1">
        <f>IF(Y385="","",ROUND(Y385*'Lookup Values'!$A$2,2))</f>
        <v>17.75</v>
      </c>
      <c r="AB385" s="12" t="str">
        <f t="shared" si="109"/>
        <v>Expense</v>
      </c>
      <c r="AC385" s="2" t="s">
        <v>338</v>
      </c>
      <c r="AD385" s="3">
        <f t="shared" si="110"/>
        <v>39303</v>
      </c>
      <c r="AE385" s="93" t="str">
        <f t="shared" si="111"/>
        <v>NO</v>
      </c>
      <c r="AF385" s="2" t="str">
        <f t="shared" si="112"/>
        <v>NO</v>
      </c>
      <c r="AG385" t="str">
        <f t="shared" si="113"/>
        <v>Late Transaction</v>
      </c>
    </row>
    <row r="386" spans="1:33" x14ac:dyDescent="0.25">
      <c r="A386" s="2">
        <v>385</v>
      </c>
      <c r="B386" s="3" t="str">
        <f t="shared" ref="B386:B449" si="114">TEXT(C386,"yymmdd") &amp; "-" &amp; UPPER(LEFT(T386,2)) &amp; "-" &amp; UPPER(LEFT(W386,3))</f>
        <v>081118-IN-AUN</v>
      </c>
      <c r="C386" s="3">
        <v>39770</v>
      </c>
      <c r="D386" s="3">
        <f t="shared" si="97"/>
        <v>39784</v>
      </c>
      <c r="E386" s="3">
        <f t="shared" si="98"/>
        <v>39831</v>
      </c>
      <c r="F386" s="3">
        <f t="shared" si="99"/>
        <v>39782</v>
      </c>
      <c r="G386" s="76">
        <f t="shared" si="100"/>
        <v>2008</v>
      </c>
      <c r="H386" s="76">
        <f t="shared" si="101"/>
        <v>11</v>
      </c>
      <c r="I386" s="76" t="str">
        <f>VLOOKUP(H386,'Lookup Values'!$C$2:$D$13,2,FALSE)</f>
        <v>NOV</v>
      </c>
      <c r="J386" s="76">
        <f t="shared" si="102"/>
        <v>18</v>
      </c>
      <c r="K386" s="76">
        <f t="shared" si="103"/>
        <v>3</v>
      </c>
      <c r="L386" s="76" t="str">
        <f>VLOOKUP(K386,'Lookup Values'!$F$2:$G$8,2,FALSE)</f>
        <v>Tuesday</v>
      </c>
      <c r="M386" s="3">
        <v>39775</v>
      </c>
      <c r="N386" s="78">
        <f t="shared" ref="N386:N449" si="115">M386-C386</f>
        <v>5</v>
      </c>
      <c r="O386" s="11">
        <v>0.36756128042977543</v>
      </c>
      <c r="P386" s="94">
        <f t="shared" si="104"/>
        <v>8</v>
      </c>
      <c r="Q386" s="94">
        <f t="shared" si="105"/>
        <v>49</v>
      </c>
      <c r="R386" s="94">
        <f t="shared" si="106"/>
        <v>17</v>
      </c>
      <c r="S386" s="94" t="str">
        <f>VLOOKUP(O386,'Lookup Values'!$I$2:$L$8,4,TRUE)</f>
        <v>Morning</v>
      </c>
      <c r="T386" t="s">
        <v>158</v>
      </c>
      <c r="U386" t="s">
        <v>161</v>
      </c>
      <c r="V386" t="str">
        <f t="shared" si="107"/>
        <v>Income: Gift Received</v>
      </c>
      <c r="W386" t="s">
        <v>164</v>
      </c>
      <c r="X386" t="s">
        <v>78</v>
      </c>
      <c r="Y386" s="1">
        <v>305</v>
      </c>
      <c r="Z386" s="1" t="str">
        <f t="shared" si="108"/>
        <v>Income: $305.00</v>
      </c>
      <c r="AA386" s="1">
        <f>IF(Y386="","",ROUND(Y386*'Lookup Values'!$A$2,2))</f>
        <v>27.07</v>
      </c>
      <c r="AB386" s="12" t="str">
        <f t="shared" si="109"/>
        <v>Income</v>
      </c>
      <c r="AC386" s="2" t="s">
        <v>515</v>
      </c>
      <c r="AD386" s="3">
        <f t="shared" si="110"/>
        <v>39770</v>
      </c>
      <c r="AE386" s="93" t="str">
        <f t="shared" si="111"/>
        <v>NO</v>
      </c>
      <c r="AF386" s="2" t="str">
        <f t="shared" si="112"/>
        <v>NO</v>
      </c>
      <c r="AG386" t="str">
        <f t="shared" si="113"/>
        <v>Late Transaction</v>
      </c>
    </row>
    <row r="387" spans="1:33" x14ac:dyDescent="0.25">
      <c r="A387" s="2">
        <v>386</v>
      </c>
      <c r="B387" s="3" t="str">
        <f t="shared" si="114"/>
        <v>080222-IN-EZE</v>
      </c>
      <c r="C387" s="3">
        <v>39500</v>
      </c>
      <c r="D387" s="3">
        <f t="shared" ref="D387:D450" si="116">WORKDAY(C387,10)</f>
        <v>39514</v>
      </c>
      <c r="E387" s="3">
        <f t="shared" ref="E387:E450" si="117">EDATE(C387,2)</f>
        <v>39560</v>
      </c>
      <c r="F387" s="3">
        <f t="shared" ref="F387:F450" si="118">EOMONTH(C387,0)</f>
        <v>39507</v>
      </c>
      <c r="G387" s="76">
        <f t="shared" ref="G387:G450" si="119">YEAR(C387)</f>
        <v>2008</v>
      </c>
      <c r="H387" s="76">
        <f t="shared" ref="H387:H450" si="120">MONTH(C387)</f>
        <v>2</v>
      </c>
      <c r="I387" s="76" t="str">
        <f>VLOOKUP(H387,'Lookup Values'!$C$2:$D$13,2,FALSE)</f>
        <v>FEB</v>
      </c>
      <c r="J387" s="76">
        <f t="shared" ref="J387:J450" si="121">DAY(C387)</f>
        <v>22</v>
      </c>
      <c r="K387" s="76">
        <f t="shared" ref="K387:K450" si="122">WEEKDAY(C387)</f>
        <v>6</v>
      </c>
      <c r="L387" s="76" t="str">
        <f>VLOOKUP(K387,'Lookup Values'!$F$2:$G$8,2,FALSE)</f>
        <v>Friday</v>
      </c>
      <c r="M387" s="3">
        <v>39502</v>
      </c>
      <c r="N387" s="78">
        <f t="shared" si="115"/>
        <v>2</v>
      </c>
      <c r="O387" s="11">
        <v>0.87700492649232342</v>
      </c>
      <c r="P387" s="94">
        <f t="shared" ref="P387:P450" si="123">HOUR(O387)</f>
        <v>21</v>
      </c>
      <c r="Q387" s="94">
        <f t="shared" ref="Q387:Q450" si="124">MINUTE(O387)</f>
        <v>2</v>
      </c>
      <c r="R387" s="94">
        <f t="shared" ref="R387:R450" si="125">SECOND(O387)</f>
        <v>53</v>
      </c>
      <c r="S387" s="94" t="str">
        <f>VLOOKUP(O387,'Lookup Values'!$I$2:$L$8,4,TRUE)</f>
        <v>Late Evening</v>
      </c>
      <c r="T387" t="s">
        <v>158</v>
      </c>
      <c r="U387" t="s">
        <v>159</v>
      </c>
      <c r="V387" t="str">
        <f t="shared" ref="V387:V450" si="126">T387 &amp; ": " &amp; U387</f>
        <v>Income: Salary</v>
      </c>
      <c r="W387" t="s">
        <v>162</v>
      </c>
      <c r="X387" t="s">
        <v>91</v>
      </c>
      <c r="Y387" s="1">
        <v>260</v>
      </c>
      <c r="Z387" s="1" t="str">
        <f t="shared" ref="Z387:Z450" si="127">T387 &amp; ": " &amp; TEXT(Y387,"$#,###.00")</f>
        <v>Income: $260.00</v>
      </c>
      <c r="AA387" s="1">
        <f>IF(Y387="","",ROUND(Y387*'Lookup Values'!$A$2,2))</f>
        <v>23.08</v>
      </c>
      <c r="AB387" s="12" t="str">
        <f t="shared" ref="AB387:AB450" si="128">IF(T387="Income","Income","Expense")</f>
        <v>Income</v>
      </c>
      <c r="AC387" s="2" t="s">
        <v>516</v>
      </c>
      <c r="AD387" s="3">
        <f t="shared" ref="AD387:AD450" si="129">VALUE(SUBSTITUTE(AC387,".","/"))</f>
        <v>39500</v>
      </c>
      <c r="AE387" s="93" t="str">
        <f t="shared" ref="AE387:AE450" si="130">IF(OR(T387="Transportation",U387="Professional Development",U387="Electronics"),"YES","NO")</f>
        <v>NO</v>
      </c>
      <c r="AF387" s="2" t="str">
        <f t="shared" ref="AF387:AF450" si="131">IF(AND(AE387="YES",Y387&gt;=400),"YES","NO")</f>
        <v>NO</v>
      </c>
      <c r="AG387" t="str">
        <f t="shared" ref="AG387:AG450" si="132">IF(AND(AND(G387&gt;=2007,G387&lt;=2009),OR(W387&lt;&gt;"MTA",W387&lt;&gt;"Fandango"),OR(T387="Food",T387="Shopping",T387="Entertainment")),"Awesome Transaction",IF(AND(G387&lt;=2010,U387&lt;&gt;"Alcohol"),"Late Transaction",IF(G387=2006,"Early Transaction","CRAP Transaction")))</f>
        <v>Late Transaction</v>
      </c>
    </row>
    <row r="388" spans="1:33" x14ac:dyDescent="0.25">
      <c r="A388" s="2">
        <v>387</v>
      </c>
      <c r="B388" s="3" t="str">
        <f t="shared" si="114"/>
        <v>100109-SH-EXP</v>
      </c>
      <c r="C388" s="3">
        <v>40187</v>
      </c>
      <c r="D388" s="3">
        <f t="shared" si="116"/>
        <v>40200</v>
      </c>
      <c r="E388" s="3">
        <f t="shared" si="117"/>
        <v>40246</v>
      </c>
      <c r="F388" s="3">
        <f t="shared" si="118"/>
        <v>40209</v>
      </c>
      <c r="G388" s="76">
        <f t="shared" si="119"/>
        <v>2010</v>
      </c>
      <c r="H388" s="76">
        <f t="shared" si="120"/>
        <v>1</v>
      </c>
      <c r="I388" s="76" t="str">
        <f>VLOOKUP(H388,'Lookup Values'!$C$2:$D$13,2,FALSE)</f>
        <v>JAN</v>
      </c>
      <c r="J388" s="76">
        <f t="shared" si="121"/>
        <v>9</v>
      </c>
      <c r="K388" s="76">
        <f t="shared" si="122"/>
        <v>7</v>
      </c>
      <c r="L388" s="76" t="str">
        <f>VLOOKUP(K388,'Lookup Values'!$F$2:$G$8,2,FALSE)</f>
        <v>Saturday</v>
      </c>
      <c r="M388" s="3">
        <v>40194</v>
      </c>
      <c r="N388" s="78">
        <f t="shared" si="115"/>
        <v>7</v>
      </c>
      <c r="O388" s="11">
        <v>0.39457964861065753</v>
      </c>
      <c r="P388" s="94">
        <f t="shared" si="123"/>
        <v>9</v>
      </c>
      <c r="Q388" s="94">
        <f t="shared" si="124"/>
        <v>28</v>
      </c>
      <c r="R388" s="94">
        <f t="shared" si="125"/>
        <v>12</v>
      </c>
      <c r="S388" s="94" t="str">
        <f>VLOOKUP(O388,'Lookup Values'!$I$2:$L$8,4,TRUE)</f>
        <v>Morning</v>
      </c>
      <c r="T388" t="s">
        <v>83</v>
      </c>
      <c r="U388" t="s">
        <v>103</v>
      </c>
      <c r="V388" t="str">
        <f t="shared" si="126"/>
        <v>Shopping: Clothing</v>
      </c>
      <c r="W388" t="s">
        <v>102</v>
      </c>
      <c r="X388" t="s">
        <v>88</v>
      </c>
      <c r="Y388" s="1">
        <v>153</v>
      </c>
      <c r="Z388" s="1" t="str">
        <f t="shared" si="127"/>
        <v>Shopping: $153.00</v>
      </c>
      <c r="AA388" s="1">
        <f>IF(Y388="","",ROUND(Y388*'Lookup Values'!$A$2,2))</f>
        <v>13.58</v>
      </c>
      <c r="AB388" s="12" t="str">
        <f t="shared" si="128"/>
        <v>Expense</v>
      </c>
      <c r="AC388" s="2" t="s">
        <v>517</v>
      </c>
      <c r="AD388" s="3">
        <f t="shared" si="129"/>
        <v>40187</v>
      </c>
      <c r="AE388" s="93" t="str">
        <f t="shared" si="130"/>
        <v>NO</v>
      </c>
      <c r="AF388" s="2" t="str">
        <f t="shared" si="131"/>
        <v>NO</v>
      </c>
      <c r="AG388" t="str">
        <f t="shared" si="132"/>
        <v>Late Transaction</v>
      </c>
    </row>
    <row r="389" spans="1:33" x14ac:dyDescent="0.25">
      <c r="A389" s="2">
        <v>388</v>
      </c>
      <c r="B389" s="3" t="str">
        <f t="shared" si="114"/>
        <v>091019-HO-BED</v>
      </c>
      <c r="C389" s="3">
        <v>40105</v>
      </c>
      <c r="D389" s="3">
        <f t="shared" si="116"/>
        <v>40119</v>
      </c>
      <c r="E389" s="3">
        <f t="shared" si="117"/>
        <v>40166</v>
      </c>
      <c r="F389" s="3">
        <f t="shared" si="118"/>
        <v>40117</v>
      </c>
      <c r="G389" s="76">
        <f t="shared" si="119"/>
        <v>2009</v>
      </c>
      <c r="H389" s="76">
        <f t="shared" si="120"/>
        <v>10</v>
      </c>
      <c r="I389" s="76" t="str">
        <f>VLOOKUP(H389,'Lookup Values'!$C$2:$D$13,2,FALSE)</f>
        <v>OCT</v>
      </c>
      <c r="J389" s="76">
        <f t="shared" si="121"/>
        <v>19</v>
      </c>
      <c r="K389" s="76">
        <f t="shared" si="122"/>
        <v>2</v>
      </c>
      <c r="L389" s="76" t="str">
        <f>VLOOKUP(K389,'Lookup Values'!$F$2:$G$8,2,FALSE)</f>
        <v>Monday</v>
      </c>
      <c r="M389" s="3">
        <v>40106</v>
      </c>
      <c r="N389" s="78">
        <f t="shared" si="115"/>
        <v>1</v>
      </c>
      <c r="O389" s="11">
        <v>0.5675839681009992</v>
      </c>
      <c r="P389" s="94">
        <f t="shared" si="123"/>
        <v>13</v>
      </c>
      <c r="Q389" s="94">
        <f t="shared" si="124"/>
        <v>37</v>
      </c>
      <c r="R389" s="94">
        <f t="shared" si="125"/>
        <v>19</v>
      </c>
      <c r="S389" s="94" t="str">
        <f>VLOOKUP(O389,'Lookup Values'!$I$2:$L$8,4,TRUE)</f>
        <v>Afternoon</v>
      </c>
      <c r="T389" t="s">
        <v>100</v>
      </c>
      <c r="U389" t="s">
        <v>101</v>
      </c>
      <c r="V389" t="str">
        <f t="shared" si="126"/>
        <v>Home: Cleaning Supplies</v>
      </c>
      <c r="W389" t="s">
        <v>99</v>
      </c>
      <c r="X389" t="s">
        <v>91</v>
      </c>
      <c r="Y389" s="1">
        <v>225</v>
      </c>
      <c r="Z389" s="1" t="str">
        <f t="shared" si="127"/>
        <v>Home: $225.00</v>
      </c>
      <c r="AA389" s="1">
        <f>IF(Y389="","",ROUND(Y389*'Lookup Values'!$A$2,2))</f>
        <v>19.97</v>
      </c>
      <c r="AB389" s="12" t="str">
        <f t="shared" si="128"/>
        <v>Expense</v>
      </c>
      <c r="AC389" s="2" t="s">
        <v>518</v>
      </c>
      <c r="AD389" s="3">
        <f t="shared" si="129"/>
        <v>40105</v>
      </c>
      <c r="AE389" s="93" t="str">
        <f t="shared" si="130"/>
        <v>NO</v>
      </c>
      <c r="AF389" s="2" t="str">
        <f t="shared" si="131"/>
        <v>NO</v>
      </c>
      <c r="AG389" t="str">
        <f t="shared" si="132"/>
        <v>Late Transaction</v>
      </c>
    </row>
    <row r="390" spans="1:33" x14ac:dyDescent="0.25">
      <c r="A390" s="2">
        <v>389</v>
      </c>
      <c r="B390" s="3" t="str">
        <f t="shared" si="114"/>
        <v>080114-FO-TRA</v>
      </c>
      <c r="C390" s="3">
        <v>39461</v>
      </c>
      <c r="D390" s="3">
        <f t="shared" si="116"/>
        <v>39475</v>
      </c>
      <c r="E390" s="3">
        <f t="shared" si="117"/>
        <v>39521</v>
      </c>
      <c r="F390" s="3">
        <f t="shared" si="118"/>
        <v>39478</v>
      </c>
      <c r="G390" s="76">
        <f t="shared" si="119"/>
        <v>2008</v>
      </c>
      <c r="H390" s="76">
        <f t="shared" si="120"/>
        <v>1</v>
      </c>
      <c r="I390" s="76" t="str">
        <f>VLOOKUP(H390,'Lookup Values'!$C$2:$D$13,2,FALSE)</f>
        <v>JAN</v>
      </c>
      <c r="J390" s="76">
        <f t="shared" si="121"/>
        <v>14</v>
      </c>
      <c r="K390" s="76">
        <f t="shared" si="122"/>
        <v>2</v>
      </c>
      <c r="L390" s="76" t="str">
        <f>VLOOKUP(K390,'Lookup Values'!$F$2:$G$8,2,FALSE)</f>
        <v>Monday</v>
      </c>
      <c r="M390" s="3">
        <v>39470</v>
      </c>
      <c r="N390" s="78">
        <f t="shared" si="115"/>
        <v>9</v>
      </c>
      <c r="O390" s="11">
        <v>0.50344319693003681</v>
      </c>
      <c r="P390" s="94">
        <f t="shared" si="123"/>
        <v>12</v>
      </c>
      <c r="Q390" s="94">
        <f t="shared" si="124"/>
        <v>4</v>
      </c>
      <c r="R390" s="94">
        <f t="shared" si="125"/>
        <v>57</v>
      </c>
      <c r="S390" s="94" t="str">
        <f>VLOOKUP(O390,'Lookup Values'!$I$2:$L$8,4,TRUE)</f>
        <v>Afternoon</v>
      </c>
      <c r="T390" t="s">
        <v>80</v>
      </c>
      <c r="U390" t="s">
        <v>93</v>
      </c>
      <c r="V390" t="str">
        <f t="shared" si="126"/>
        <v>Food: Groceries</v>
      </c>
      <c r="W390" t="s">
        <v>92</v>
      </c>
      <c r="X390" t="s">
        <v>78</v>
      </c>
      <c r="Y390" s="1">
        <v>461</v>
      </c>
      <c r="Z390" s="1" t="str">
        <f t="shared" si="127"/>
        <v>Food: $461.00</v>
      </c>
      <c r="AA390" s="1">
        <f>IF(Y390="","",ROUND(Y390*'Lookup Values'!$A$2,2))</f>
        <v>40.909999999999997</v>
      </c>
      <c r="AB390" s="12" t="str">
        <f t="shared" si="128"/>
        <v>Expense</v>
      </c>
      <c r="AC390" s="2" t="s">
        <v>519</v>
      </c>
      <c r="AD390" s="3">
        <f t="shared" si="129"/>
        <v>39461</v>
      </c>
      <c r="AE390" s="93" t="str">
        <f t="shared" si="130"/>
        <v>NO</v>
      </c>
      <c r="AF390" s="2" t="str">
        <f t="shared" si="131"/>
        <v>NO</v>
      </c>
      <c r="AG390" t="str">
        <f t="shared" si="132"/>
        <v>Awesome Transaction</v>
      </c>
    </row>
    <row r="391" spans="1:33" x14ac:dyDescent="0.25">
      <c r="A391" s="2">
        <v>390</v>
      </c>
      <c r="B391" s="3" t="str">
        <f t="shared" si="114"/>
        <v>080108-HO-BED</v>
      </c>
      <c r="C391" s="3">
        <v>39455</v>
      </c>
      <c r="D391" s="3">
        <f t="shared" si="116"/>
        <v>39469</v>
      </c>
      <c r="E391" s="3">
        <f t="shared" si="117"/>
        <v>39515</v>
      </c>
      <c r="F391" s="3">
        <f t="shared" si="118"/>
        <v>39478</v>
      </c>
      <c r="G391" s="76">
        <f t="shared" si="119"/>
        <v>2008</v>
      </c>
      <c r="H391" s="76">
        <f t="shared" si="120"/>
        <v>1</v>
      </c>
      <c r="I391" s="76" t="str">
        <f>VLOOKUP(H391,'Lookup Values'!$C$2:$D$13,2,FALSE)</f>
        <v>JAN</v>
      </c>
      <c r="J391" s="76">
        <f t="shared" si="121"/>
        <v>8</v>
      </c>
      <c r="K391" s="76">
        <f t="shared" si="122"/>
        <v>3</v>
      </c>
      <c r="L391" s="76" t="str">
        <f>VLOOKUP(K391,'Lookup Values'!$F$2:$G$8,2,FALSE)</f>
        <v>Tuesday</v>
      </c>
      <c r="M391" s="3">
        <v>39460</v>
      </c>
      <c r="N391" s="78">
        <f t="shared" si="115"/>
        <v>5</v>
      </c>
      <c r="O391" s="11">
        <v>0.7263967540512124</v>
      </c>
      <c r="P391" s="94">
        <f t="shared" si="123"/>
        <v>17</v>
      </c>
      <c r="Q391" s="94">
        <f t="shared" si="124"/>
        <v>26</v>
      </c>
      <c r="R391" s="94">
        <f t="shared" si="125"/>
        <v>1</v>
      </c>
      <c r="S391" s="94" t="str">
        <f>VLOOKUP(O391,'Lookup Values'!$I$2:$L$8,4,TRUE)</f>
        <v>Evening</v>
      </c>
      <c r="T391" t="s">
        <v>100</v>
      </c>
      <c r="U391" t="s">
        <v>101</v>
      </c>
      <c r="V391" t="str">
        <f t="shared" si="126"/>
        <v>Home: Cleaning Supplies</v>
      </c>
      <c r="W391" t="s">
        <v>99</v>
      </c>
      <c r="X391" t="s">
        <v>78</v>
      </c>
      <c r="Y391" s="1">
        <v>355</v>
      </c>
      <c r="Z391" s="1" t="str">
        <f t="shared" si="127"/>
        <v>Home: $355.00</v>
      </c>
      <c r="AA391" s="1">
        <f>IF(Y391="","",ROUND(Y391*'Lookup Values'!$A$2,2))</f>
        <v>31.51</v>
      </c>
      <c r="AB391" s="12" t="str">
        <f t="shared" si="128"/>
        <v>Expense</v>
      </c>
      <c r="AC391" s="2" t="s">
        <v>520</v>
      </c>
      <c r="AD391" s="3">
        <f t="shared" si="129"/>
        <v>39455</v>
      </c>
      <c r="AE391" s="93" t="str">
        <f t="shared" si="130"/>
        <v>NO</v>
      </c>
      <c r="AF391" s="2" t="str">
        <f t="shared" si="131"/>
        <v>NO</v>
      </c>
      <c r="AG391" t="str">
        <f t="shared" si="132"/>
        <v>Late Transaction</v>
      </c>
    </row>
    <row r="392" spans="1:33" x14ac:dyDescent="0.25">
      <c r="A392" s="2">
        <v>391</v>
      </c>
      <c r="B392" s="3" t="str">
        <f t="shared" si="114"/>
        <v>080119-SH-AMA</v>
      </c>
      <c r="C392" s="3">
        <v>39466</v>
      </c>
      <c r="D392" s="3">
        <f t="shared" si="116"/>
        <v>39479</v>
      </c>
      <c r="E392" s="3">
        <f t="shared" si="117"/>
        <v>39526</v>
      </c>
      <c r="F392" s="3">
        <f t="shared" si="118"/>
        <v>39478</v>
      </c>
      <c r="G392" s="76">
        <f t="shared" si="119"/>
        <v>2008</v>
      </c>
      <c r="H392" s="76">
        <f t="shared" si="120"/>
        <v>1</v>
      </c>
      <c r="I392" s="76" t="str">
        <f>VLOOKUP(H392,'Lookup Values'!$C$2:$D$13,2,FALSE)</f>
        <v>JAN</v>
      </c>
      <c r="J392" s="76">
        <f t="shared" si="121"/>
        <v>19</v>
      </c>
      <c r="K392" s="76">
        <f t="shared" si="122"/>
        <v>7</v>
      </c>
      <c r="L392" s="76" t="str">
        <f>VLOOKUP(K392,'Lookup Values'!$F$2:$G$8,2,FALSE)</f>
        <v>Saturday</v>
      </c>
      <c r="M392" s="3">
        <v>39467</v>
      </c>
      <c r="N392" s="78">
        <f t="shared" si="115"/>
        <v>1</v>
      </c>
      <c r="O392" s="11">
        <v>0.62196295907265842</v>
      </c>
      <c r="P392" s="94">
        <f t="shared" si="123"/>
        <v>14</v>
      </c>
      <c r="Q392" s="94">
        <f t="shared" si="124"/>
        <v>55</v>
      </c>
      <c r="R392" s="94">
        <f t="shared" si="125"/>
        <v>38</v>
      </c>
      <c r="S392" s="94" t="str">
        <f>VLOOKUP(O392,'Lookup Values'!$I$2:$L$8,4,TRUE)</f>
        <v>Afternoon</v>
      </c>
      <c r="T392" t="s">
        <v>83</v>
      </c>
      <c r="U392" t="s">
        <v>84</v>
      </c>
      <c r="V392" t="str">
        <f t="shared" si="126"/>
        <v>Shopping: Electronics</v>
      </c>
      <c r="W392" t="s">
        <v>82</v>
      </c>
      <c r="X392" t="s">
        <v>78</v>
      </c>
      <c r="Y392" s="1">
        <v>310</v>
      </c>
      <c r="Z392" s="1" t="str">
        <f t="shared" si="127"/>
        <v>Shopping: $310.00</v>
      </c>
      <c r="AA392" s="1">
        <f>IF(Y392="","",ROUND(Y392*'Lookup Values'!$A$2,2))</f>
        <v>27.51</v>
      </c>
      <c r="AB392" s="12" t="str">
        <f t="shared" si="128"/>
        <v>Expense</v>
      </c>
      <c r="AC392" s="2" t="s">
        <v>521</v>
      </c>
      <c r="AD392" s="3">
        <f t="shared" si="129"/>
        <v>39466</v>
      </c>
      <c r="AE392" s="93" t="str">
        <f t="shared" si="130"/>
        <v>YES</v>
      </c>
      <c r="AF392" s="2" t="str">
        <f t="shared" si="131"/>
        <v>NO</v>
      </c>
      <c r="AG392" t="str">
        <f t="shared" si="132"/>
        <v>Awesome Transaction</v>
      </c>
    </row>
    <row r="393" spans="1:33" x14ac:dyDescent="0.25">
      <c r="A393" s="2">
        <v>392</v>
      </c>
      <c r="B393" s="3" t="str">
        <f t="shared" si="114"/>
        <v>100729-EN-FAN</v>
      </c>
      <c r="C393" s="3">
        <v>40388</v>
      </c>
      <c r="D393" s="3">
        <f t="shared" si="116"/>
        <v>40402</v>
      </c>
      <c r="E393" s="3">
        <f t="shared" si="117"/>
        <v>40450</v>
      </c>
      <c r="F393" s="3">
        <f t="shared" si="118"/>
        <v>40390</v>
      </c>
      <c r="G393" s="76">
        <f t="shared" si="119"/>
        <v>2010</v>
      </c>
      <c r="H393" s="76">
        <f t="shared" si="120"/>
        <v>7</v>
      </c>
      <c r="I393" s="76" t="str">
        <f>VLOOKUP(H393,'Lookup Values'!$C$2:$D$13,2,FALSE)</f>
        <v>JUL</v>
      </c>
      <c r="J393" s="76">
        <f t="shared" si="121"/>
        <v>29</v>
      </c>
      <c r="K393" s="76">
        <f t="shared" si="122"/>
        <v>5</v>
      </c>
      <c r="L393" s="76" t="str">
        <f>VLOOKUP(K393,'Lookup Values'!$F$2:$G$8,2,FALSE)</f>
        <v>Thursday</v>
      </c>
      <c r="M393" s="3">
        <v>40389</v>
      </c>
      <c r="N393" s="78">
        <f t="shared" si="115"/>
        <v>1</v>
      </c>
      <c r="O393" s="11">
        <v>0.62410785298618976</v>
      </c>
      <c r="P393" s="94">
        <f t="shared" si="123"/>
        <v>14</v>
      </c>
      <c r="Q393" s="94">
        <f t="shared" si="124"/>
        <v>58</v>
      </c>
      <c r="R393" s="94">
        <f t="shared" si="125"/>
        <v>43</v>
      </c>
      <c r="S393" s="94" t="str">
        <f>VLOOKUP(O393,'Lookup Values'!$I$2:$L$8,4,TRUE)</f>
        <v>Afternoon</v>
      </c>
      <c r="T393" t="s">
        <v>76</v>
      </c>
      <c r="U393" t="s">
        <v>90</v>
      </c>
      <c r="V393" t="str">
        <f t="shared" si="126"/>
        <v>Entertainment: Movies</v>
      </c>
      <c r="W393" t="s">
        <v>89</v>
      </c>
      <c r="X393" t="s">
        <v>91</v>
      </c>
      <c r="Y393" s="1">
        <v>126</v>
      </c>
      <c r="Z393" s="1" t="str">
        <f t="shared" si="127"/>
        <v>Entertainment: $126.00</v>
      </c>
      <c r="AA393" s="1">
        <f>IF(Y393="","",ROUND(Y393*'Lookup Values'!$A$2,2))</f>
        <v>11.18</v>
      </c>
      <c r="AB393" s="12" t="str">
        <f t="shared" si="128"/>
        <v>Expense</v>
      </c>
      <c r="AC393" s="2" t="s">
        <v>522</v>
      </c>
      <c r="AD393" s="3">
        <f t="shared" si="129"/>
        <v>40388</v>
      </c>
      <c r="AE393" s="93" t="str">
        <f t="shared" si="130"/>
        <v>NO</v>
      </c>
      <c r="AF393" s="2" t="str">
        <f t="shared" si="131"/>
        <v>NO</v>
      </c>
      <c r="AG393" t="str">
        <f t="shared" si="132"/>
        <v>Late Transaction</v>
      </c>
    </row>
    <row r="394" spans="1:33" x14ac:dyDescent="0.25">
      <c r="A394" s="2">
        <v>393</v>
      </c>
      <c r="B394" s="3" t="str">
        <f t="shared" si="114"/>
        <v>101124-HO-BED</v>
      </c>
      <c r="C394" s="3">
        <v>40506</v>
      </c>
      <c r="D394" s="3">
        <f t="shared" si="116"/>
        <v>40520</v>
      </c>
      <c r="E394" s="3">
        <f t="shared" si="117"/>
        <v>40567</v>
      </c>
      <c r="F394" s="3">
        <f t="shared" si="118"/>
        <v>40512</v>
      </c>
      <c r="G394" s="76">
        <f t="shared" si="119"/>
        <v>2010</v>
      </c>
      <c r="H394" s="76">
        <f t="shared" si="120"/>
        <v>11</v>
      </c>
      <c r="I394" s="76" t="str">
        <f>VLOOKUP(H394,'Lookup Values'!$C$2:$D$13,2,FALSE)</f>
        <v>NOV</v>
      </c>
      <c r="J394" s="76">
        <f t="shared" si="121"/>
        <v>24</v>
      </c>
      <c r="K394" s="76">
        <f t="shared" si="122"/>
        <v>4</v>
      </c>
      <c r="L394" s="76" t="str">
        <f>VLOOKUP(K394,'Lookup Values'!$F$2:$G$8,2,FALSE)</f>
        <v>Wednesday</v>
      </c>
      <c r="M394" s="3">
        <v>40515</v>
      </c>
      <c r="N394" s="78">
        <f t="shared" si="115"/>
        <v>9</v>
      </c>
      <c r="O394" s="11">
        <v>0.22957119767432688</v>
      </c>
      <c r="P394" s="94">
        <f t="shared" si="123"/>
        <v>5</v>
      </c>
      <c r="Q394" s="94">
        <f t="shared" si="124"/>
        <v>30</v>
      </c>
      <c r="R394" s="94">
        <f t="shared" si="125"/>
        <v>35</v>
      </c>
      <c r="S394" s="94" t="str">
        <f>VLOOKUP(O394,'Lookup Values'!$I$2:$L$8,4,TRUE)</f>
        <v>Early Morning</v>
      </c>
      <c r="T394" t="s">
        <v>100</v>
      </c>
      <c r="U394" t="s">
        <v>101</v>
      </c>
      <c r="V394" t="str">
        <f t="shared" si="126"/>
        <v>Home: Cleaning Supplies</v>
      </c>
      <c r="W394" t="s">
        <v>99</v>
      </c>
      <c r="X394" t="s">
        <v>78</v>
      </c>
      <c r="Y394" s="1">
        <v>278</v>
      </c>
      <c r="Z394" s="1" t="str">
        <f t="shared" si="127"/>
        <v>Home: $278.00</v>
      </c>
      <c r="AA394" s="1">
        <f>IF(Y394="","",ROUND(Y394*'Lookup Values'!$A$2,2))</f>
        <v>24.67</v>
      </c>
      <c r="AB394" s="12" t="str">
        <f t="shared" si="128"/>
        <v>Expense</v>
      </c>
      <c r="AC394" s="2" t="s">
        <v>523</v>
      </c>
      <c r="AD394" s="3">
        <f t="shared" si="129"/>
        <v>40506</v>
      </c>
      <c r="AE394" s="93" t="str">
        <f t="shared" si="130"/>
        <v>NO</v>
      </c>
      <c r="AF394" s="2" t="str">
        <f t="shared" si="131"/>
        <v>NO</v>
      </c>
      <c r="AG394" t="str">
        <f t="shared" si="132"/>
        <v>Late Transaction</v>
      </c>
    </row>
    <row r="395" spans="1:33" x14ac:dyDescent="0.25">
      <c r="A395" s="2">
        <v>394</v>
      </c>
      <c r="B395" s="3" t="str">
        <f t="shared" si="114"/>
        <v>080818-HO-BED</v>
      </c>
      <c r="C395" s="3">
        <v>39678</v>
      </c>
      <c r="D395" s="3">
        <f t="shared" si="116"/>
        <v>39692</v>
      </c>
      <c r="E395" s="3">
        <f t="shared" si="117"/>
        <v>39739</v>
      </c>
      <c r="F395" s="3">
        <f t="shared" si="118"/>
        <v>39691</v>
      </c>
      <c r="G395" s="76">
        <f t="shared" si="119"/>
        <v>2008</v>
      </c>
      <c r="H395" s="76">
        <f t="shared" si="120"/>
        <v>8</v>
      </c>
      <c r="I395" s="76" t="str">
        <f>VLOOKUP(H395,'Lookup Values'!$C$2:$D$13,2,FALSE)</f>
        <v>AUG</v>
      </c>
      <c r="J395" s="76">
        <f t="shared" si="121"/>
        <v>18</v>
      </c>
      <c r="K395" s="76">
        <f t="shared" si="122"/>
        <v>2</v>
      </c>
      <c r="L395" s="76" t="str">
        <f>VLOOKUP(K395,'Lookup Values'!$F$2:$G$8,2,FALSE)</f>
        <v>Monday</v>
      </c>
      <c r="M395" s="3">
        <v>39681</v>
      </c>
      <c r="N395" s="78">
        <f t="shared" si="115"/>
        <v>3</v>
      </c>
      <c r="O395" s="11">
        <v>0.26339638701854229</v>
      </c>
      <c r="P395" s="94">
        <f t="shared" si="123"/>
        <v>6</v>
      </c>
      <c r="Q395" s="94">
        <f t="shared" si="124"/>
        <v>19</v>
      </c>
      <c r="R395" s="94">
        <f t="shared" si="125"/>
        <v>17</v>
      </c>
      <c r="S395" s="94" t="str">
        <f>VLOOKUP(O395,'Lookup Values'!$I$2:$L$8,4,TRUE)</f>
        <v>Early Morning</v>
      </c>
      <c r="T395" t="s">
        <v>100</v>
      </c>
      <c r="U395" t="s">
        <v>101</v>
      </c>
      <c r="V395" t="str">
        <f t="shared" si="126"/>
        <v>Home: Cleaning Supplies</v>
      </c>
      <c r="W395" t="s">
        <v>99</v>
      </c>
      <c r="X395" t="s">
        <v>88</v>
      </c>
      <c r="Y395" s="1">
        <v>328</v>
      </c>
      <c r="Z395" s="1" t="str">
        <f t="shared" si="127"/>
        <v>Home: $328.00</v>
      </c>
      <c r="AA395" s="1">
        <f>IF(Y395="","",ROUND(Y395*'Lookup Values'!$A$2,2))</f>
        <v>29.11</v>
      </c>
      <c r="AB395" s="12" t="str">
        <f t="shared" si="128"/>
        <v>Expense</v>
      </c>
      <c r="AC395" s="2" t="s">
        <v>524</v>
      </c>
      <c r="AD395" s="3">
        <f t="shared" si="129"/>
        <v>39678</v>
      </c>
      <c r="AE395" s="93" t="str">
        <f t="shared" si="130"/>
        <v>NO</v>
      </c>
      <c r="AF395" s="2" t="str">
        <f t="shared" si="131"/>
        <v>NO</v>
      </c>
      <c r="AG395" t="str">
        <f t="shared" si="132"/>
        <v>Late Transaction</v>
      </c>
    </row>
    <row r="396" spans="1:33" x14ac:dyDescent="0.25">
      <c r="A396" s="2">
        <v>395</v>
      </c>
      <c r="B396" s="3" t="str">
        <f t="shared" si="114"/>
        <v>100820-FO-TRA</v>
      </c>
      <c r="C396" s="3">
        <v>40410</v>
      </c>
      <c r="D396" s="3">
        <f t="shared" si="116"/>
        <v>40424</v>
      </c>
      <c r="E396" s="3">
        <f t="shared" si="117"/>
        <v>40471</v>
      </c>
      <c r="F396" s="3">
        <f t="shared" si="118"/>
        <v>40421</v>
      </c>
      <c r="G396" s="76">
        <f t="shared" si="119"/>
        <v>2010</v>
      </c>
      <c r="H396" s="76">
        <f t="shared" si="120"/>
        <v>8</v>
      </c>
      <c r="I396" s="76" t="str">
        <f>VLOOKUP(H396,'Lookup Values'!$C$2:$D$13,2,FALSE)</f>
        <v>AUG</v>
      </c>
      <c r="J396" s="76">
        <f t="shared" si="121"/>
        <v>20</v>
      </c>
      <c r="K396" s="76">
        <f t="shared" si="122"/>
        <v>6</v>
      </c>
      <c r="L396" s="76" t="str">
        <f>VLOOKUP(K396,'Lookup Values'!$F$2:$G$8,2,FALSE)</f>
        <v>Friday</v>
      </c>
      <c r="M396" s="3">
        <v>40417</v>
      </c>
      <c r="N396" s="78">
        <f t="shared" si="115"/>
        <v>7</v>
      </c>
      <c r="O396" s="11">
        <v>0.7863638141401339</v>
      </c>
      <c r="P396" s="94">
        <f t="shared" si="123"/>
        <v>18</v>
      </c>
      <c r="Q396" s="94">
        <f t="shared" si="124"/>
        <v>52</v>
      </c>
      <c r="R396" s="94">
        <f t="shared" si="125"/>
        <v>22</v>
      </c>
      <c r="S396" s="94" t="str">
        <f>VLOOKUP(O396,'Lookup Values'!$I$2:$L$8,4,TRUE)</f>
        <v>Evening</v>
      </c>
      <c r="T396" t="s">
        <v>80</v>
      </c>
      <c r="U396" t="s">
        <v>93</v>
      </c>
      <c r="V396" t="str">
        <f t="shared" si="126"/>
        <v>Food: Groceries</v>
      </c>
      <c r="W396" t="s">
        <v>92</v>
      </c>
      <c r="X396" t="s">
        <v>78</v>
      </c>
      <c r="Y396" s="1">
        <v>338</v>
      </c>
      <c r="Z396" s="1" t="str">
        <f t="shared" si="127"/>
        <v>Food: $338.00</v>
      </c>
      <c r="AA396" s="1">
        <f>IF(Y396="","",ROUND(Y396*'Lookup Values'!$A$2,2))</f>
        <v>30</v>
      </c>
      <c r="AB396" s="12" t="str">
        <f t="shared" si="128"/>
        <v>Expense</v>
      </c>
      <c r="AC396" s="2" t="s">
        <v>457</v>
      </c>
      <c r="AD396" s="3">
        <f t="shared" si="129"/>
        <v>40410</v>
      </c>
      <c r="AE396" s="93" t="str">
        <f t="shared" si="130"/>
        <v>NO</v>
      </c>
      <c r="AF396" s="2" t="str">
        <f t="shared" si="131"/>
        <v>NO</v>
      </c>
      <c r="AG396" t="str">
        <f t="shared" si="132"/>
        <v>Late Transaction</v>
      </c>
    </row>
    <row r="397" spans="1:33" x14ac:dyDescent="0.25">
      <c r="A397" s="2">
        <v>396</v>
      </c>
      <c r="B397" s="3" t="str">
        <f t="shared" si="114"/>
        <v>080711-HE-FRE</v>
      </c>
      <c r="C397" s="3">
        <v>39640</v>
      </c>
      <c r="D397" s="3">
        <f t="shared" si="116"/>
        <v>39654</v>
      </c>
      <c r="E397" s="3">
        <f t="shared" si="117"/>
        <v>39702</v>
      </c>
      <c r="F397" s="3">
        <f t="shared" si="118"/>
        <v>39660</v>
      </c>
      <c r="G397" s="76">
        <f t="shared" si="119"/>
        <v>2008</v>
      </c>
      <c r="H397" s="76">
        <f t="shared" si="120"/>
        <v>7</v>
      </c>
      <c r="I397" s="76" t="str">
        <f>VLOOKUP(H397,'Lookup Values'!$C$2:$D$13,2,FALSE)</f>
        <v>JUL</v>
      </c>
      <c r="J397" s="76">
        <f t="shared" si="121"/>
        <v>11</v>
      </c>
      <c r="K397" s="76">
        <f t="shared" si="122"/>
        <v>6</v>
      </c>
      <c r="L397" s="76" t="str">
        <f>VLOOKUP(K397,'Lookup Values'!$F$2:$G$8,2,FALSE)</f>
        <v>Friday</v>
      </c>
      <c r="M397" s="3">
        <v>39649</v>
      </c>
      <c r="N397" s="78">
        <f t="shared" si="115"/>
        <v>9</v>
      </c>
      <c r="O397" s="11">
        <v>9.3926098326722385E-2</v>
      </c>
      <c r="P397" s="94">
        <f t="shared" si="123"/>
        <v>2</v>
      </c>
      <c r="Q397" s="94">
        <f t="shared" si="124"/>
        <v>15</v>
      </c>
      <c r="R397" s="94">
        <f t="shared" si="125"/>
        <v>15</v>
      </c>
      <c r="S397" s="94" t="str">
        <f>VLOOKUP(O397,'Lookup Values'!$I$2:$L$8,4,TRUE)</f>
        <v>Dead of Night</v>
      </c>
      <c r="T397" t="s">
        <v>107</v>
      </c>
      <c r="U397" t="s">
        <v>108</v>
      </c>
      <c r="V397" t="str">
        <f t="shared" si="126"/>
        <v>Health: Insurance Premium</v>
      </c>
      <c r="W397" t="s">
        <v>106</v>
      </c>
      <c r="X397" t="s">
        <v>91</v>
      </c>
      <c r="Y397" s="1">
        <v>228</v>
      </c>
      <c r="Z397" s="1" t="str">
        <f t="shared" si="127"/>
        <v>Health: $228.00</v>
      </c>
      <c r="AA397" s="1">
        <f>IF(Y397="","",ROUND(Y397*'Lookup Values'!$A$2,2))</f>
        <v>20.239999999999998</v>
      </c>
      <c r="AB397" s="12" t="str">
        <f t="shared" si="128"/>
        <v>Expense</v>
      </c>
      <c r="AC397" s="2" t="s">
        <v>525</v>
      </c>
      <c r="AD397" s="3">
        <f t="shared" si="129"/>
        <v>39640</v>
      </c>
      <c r="AE397" s="93" t="str">
        <f t="shared" si="130"/>
        <v>NO</v>
      </c>
      <c r="AF397" s="2" t="str">
        <f t="shared" si="131"/>
        <v>NO</v>
      </c>
      <c r="AG397" t="str">
        <f t="shared" si="132"/>
        <v>Late Transaction</v>
      </c>
    </row>
    <row r="398" spans="1:33" x14ac:dyDescent="0.25">
      <c r="A398" s="2">
        <v>397</v>
      </c>
      <c r="B398" s="3" t="str">
        <f t="shared" si="114"/>
        <v>110417-FO-CIT</v>
      </c>
      <c r="C398" s="3">
        <v>40650</v>
      </c>
      <c r="D398" s="3">
        <f t="shared" si="116"/>
        <v>40662</v>
      </c>
      <c r="E398" s="3">
        <f t="shared" si="117"/>
        <v>40711</v>
      </c>
      <c r="F398" s="3">
        <f t="shared" si="118"/>
        <v>40663</v>
      </c>
      <c r="G398" s="76">
        <f t="shared" si="119"/>
        <v>2011</v>
      </c>
      <c r="H398" s="76">
        <f t="shared" si="120"/>
        <v>4</v>
      </c>
      <c r="I398" s="76" t="str">
        <f>VLOOKUP(H398,'Lookup Values'!$C$2:$D$13,2,FALSE)</f>
        <v>APR</v>
      </c>
      <c r="J398" s="76">
        <f t="shared" si="121"/>
        <v>17</v>
      </c>
      <c r="K398" s="76">
        <f t="shared" si="122"/>
        <v>1</v>
      </c>
      <c r="L398" s="76" t="str">
        <f>VLOOKUP(K398,'Lookup Values'!$F$2:$G$8,2,FALSE)</f>
        <v>Sunday</v>
      </c>
      <c r="M398" s="3">
        <v>40652</v>
      </c>
      <c r="N398" s="78">
        <f t="shared" si="115"/>
        <v>2</v>
      </c>
      <c r="O398" s="11">
        <v>0.9311236354202389</v>
      </c>
      <c r="P398" s="94">
        <f t="shared" si="123"/>
        <v>22</v>
      </c>
      <c r="Q398" s="94">
        <f t="shared" si="124"/>
        <v>20</v>
      </c>
      <c r="R398" s="94">
        <f t="shared" si="125"/>
        <v>49</v>
      </c>
      <c r="S398" s="94" t="str">
        <f>VLOOKUP(O398,'Lookup Values'!$I$2:$L$8,4,TRUE)</f>
        <v>Late Evening</v>
      </c>
      <c r="T398" t="s">
        <v>80</v>
      </c>
      <c r="U398" t="s">
        <v>105</v>
      </c>
      <c r="V398" t="str">
        <f t="shared" si="126"/>
        <v>Food: Coffee</v>
      </c>
      <c r="W398" t="s">
        <v>104</v>
      </c>
      <c r="X398" t="s">
        <v>91</v>
      </c>
      <c r="Y398" s="1">
        <v>102</v>
      </c>
      <c r="Z398" s="1" t="str">
        <f t="shared" si="127"/>
        <v>Food: $102.00</v>
      </c>
      <c r="AA398" s="1">
        <f>IF(Y398="","",ROUND(Y398*'Lookup Values'!$A$2,2))</f>
        <v>9.0500000000000007</v>
      </c>
      <c r="AB398" s="12" t="str">
        <f t="shared" si="128"/>
        <v>Expense</v>
      </c>
      <c r="AC398" s="2" t="s">
        <v>526</v>
      </c>
      <c r="AD398" s="3">
        <f t="shared" si="129"/>
        <v>40650</v>
      </c>
      <c r="AE398" s="93" t="str">
        <f t="shared" si="130"/>
        <v>NO</v>
      </c>
      <c r="AF398" s="2" t="str">
        <f t="shared" si="131"/>
        <v>NO</v>
      </c>
      <c r="AG398" t="str">
        <f t="shared" si="132"/>
        <v>CRAP Transaction</v>
      </c>
    </row>
    <row r="399" spans="1:33" x14ac:dyDescent="0.25">
      <c r="A399" s="2">
        <v>398</v>
      </c>
      <c r="B399" s="3" t="str">
        <f t="shared" si="114"/>
        <v>080902-IN-EZE</v>
      </c>
      <c r="C399" s="3">
        <v>39693</v>
      </c>
      <c r="D399" s="3">
        <f t="shared" si="116"/>
        <v>39707</v>
      </c>
      <c r="E399" s="3">
        <f t="shared" si="117"/>
        <v>39754</v>
      </c>
      <c r="F399" s="3">
        <f t="shared" si="118"/>
        <v>39721</v>
      </c>
      <c r="G399" s="76">
        <f t="shared" si="119"/>
        <v>2008</v>
      </c>
      <c r="H399" s="76">
        <f t="shared" si="120"/>
        <v>9</v>
      </c>
      <c r="I399" s="76" t="str">
        <f>VLOOKUP(H399,'Lookup Values'!$C$2:$D$13,2,FALSE)</f>
        <v>SEP</v>
      </c>
      <c r="J399" s="76">
        <f t="shared" si="121"/>
        <v>2</v>
      </c>
      <c r="K399" s="76">
        <f t="shared" si="122"/>
        <v>3</v>
      </c>
      <c r="L399" s="76" t="str">
        <f>VLOOKUP(K399,'Lookup Values'!$F$2:$G$8,2,FALSE)</f>
        <v>Tuesday</v>
      </c>
      <c r="M399" s="3">
        <v>39699</v>
      </c>
      <c r="N399" s="78">
        <f t="shared" si="115"/>
        <v>6</v>
      </c>
      <c r="O399" s="11">
        <v>0.34155044239839916</v>
      </c>
      <c r="P399" s="94">
        <f t="shared" si="123"/>
        <v>8</v>
      </c>
      <c r="Q399" s="94">
        <f t="shared" si="124"/>
        <v>11</v>
      </c>
      <c r="R399" s="94">
        <f t="shared" si="125"/>
        <v>50</v>
      </c>
      <c r="S399" s="94" t="str">
        <f>VLOOKUP(O399,'Lookup Values'!$I$2:$L$8,4,TRUE)</f>
        <v>Morning</v>
      </c>
      <c r="T399" t="s">
        <v>158</v>
      </c>
      <c r="U399" t="s">
        <v>159</v>
      </c>
      <c r="V399" t="str">
        <f t="shared" si="126"/>
        <v>Income: Salary</v>
      </c>
      <c r="W399" t="s">
        <v>162</v>
      </c>
      <c r="X399" t="s">
        <v>88</v>
      </c>
      <c r="Y399" s="1">
        <v>154</v>
      </c>
      <c r="Z399" s="1" t="str">
        <f t="shared" si="127"/>
        <v>Income: $154.00</v>
      </c>
      <c r="AA399" s="1">
        <f>IF(Y399="","",ROUND(Y399*'Lookup Values'!$A$2,2))</f>
        <v>13.67</v>
      </c>
      <c r="AB399" s="12" t="str">
        <f t="shared" si="128"/>
        <v>Income</v>
      </c>
      <c r="AC399" s="2" t="s">
        <v>178</v>
      </c>
      <c r="AD399" s="3">
        <f t="shared" si="129"/>
        <v>39693</v>
      </c>
      <c r="AE399" s="93" t="str">
        <f t="shared" si="130"/>
        <v>NO</v>
      </c>
      <c r="AF399" s="2" t="str">
        <f t="shared" si="131"/>
        <v>NO</v>
      </c>
      <c r="AG399" t="str">
        <f t="shared" si="132"/>
        <v>Late Transaction</v>
      </c>
    </row>
    <row r="400" spans="1:33" x14ac:dyDescent="0.25">
      <c r="A400" s="2">
        <v>399</v>
      </c>
      <c r="B400" s="3" t="str">
        <f t="shared" si="114"/>
        <v>110515-IN-AUN</v>
      </c>
      <c r="C400" s="3">
        <v>40678</v>
      </c>
      <c r="D400" s="3">
        <f t="shared" si="116"/>
        <v>40690</v>
      </c>
      <c r="E400" s="3">
        <f t="shared" si="117"/>
        <v>40739</v>
      </c>
      <c r="F400" s="3">
        <f t="shared" si="118"/>
        <v>40694</v>
      </c>
      <c r="G400" s="76">
        <f t="shared" si="119"/>
        <v>2011</v>
      </c>
      <c r="H400" s="76">
        <f t="shared" si="120"/>
        <v>5</v>
      </c>
      <c r="I400" s="76" t="str">
        <f>VLOOKUP(H400,'Lookup Values'!$C$2:$D$13,2,FALSE)</f>
        <v>MAY</v>
      </c>
      <c r="J400" s="76">
        <f t="shared" si="121"/>
        <v>15</v>
      </c>
      <c r="K400" s="76">
        <f t="shared" si="122"/>
        <v>1</v>
      </c>
      <c r="L400" s="76" t="str">
        <f>VLOOKUP(K400,'Lookup Values'!$F$2:$G$8,2,FALSE)</f>
        <v>Sunday</v>
      </c>
      <c r="M400" s="3">
        <v>40685</v>
      </c>
      <c r="N400" s="78">
        <f t="shared" si="115"/>
        <v>7</v>
      </c>
      <c r="O400" s="11">
        <v>0.97999412880831571</v>
      </c>
      <c r="P400" s="94">
        <f t="shared" si="123"/>
        <v>23</v>
      </c>
      <c r="Q400" s="94">
        <f t="shared" si="124"/>
        <v>31</v>
      </c>
      <c r="R400" s="94">
        <f t="shared" si="125"/>
        <v>11</v>
      </c>
      <c r="S400" s="94" t="str">
        <f>VLOOKUP(O400,'Lookup Values'!$I$2:$L$8,4,TRUE)</f>
        <v>Late Evening</v>
      </c>
      <c r="T400" t="s">
        <v>158</v>
      </c>
      <c r="U400" t="s">
        <v>161</v>
      </c>
      <c r="V400" t="str">
        <f t="shared" si="126"/>
        <v>Income: Gift Received</v>
      </c>
      <c r="W400" t="s">
        <v>164</v>
      </c>
      <c r="X400" t="s">
        <v>88</v>
      </c>
      <c r="Y400" s="1">
        <v>353</v>
      </c>
      <c r="Z400" s="1" t="str">
        <f t="shared" si="127"/>
        <v>Income: $353.00</v>
      </c>
      <c r="AA400" s="1">
        <f>IF(Y400="","",ROUND(Y400*'Lookup Values'!$A$2,2))</f>
        <v>31.33</v>
      </c>
      <c r="AB400" s="12" t="str">
        <f t="shared" si="128"/>
        <v>Income</v>
      </c>
      <c r="AC400" s="2" t="s">
        <v>527</v>
      </c>
      <c r="AD400" s="3">
        <f t="shared" si="129"/>
        <v>40678</v>
      </c>
      <c r="AE400" s="93" t="str">
        <f t="shared" si="130"/>
        <v>NO</v>
      </c>
      <c r="AF400" s="2" t="str">
        <f t="shared" si="131"/>
        <v>NO</v>
      </c>
      <c r="AG400" t="str">
        <f t="shared" si="132"/>
        <v>CRAP Transaction</v>
      </c>
    </row>
    <row r="401" spans="1:33" x14ac:dyDescent="0.25">
      <c r="A401" s="2">
        <v>400</v>
      </c>
      <c r="B401" s="3" t="str">
        <f t="shared" si="114"/>
        <v>110808-ED-SKI</v>
      </c>
      <c r="C401" s="3">
        <v>40763</v>
      </c>
      <c r="D401" s="3">
        <f t="shared" si="116"/>
        <v>40777</v>
      </c>
      <c r="E401" s="3">
        <f t="shared" si="117"/>
        <v>40824</v>
      </c>
      <c r="F401" s="3">
        <f t="shared" si="118"/>
        <v>40786</v>
      </c>
      <c r="G401" s="76">
        <f t="shared" si="119"/>
        <v>2011</v>
      </c>
      <c r="H401" s="76">
        <f t="shared" si="120"/>
        <v>8</v>
      </c>
      <c r="I401" s="76" t="str">
        <f>VLOOKUP(H401,'Lookup Values'!$C$2:$D$13,2,FALSE)</f>
        <v>AUG</v>
      </c>
      <c r="J401" s="76">
        <f t="shared" si="121"/>
        <v>8</v>
      </c>
      <c r="K401" s="76">
        <f t="shared" si="122"/>
        <v>2</v>
      </c>
      <c r="L401" s="76" t="str">
        <f>VLOOKUP(K401,'Lookup Values'!$F$2:$G$8,2,FALSE)</f>
        <v>Monday</v>
      </c>
      <c r="M401" s="3">
        <v>40765</v>
      </c>
      <c r="N401" s="78">
        <f t="shared" si="115"/>
        <v>2</v>
      </c>
      <c r="O401" s="11">
        <v>0.30795179633293301</v>
      </c>
      <c r="P401" s="94">
        <f t="shared" si="123"/>
        <v>7</v>
      </c>
      <c r="Q401" s="94">
        <f t="shared" si="124"/>
        <v>23</v>
      </c>
      <c r="R401" s="94">
        <f t="shared" si="125"/>
        <v>27</v>
      </c>
      <c r="S401" s="94" t="str">
        <f>VLOOKUP(O401,'Lookup Values'!$I$2:$L$8,4,TRUE)</f>
        <v>Morning</v>
      </c>
      <c r="T401" t="s">
        <v>86</v>
      </c>
      <c r="U401" t="s">
        <v>98</v>
      </c>
      <c r="V401" t="str">
        <f t="shared" si="126"/>
        <v>Education: Professional Development</v>
      </c>
      <c r="W401" t="s">
        <v>97</v>
      </c>
      <c r="X401" t="s">
        <v>91</v>
      </c>
      <c r="Y401" s="1">
        <v>193</v>
      </c>
      <c r="Z401" s="1" t="str">
        <f t="shared" si="127"/>
        <v>Education: $193.00</v>
      </c>
      <c r="AA401" s="1">
        <f>IF(Y401="","",ROUND(Y401*'Lookup Values'!$A$2,2))</f>
        <v>17.13</v>
      </c>
      <c r="AB401" s="12" t="str">
        <f t="shared" si="128"/>
        <v>Expense</v>
      </c>
      <c r="AC401" s="2" t="s">
        <v>528</v>
      </c>
      <c r="AD401" s="3">
        <f t="shared" si="129"/>
        <v>40763</v>
      </c>
      <c r="AE401" s="93" t="str">
        <f t="shared" si="130"/>
        <v>YES</v>
      </c>
      <c r="AF401" s="2" t="str">
        <f t="shared" si="131"/>
        <v>NO</v>
      </c>
      <c r="AG401" t="str">
        <f t="shared" si="132"/>
        <v>CRAP Transaction</v>
      </c>
    </row>
    <row r="402" spans="1:33" x14ac:dyDescent="0.25">
      <c r="A402" s="2">
        <v>401</v>
      </c>
      <c r="B402" s="3" t="str">
        <f t="shared" si="114"/>
        <v>110525-FO-TRA</v>
      </c>
      <c r="C402" s="3">
        <v>40688</v>
      </c>
      <c r="D402" s="3">
        <f t="shared" si="116"/>
        <v>40702</v>
      </c>
      <c r="E402" s="3">
        <f t="shared" si="117"/>
        <v>40749</v>
      </c>
      <c r="F402" s="3">
        <f t="shared" si="118"/>
        <v>40694</v>
      </c>
      <c r="G402" s="76">
        <f t="shared" si="119"/>
        <v>2011</v>
      </c>
      <c r="H402" s="76">
        <f t="shared" si="120"/>
        <v>5</v>
      </c>
      <c r="I402" s="76" t="str">
        <f>VLOOKUP(H402,'Lookup Values'!$C$2:$D$13,2,FALSE)</f>
        <v>MAY</v>
      </c>
      <c r="J402" s="76">
        <f t="shared" si="121"/>
        <v>25</v>
      </c>
      <c r="K402" s="76">
        <f t="shared" si="122"/>
        <v>4</v>
      </c>
      <c r="L402" s="76" t="str">
        <f>VLOOKUP(K402,'Lookup Values'!$F$2:$G$8,2,FALSE)</f>
        <v>Wednesday</v>
      </c>
      <c r="M402" s="3">
        <v>40698</v>
      </c>
      <c r="N402" s="78">
        <f t="shared" si="115"/>
        <v>10</v>
      </c>
      <c r="O402" s="11">
        <v>0.82707546114227426</v>
      </c>
      <c r="P402" s="94">
        <f t="shared" si="123"/>
        <v>19</v>
      </c>
      <c r="Q402" s="94">
        <f t="shared" si="124"/>
        <v>50</v>
      </c>
      <c r="R402" s="94">
        <f t="shared" si="125"/>
        <v>59</v>
      </c>
      <c r="S402" s="94" t="str">
        <f>VLOOKUP(O402,'Lookup Values'!$I$2:$L$8,4,TRUE)</f>
        <v>Evening</v>
      </c>
      <c r="T402" t="s">
        <v>80</v>
      </c>
      <c r="U402" t="s">
        <v>93</v>
      </c>
      <c r="V402" t="str">
        <f t="shared" si="126"/>
        <v>Food: Groceries</v>
      </c>
      <c r="W402" t="s">
        <v>92</v>
      </c>
      <c r="X402" t="s">
        <v>78</v>
      </c>
      <c r="Y402" s="1">
        <v>141</v>
      </c>
      <c r="Z402" s="1" t="str">
        <f t="shared" si="127"/>
        <v>Food: $141.00</v>
      </c>
      <c r="AA402" s="1">
        <f>IF(Y402="","",ROUND(Y402*'Lookup Values'!$A$2,2))</f>
        <v>12.51</v>
      </c>
      <c r="AB402" s="12" t="str">
        <f t="shared" si="128"/>
        <v>Expense</v>
      </c>
      <c r="AC402" s="2" t="s">
        <v>529</v>
      </c>
      <c r="AD402" s="3">
        <f t="shared" si="129"/>
        <v>40688</v>
      </c>
      <c r="AE402" s="93" t="str">
        <f t="shared" si="130"/>
        <v>NO</v>
      </c>
      <c r="AF402" s="2" t="str">
        <f t="shared" si="131"/>
        <v>NO</v>
      </c>
      <c r="AG402" t="str">
        <f t="shared" si="132"/>
        <v>CRAP Transaction</v>
      </c>
    </row>
    <row r="403" spans="1:33" x14ac:dyDescent="0.25">
      <c r="A403" s="2">
        <v>402</v>
      </c>
      <c r="B403" s="3" t="str">
        <f t="shared" si="114"/>
        <v>100914-EN-FAN</v>
      </c>
      <c r="C403" s="3">
        <v>40435</v>
      </c>
      <c r="D403" s="3">
        <f t="shared" si="116"/>
        <v>40449</v>
      </c>
      <c r="E403" s="3">
        <f t="shared" si="117"/>
        <v>40496</v>
      </c>
      <c r="F403" s="3">
        <f t="shared" si="118"/>
        <v>40451</v>
      </c>
      <c r="G403" s="76">
        <f t="shared" si="119"/>
        <v>2010</v>
      </c>
      <c r="H403" s="76">
        <f t="shared" si="120"/>
        <v>9</v>
      </c>
      <c r="I403" s="76" t="str">
        <f>VLOOKUP(H403,'Lookup Values'!$C$2:$D$13,2,FALSE)</f>
        <v>SEP</v>
      </c>
      <c r="J403" s="76">
        <f t="shared" si="121"/>
        <v>14</v>
      </c>
      <c r="K403" s="76">
        <f t="shared" si="122"/>
        <v>3</v>
      </c>
      <c r="L403" s="76" t="str">
        <f>VLOOKUP(K403,'Lookup Values'!$F$2:$G$8,2,FALSE)</f>
        <v>Tuesday</v>
      </c>
      <c r="M403" s="3">
        <v>40436</v>
      </c>
      <c r="N403" s="78">
        <f t="shared" si="115"/>
        <v>1</v>
      </c>
      <c r="O403" s="11">
        <v>0.68606754801093695</v>
      </c>
      <c r="P403" s="94">
        <f t="shared" si="123"/>
        <v>16</v>
      </c>
      <c r="Q403" s="94">
        <f t="shared" si="124"/>
        <v>27</v>
      </c>
      <c r="R403" s="94">
        <f t="shared" si="125"/>
        <v>56</v>
      </c>
      <c r="S403" s="94" t="str">
        <f>VLOOKUP(O403,'Lookup Values'!$I$2:$L$8,4,TRUE)</f>
        <v>Afternoon</v>
      </c>
      <c r="T403" t="s">
        <v>76</v>
      </c>
      <c r="U403" t="s">
        <v>90</v>
      </c>
      <c r="V403" t="str">
        <f t="shared" si="126"/>
        <v>Entertainment: Movies</v>
      </c>
      <c r="W403" t="s">
        <v>89</v>
      </c>
      <c r="X403" t="s">
        <v>91</v>
      </c>
      <c r="Y403" s="1">
        <v>105</v>
      </c>
      <c r="Z403" s="1" t="str">
        <f t="shared" si="127"/>
        <v>Entertainment: $105.00</v>
      </c>
      <c r="AA403" s="1">
        <f>IF(Y403="","",ROUND(Y403*'Lookup Values'!$A$2,2))</f>
        <v>9.32</v>
      </c>
      <c r="AB403" s="12" t="str">
        <f t="shared" si="128"/>
        <v>Expense</v>
      </c>
      <c r="AC403" s="2" t="s">
        <v>327</v>
      </c>
      <c r="AD403" s="3">
        <f t="shared" si="129"/>
        <v>40435</v>
      </c>
      <c r="AE403" s="93" t="str">
        <f t="shared" si="130"/>
        <v>NO</v>
      </c>
      <c r="AF403" s="2" t="str">
        <f t="shared" si="131"/>
        <v>NO</v>
      </c>
      <c r="AG403" t="str">
        <f t="shared" si="132"/>
        <v>Late Transaction</v>
      </c>
    </row>
    <row r="404" spans="1:33" x14ac:dyDescent="0.25">
      <c r="A404" s="2">
        <v>403</v>
      </c>
      <c r="B404" s="3" t="str">
        <f t="shared" si="114"/>
        <v>120510-FO-TRA</v>
      </c>
      <c r="C404" s="3">
        <v>41039</v>
      </c>
      <c r="D404" s="3">
        <f t="shared" si="116"/>
        <v>41053</v>
      </c>
      <c r="E404" s="3">
        <f t="shared" si="117"/>
        <v>41100</v>
      </c>
      <c r="F404" s="3">
        <f t="shared" si="118"/>
        <v>41060</v>
      </c>
      <c r="G404" s="76">
        <f t="shared" si="119"/>
        <v>2012</v>
      </c>
      <c r="H404" s="76">
        <f t="shared" si="120"/>
        <v>5</v>
      </c>
      <c r="I404" s="76" t="str">
        <f>VLOOKUP(H404,'Lookup Values'!$C$2:$D$13,2,FALSE)</f>
        <v>MAY</v>
      </c>
      <c r="J404" s="76">
        <f t="shared" si="121"/>
        <v>10</v>
      </c>
      <c r="K404" s="76">
        <f t="shared" si="122"/>
        <v>5</v>
      </c>
      <c r="L404" s="76" t="str">
        <f>VLOOKUP(K404,'Lookup Values'!$F$2:$G$8,2,FALSE)</f>
        <v>Thursday</v>
      </c>
      <c r="M404" s="3">
        <v>41045</v>
      </c>
      <c r="N404" s="78">
        <f t="shared" si="115"/>
        <v>6</v>
      </c>
      <c r="O404" s="11">
        <v>0.44596803865877677</v>
      </c>
      <c r="P404" s="94">
        <f t="shared" si="123"/>
        <v>10</v>
      </c>
      <c r="Q404" s="94">
        <f t="shared" si="124"/>
        <v>42</v>
      </c>
      <c r="R404" s="94">
        <f t="shared" si="125"/>
        <v>12</v>
      </c>
      <c r="S404" s="94" t="str">
        <f>VLOOKUP(O404,'Lookup Values'!$I$2:$L$8,4,TRUE)</f>
        <v>Late Morning</v>
      </c>
      <c r="T404" t="s">
        <v>80</v>
      </c>
      <c r="U404" t="s">
        <v>93</v>
      </c>
      <c r="V404" t="str">
        <f t="shared" si="126"/>
        <v>Food: Groceries</v>
      </c>
      <c r="W404" t="s">
        <v>92</v>
      </c>
      <c r="X404" t="s">
        <v>78</v>
      </c>
      <c r="Y404" s="1">
        <v>87</v>
      </c>
      <c r="Z404" s="1" t="str">
        <f t="shared" si="127"/>
        <v>Food: $87.00</v>
      </c>
      <c r="AA404" s="1">
        <f>IF(Y404="","",ROUND(Y404*'Lookup Values'!$A$2,2))</f>
        <v>7.72</v>
      </c>
      <c r="AB404" s="12" t="str">
        <f t="shared" si="128"/>
        <v>Expense</v>
      </c>
      <c r="AC404" s="2" t="s">
        <v>530</v>
      </c>
      <c r="AD404" s="3">
        <f t="shared" si="129"/>
        <v>41039</v>
      </c>
      <c r="AE404" s="93" t="str">
        <f t="shared" si="130"/>
        <v>NO</v>
      </c>
      <c r="AF404" s="2" t="str">
        <f t="shared" si="131"/>
        <v>NO</v>
      </c>
      <c r="AG404" t="str">
        <f t="shared" si="132"/>
        <v>CRAP Transaction</v>
      </c>
    </row>
    <row r="405" spans="1:33" x14ac:dyDescent="0.25">
      <c r="A405" s="2">
        <v>404</v>
      </c>
      <c r="B405" s="3" t="str">
        <f t="shared" si="114"/>
        <v>080926-SH-AMA</v>
      </c>
      <c r="C405" s="3">
        <v>39717</v>
      </c>
      <c r="D405" s="3">
        <f t="shared" si="116"/>
        <v>39731</v>
      </c>
      <c r="E405" s="3">
        <f t="shared" si="117"/>
        <v>39778</v>
      </c>
      <c r="F405" s="3">
        <f t="shared" si="118"/>
        <v>39721</v>
      </c>
      <c r="G405" s="76">
        <f t="shared" si="119"/>
        <v>2008</v>
      </c>
      <c r="H405" s="76">
        <f t="shared" si="120"/>
        <v>9</v>
      </c>
      <c r="I405" s="76" t="str">
        <f>VLOOKUP(H405,'Lookup Values'!$C$2:$D$13,2,FALSE)</f>
        <v>SEP</v>
      </c>
      <c r="J405" s="76">
        <f t="shared" si="121"/>
        <v>26</v>
      </c>
      <c r="K405" s="76">
        <f t="shared" si="122"/>
        <v>6</v>
      </c>
      <c r="L405" s="76" t="str">
        <f>VLOOKUP(K405,'Lookup Values'!$F$2:$G$8,2,FALSE)</f>
        <v>Friday</v>
      </c>
      <c r="M405" s="3">
        <v>39721</v>
      </c>
      <c r="N405" s="78">
        <f t="shared" si="115"/>
        <v>4</v>
      </c>
      <c r="O405" s="11">
        <v>0.78422885646330154</v>
      </c>
      <c r="P405" s="94">
        <f t="shared" si="123"/>
        <v>18</v>
      </c>
      <c r="Q405" s="94">
        <f t="shared" si="124"/>
        <v>49</v>
      </c>
      <c r="R405" s="94">
        <f t="shared" si="125"/>
        <v>17</v>
      </c>
      <c r="S405" s="94" t="str">
        <f>VLOOKUP(O405,'Lookup Values'!$I$2:$L$8,4,TRUE)</f>
        <v>Evening</v>
      </c>
      <c r="T405" t="s">
        <v>83</v>
      </c>
      <c r="U405" t="s">
        <v>84</v>
      </c>
      <c r="V405" t="str">
        <f t="shared" si="126"/>
        <v>Shopping: Electronics</v>
      </c>
      <c r="W405" t="s">
        <v>82</v>
      </c>
      <c r="X405" t="s">
        <v>78</v>
      </c>
      <c r="Y405" s="1">
        <v>9</v>
      </c>
      <c r="Z405" s="1" t="str">
        <f t="shared" si="127"/>
        <v>Shopping: $9.00</v>
      </c>
      <c r="AA405" s="1">
        <f>IF(Y405="","",ROUND(Y405*'Lookup Values'!$A$2,2))</f>
        <v>0.8</v>
      </c>
      <c r="AB405" s="12" t="str">
        <f t="shared" si="128"/>
        <v>Expense</v>
      </c>
      <c r="AC405" s="2" t="s">
        <v>531</v>
      </c>
      <c r="AD405" s="3">
        <f t="shared" si="129"/>
        <v>39717</v>
      </c>
      <c r="AE405" s="93" t="str">
        <f t="shared" si="130"/>
        <v>YES</v>
      </c>
      <c r="AF405" s="2" t="str">
        <f t="shared" si="131"/>
        <v>NO</v>
      </c>
      <c r="AG405" t="str">
        <f t="shared" si="132"/>
        <v>Awesome Transaction</v>
      </c>
    </row>
    <row r="406" spans="1:33" x14ac:dyDescent="0.25">
      <c r="A406" s="2">
        <v>405</v>
      </c>
      <c r="B406" s="3" t="str">
        <f t="shared" si="114"/>
        <v>070427-SH-EXP</v>
      </c>
      <c r="C406" s="3">
        <v>39199</v>
      </c>
      <c r="D406" s="3">
        <f t="shared" si="116"/>
        <v>39213</v>
      </c>
      <c r="E406" s="3">
        <f t="shared" si="117"/>
        <v>39260</v>
      </c>
      <c r="F406" s="3">
        <f t="shared" si="118"/>
        <v>39202</v>
      </c>
      <c r="G406" s="76">
        <f t="shared" si="119"/>
        <v>2007</v>
      </c>
      <c r="H406" s="76">
        <f t="shared" si="120"/>
        <v>4</v>
      </c>
      <c r="I406" s="76" t="str">
        <f>VLOOKUP(H406,'Lookup Values'!$C$2:$D$13,2,FALSE)</f>
        <v>APR</v>
      </c>
      <c r="J406" s="76">
        <f t="shared" si="121"/>
        <v>27</v>
      </c>
      <c r="K406" s="76">
        <f t="shared" si="122"/>
        <v>6</v>
      </c>
      <c r="L406" s="76" t="str">
        <f>VLOOKUP(K406,'Lookup Values'!$F$2:$G$8,2,FALSE)</f>
        <v>Friday</v>
      </c>
      <c r="M406" s="3">
        <v>39202</v>
      </c>
      <c r="N406" s="78">
        <f t="shared" si="115"/>
        <v>3</v>
      </c>
      <c r="O406" s="11">
        <v>0.51624095473200493</v>
      </c>
      <c r="P406" s="94">
        <f t="shared" si="123"/>
        <v>12</v>
      </c>
      <c r="Q406" s="94">
        <f t="shared" si="124"/>
        <v>23</v>
      </c>
      <c r="R406" s="94">
        <f t="shared" si="125"/>
        <v>23</v>
      </c>
      <c r="S406" s="94" t="str">
        <f>VLOOKUP(O406,'Lookup Values'!$I$2:$L$8,4,TRUE)</f>
        <v>Afternoon</v>
      </c>
      <c r="T406" t="s">
        <v>83</v>
      </c>
      <c r="U406" t="s">
        <v>103</v>
      </c>
      <c r="V406" t="str">
        <f t="shared" si="126"/>
        <v>Shopping: Clothing</v>
      </c>
      <c r="W406" t="s">
        <v>102</v>
      </c>
      <c r="X406" t="s">
        <v>88</v>
      </c>
      <c r="Y406" s="1">
        <v>426</v>
      </c>
      <c r="Z406" s="1" t="str">
        <f t="shared" si="127"/>
        <v>Shopping: $426.00</v>
      </c>
      <c r="AA406" s="1">
        <f>IF(Y406="","",ROUND(Y406*'Lookup Values'!$A$2,2))</f>
        <v>37.81</v>
      </c>
      <c r="AB406" s="12" t="str">
        <f t="shared" si="128"/>
        <v>Expense</v>
      </c>
      <c r="AC406" s="2" t="s">
        <v>532</v>
      </c>
      <c r="AD406" s="3">
        <f t="shared" si="129"/>
        <v>39199</v>
      </c>
      <c r="AE406" s="93" t="str">
        <f t="shared" si="130"/>
        <v>NO</v>
      </c>
      <c r="AF406" s="2" t="str">
        <f t="shared" si="131"/>
        <v>NO</v>
      </c>
      <c r="AG406" t="str">
        <f t="shared" si="132"/>
        <v>Awesome Transaction</v>
      </c>
    </row>
    <row r="407" spans="1:33" x14ac:dyDescent="0.25">
      <c r="A407" s="2">
        <v>406</v>
      </c>
      <c r="B407" s="3" t="str">
        <f t="shared" si="114"/>
        <v>071215-EN-MOE</v>
      </c>
      <c r="C407" s="3">
        <v>39431</v>
      </c>
      <c r="D407" s="3">
        <f t="shared" si="116"/>
        <v>39444</v>
      </c>
      <c r="E407" s="3">
        <f t="shared" si="117"/>
        <v>39493</v>
      </c>
      <c r="F407" s="3">
        <f t="shared" si="118"/>
        <v>39447</v>
      </c>
      <c r="G407" s="76">
        <f t="shared" si="119"/>
        <v>2007</v>
      </c>
      <c r="H407" s="76">
        <f t="shared" si="120"/>
        <v>12</v>
      </c>
      <c r="I407" s="76" t="str">
        <f>VLOOKUP(H407,'Lookup Values'!$C$2:$D$13,2,FALSE)</f>
        <v>DEC</v>
      </c>
      <c r="J407" s="76">
        <f t="shared" si="121"/>
        <v>15</v>
      </c>
      <c r="K407" s="76">
        <f t="shared" si="122"/>
        <v>7</v>
      </c>
      <c r="L407" s="76" t="str">
        <f>VLOOKUP(K407,'Lookup Values'!$F$2:$G$8,2,FALSE)</f>
        <v>Saturday</v>
      </c>
      <c r="M407" s="3">
        <v>39436</v>
      </c>
      <c r="N407" s="78">
        <f t="shared" si="115"/>
        <v>5</v>
      </c>
      <c r="O407" s="11">
        <v>7.0450723740805854E-2</v>
      </c>
      <c r="P407" s="94">
        <f t="shared" si="123"/>
        <v>1</v>
      </c>
      <c r="Q407" s="94">
        <f t="shared" si="124"/>
        <v>41</v>
      </c>
      <c r="R407" s="94">
        <f t="shared" si="125"/>
        <v>27</v>
      </c>
      <c r="S407" s="94" t="str">
        <f>VLOOKUP(O407,'Lookup Values'!$I$2:$L$8,4,TRUE)</f>
        <v>Dead of Night</v>
      </c>
      <c r="T407" t="s">
        <v>76</v>
      </c>
      <c r="U407" t="s">
        <v>77</v>
      </c>
      <c r="V407" t="str">
        <f t="shared" si="126"/>
        <v>Entertainment: Alcohol</v>
      </c>
      <c r="W407" t="s">
        <v>75</v>
      </c>
      <c r="X407" t="s">
        <v>78</v>
      </c>
      <c r="Y407" s="1">
        <v>274</v>
      </c>
      <c r="Z407" s="1" t="str">
        <f t="shared" si="127"/>
        <v>Entertainment: $274.00</v>
      </c>
      <c r="AA407" s="1">
        <f>IF(Y407="","",ROUND(Y407*'Lookup Values'!$A$2,2))</f>
        <v>24.32</v>
      </c>
      <c r="AB407" s="12" t="str">
        <f t="shared" si="128"/>
        <v>Expense</v>
      </c>
      <c r="AC407" s="2" t="s">
        <v>533</v>
      </c>
      <c r="AD407" s="3">
        <f t="shared" si="129"/>
        <v>39431</v>
      </c>
      <c r="AE407" s="93" t="str">
        <f t="shared" si="130"/>
        <v>NO</v>
      </c>
      <c r="AF407" s="2" t="str">
        <f t="shared" si="131"/>
        <v>NO</v>
      </c>
      <c r="AG407" t="str">
        <f t="shared" si="132"/>
        <v>Awesome Transaction</v>
      </c>
    </row>
    <row r="408" spans="1:33" x14ac:dyDescent="0.25">
      <c r="A408" s="2">
        <v>407</v>
      </c>
      <c r="B408" s="3" t="str">
        <f t="shared" si="114"/>
        <v>090917-FO-TRA</v>
      </c>
      <c r="C408" s="3">
        <v>40073</v>
      </c>
      <c r="D408" s="3">
        <f t="shared" si="116"/>
        <v>40087</v>
      </c>
      <c r="E408" s="3">
        <f t="shared" si="117"/>
        <v>40134</v>
      </c>
      <c r="F408" s="3">
        <f t="shared" si="118"/>
        <v>40086</v>
      </c>
      <c r="G408" s="76">
        <f t="shared" si="119"/>
        <v>2009</v>
      </c>
      <c r="H408" s="76">
        <f t="shared" si="120"/>
        <v>9</v>
      </c>
      <c r="I408" s="76" t="str">
        <f>VLOOKUP(H408,'Lookup Values'!$C$2:$D$13,2,FALSE)</f>
        <v>SEP</v>
      </c>
      <c r="J408" s="76">
        <f t="shared" si="121"/>
        <v>17</v>
      </c>
      <c r="K408" s="76">
        <f t="shared" si="122"/>
        <v>5</v>
      </c>
      <c r="L408" s="76" t="str">
        <f>VLOOKUP(K408,'Lookup Values'!$F$2:$G$8,2,FALSE)</f>
        <v>Thursday</v>
      </c>
      <c r="M408" s="3">
        <v>40077</v>
      </c>
      <c r="N408" s="78">
        <f t="shared" si="115"/>
        <v>4</v>
      </c>
      <c r="O408" s="11">
        <v>0.95207377800594484</v>
      </c>
      <c r="P408" s="94">
        <f t="shared" si="123"/>
        <v>22</v>
      </c>
      <c r="Q408" s="94">
        <f t="shared" si="124"/>
        <v>50</v>
      </c>
      <c r="R408" s="94">
        <f t="shared" si="125"/>
        <v>59</v>
      </c>
      <c r="S408" s="94" t="str">
        <f>VLOOKUP(O408,'Lookup Values'!$I$2:$L$8,4,TRUE)</f>
        <v>Late Evening</v>
      </c>
      <c r="T408" t="s">
        <v>80</v>
      </c>
      <c r="U408" t="s">
        <v>93</v>
      </c>
      <c r="V408" t="str">
        <f t="shared" si="126"/>
        <v>Food: Groceries</v>
      </c>
      <c r="W408" t="s">
        <v>92</v>
      </c>
      <c r="X408" t="s">
        <v>78</v>
      </c>
      <c r="Y408" s="1">
        <v>153</v>
      </c>
      <c r="Z408" s="1" t="str">
        <f t="shared" si="127"/>
        <v>Food: $153.00</v>
      </c>
      <c r="AA408" s="1">
        <f>IF(Y408="","",ROUND(Y408*'Lookup Values'!$A$2,2))</f>
        <v>13.58</v>
      </c>
      <c r="AB408" s="12" t="str">
        <f t="shared" si="128"/>
        <v>Expense</v>
      </c>
      <c r="AC408" s="2" t="s">
        <v>534</v>
      </c>
      <c r="AD408" s="3">
        <f t="shared" si="129"/>
        <v>40073</v>
      </c>
      <c r="AE408" s="93" t="str">
        <f t="shared" si="130"/>
        <v>NO</v>
      </c>
      <c r="AF408" s="2" t="str">
        <f t="shared" si="131"/>
        <v>NO</v>
      </c>
      <c r="AG408" t="str">
        <f t="shared" si="132"/>
        <v>Awesome Transaction</v>
      </c>
    </row>
    <row r="409" spans="1:33" x14ac:dyDescent="0.25">
      <c r="A409" s="2">
        <v>408</v>
      </c>
      <c r="B409" s="3" t="str">
        <f t="shared" si="114"/>
        <v>101205-HE-FRE</v>
      </c>
      <c r="C409" s="3">
        <v>40517</v>
      </c>
      <c r="D409" s="3">
        <f t="shared" si="116"/>
        <v>40529</v>
      </c>
      <c r="E409" s="3">
        <f t="shared" si="117"/>
        <v>40579</v>
      </c>
      <c r="F409" s="3">
        <f t="shared" si="118"/>
        <v>40543</v>
      </c>
      <c r="G409" s="76">
        <f t="shared" si="119"/>
        <v>2010</v>
      </c>
      <c r="H409" s="76">
        <f t="shared" si="120"/>
        <v>12</v>
      </c>
      <c r="I409" s="76" t="str">
        <f>VLOOKUP(H409,'Lookup Values'!$C$2:$D$13,2,FALSE)</f>
        <v>DEC</v>
      </c>
      <c r="J409" s="76">
        <f t="shared" si="121"/>
        <v>5</v>
      </c>
      <c r="K409" s="76">
        <f t="shared" si="122"/>
        <v>1</v>
      </c>
      <c r="L409" s="76" t="str">
        <f>VLOOKUP(K409,'Lookup Values'!$F$2:$G$8,2,FALSE)</f>
        <v>Sunday</v>
      </c>
      <c r="M409" s="3">
        <v>40526</v>
      </c>
      <c r="N409" s="78">
        <f t="shared" si="115"/>
        <v>9</v>
      </c>
      <c r="O409" s="11">
        <v>0.56719087540556723</v>
      </c>
      <c r="P409" s="94">
        <f t="shared" si="123"/>
        <v>13</v>
      </c>
      <c r="Q409" s="94">
        <f t="shared" si="124"/>
        <v>36</v>
      </c>
      <c r="R409" s="94">
        <f t="shared" si="125"/>
        <v>45</v>
      </c>
      <c r="S409" s="94" t="str">
        <f>VLOOKUP(O409,'Lookup Values'!$I$2:$L$8,4,TRUE)</f>
        <v>Afternoon</v>
      </c>
      <c r="T409" t="s">
        <v>107</v>
      </c>
      <c r="U409" t="s">
        <v>108</v>
      </c>
      <c r="V409" t="str">
        <f t="shared" si="126"/>
        <v>Health: Insurance Premium</v>
      </c>
      <c r="W409" t="s">
        <v>106</v>
      </c>
      <c r="X409" t="s">
        <v>88</v>
      </c>
      <c r="Y409" s="1">
        <v>111</v>
      </c>
      <c r="Z409" s="1" t="str">
        <f t="shared" si="127"/>
        <v>Health: $111.00</v>
      </c>
      <c r="AA409" s="1">
        <f>IF(Y409="","",ROUND(Y409*'Lookup Values'!$A$2,2))</f>
        <v>9.85</v>
      </c>
      <c r="AB409" s="12" t="str">
        <f t="shared" si="128"/>
        <v>Expense</v>
      </c>
      <c r="AC409" s="2" t="s">
        <v>535</v>
      </c>
      <c r="AD409" s="3">
        <f t="shared" si="129"/>
        <v>40517</v>
      </c>
      <c r="AE409" s="93" t="str">
        <f t="shared" si="130"/>
        <v>NO</v>
      </c>
      <c r="AF409" s="2" t="str">
        <f t="shared" si="131"/>
        <v>NO</v>
      </c>
      <c r="AG409" t="str">
        <f t="shared" si="132"/>
        <v>Late Transaction</v>
      </c>
    </row>
    <row r="410" spans="1:33" x14ac:dyDescent="0.25">
      <c r="A410" s="2">
        <v>409</v>
      </c>
      <c r="B410" s="3" t="str">
        <f t="shared" si="114"/>
        <v>090531-EN-FAN</v>
      </c>
      <c r="C410" s="3">
        <v>39964</v>
      </c>
      <c r="D410" s="3">
        <f t="shared" si="116"/>
        <v>39976</v>
      </c>
      <c r="E410" s="3">
        <f t="shared" si="117"/>
        <v>40025</v>
      </c>
      <c r="F410" s="3">
        <f t="shared" si="118"/>
        <v>39964</v>
      </c>
      <c r="G410" s="76">
        <f t="shared" si="119"/>
        <v>2009</v>
      </c>
      <c r="H410" s="76">
        <f t="shared" si="120"/>
        <v>5</v>
      </c>
      <c r="I410" s="76" t="str">
        <f>VLOOKUP(H410,'Lookup Values'!$C$2:$D$13,2,FALSE)</f>
        <v>MAY</v>
      </c>
      <c r="J410" s="76">
        <f t="shared" si="121"/>
        <v>31</v>
      </c>
      <c r="K410" s="76">
        <f t="shared" si="122"/>
        <v>1</v>
      </c>
      <c r="L410" s="76" t="str">
        <f>VLOOKUP(K410,'Lookup Values'!$F$2:$G$8,2,FALSE)</f>
        <v>Sunday</v>
      </c>
      <c r="M410" s="3">
        <v>39971</v>
      </c>
      <c r="N410" s="78">
        <f t="shared" si="115"/>
        <v>7</v>
      </c>
      <c r="O410" s="11">
        <v>0.90786797578665601</v>
      </c>
      <c r="P410" s="94">
        <f t="shared" si="123"/>
        <v>21</v>
      </c>
      <c r="Q410" s="94">
        <f t="shared" si="124"/>
        <v>47</v>
      </c>
      <c r="R410" s="94">
        <f t="shared" si="125"/>
        <v>20</v>
      </c>
      <c r="S410" s="94" t="str">
        <f>VLOOKUP(O410,'Lookup Values'!$I$2:$L$8,4,TRUE)</f>
        <v>Late Evening</v>
      </c>
      <c r="T410" t="s">
        <v>76</v>
      </c>
      <c r="U410" t="s">
        <v>90</v>
      </c>
      <c r="V410" t="str">
        <f t="shared" si="126"/>
        <v>Entertainment: Movies</v>
      </c>
      <c r="W410" t="s">
        <v>89</v>
      </c>
      <c r="X410" t="s">
        <v>91</v>
      </c>
      <c r="Y410" s="1">
        <v>305</v>
      </c>
      <c r="Z410" s="1" t="str">
        <f t="shared" si="127"/>
        <v>Entertainment: $305.00</v>
      </c>
      <c r="AA410" s="1">
        <f>IF(Y410="","",ROUND(Y410*'Lookup Values'!$A$2,2))</f>
        <v>27.07</v>
      </c>
      <c r="AB410" s="12" t="str">
        <f t="shared" si="128"/>
        <v>Expense</v>
      </c>
      <c r="AC410" s="2" t="s">
        <v>536</v>
      </c>
      <c r="AD410" s="3">
        <f t="shared" si="129"/>
        <v>39964</v>
      </c>
      <c r="AE410" s="93" t="str">
        <f t="shared" si="130"/>
        <v>NO</v>
      </c>
      <c r="AF410" s="2" t="str">
        <f t="shared" si="131"/>
        <v>NO</v>
      </c>
      <c r="AG410" t="str">
        <f t="shared" si="132"/>
        <v>Awesome Transaction</v>
      </c>
    </row>
    <row r="411" spans="1:33" x14ac:dyDescent="0.25">
      <c r="A411" s="2">
        <v>410</v>
      </c>
      <c r="B411" s="3" t="str">
        <f t="shared" si="114"/>
        <v>080325-EN-MOE</v>
      </c>
      <c r="C411" s="3">
        <v>39532</v>
      </c>
      <c r="D411" s="3">
        <f t="shared" si="116"/>
        <v>39546</v>
      </c>
      <c r="E411" s="3">
        <f t="shared" si="117"/>
        <v>39593</v>
      </c>
      <c r="F411" s="3">
        <f t="shared" si="118"/>
        <v>39538</v>
      </c>
      <c r="G411" s="76">
        <f t="shared" si="119"/>
        <v>2008</v>
      </c>
      <c r="H411" s="76">
        <f t="shared" si="120"/>
        <v>3</v>
      </c>
      <c r="I411" s="76" t="str">
        <f>VLOOKUP(H411,'Lookup Values'!$C$2:$D$13,2,FALSE)</f>
        <v>MAR</v>
      </c>
      <c r="J411" s="76">
        <f t="shared" si="121"/>
        <v>25</v>
      </c>
      <c r="K411" s="76">
        <f t="shared" si="122"/>
        <v>3</v>
      </c>
      <c r="L411" s="76" t="str">
        <f>VLOOKUP(K411,'Lookup Values'!$F$2:$G$8,2,FALSE)</f>
        <v>Tuesday</v>
      </c>
      <c r="M411" s="3">
        <v>39538</v>
      </c>
      <c r="N411" s="78">
        <f t="shared" si="115"/>
        <v>6</v>
      </c>
      <c r="O411" s="11">
        <v>0.33414013843582324</v>
      </c>
      <c r="P411" s="94">
        <f t="shared" si="123"/>
        <v>8</v>
      </c>
      <c r="Q411" s="94">
        <f t="shared" si="124"/>
        <v>1</v>
      </c>
      <c r="R411" s="94">
        <f t="shared" si="125"/>
        <v>10</v>
      </c>
      <c r="S411" s="94" t="str">
        <f>VLOOKUP(O411,'Lookup Values'!$I$2:$L$8,4,TRUE)</f>
        <v>Morning</v>
      </c>
      <c r="T411" t="s">
        <v>76</v>
      </c>
      <c r="U411" t="s">
        <v>77</v>
      </c>
      <c r="V411" t="str">
        <f t="shared" si="126"/>
        <v>Entertainment: Alcohol</v>
      </c>
      <c r="W411" t="s">
        <v>75</v>
      </c>
      <c r="X411" t="s">
        <v>88</v>
      </c>
      <c r="Y411" s="1">
        <v>111</v>
      </c>
      <c r="Z411" s="1" t="str">
        <f t="shared" si="127"/>
        <v>Entertainment: $111.00</v>
      </c>
      <c r="AA411" s="1">
        <f>IF(Y411="","",ROUND(Y411*'Lookup Values'!$A$2,2))</f>
        <v>9.85</v>
      </c>
      <c r="AB411" s="12" t="str">
        <f t="shared" si="128"/>
        <v>Expense</v>
      </c>
      <c r="AC411" s="2" t="s">
        <v>491</v>
      </c>
      <c r="AD411" s="3">
        <f t="shared" si="129"/>
        <v>39532</v>
      </c>
      <c r="AE411" s="93" t="str">
        <f t="shared" si="130"/>
        <v>NO</v>
      </c>
      <c r="AF411" s="2" t="str">
        <f t="shared" si="131"/>
        <v>NO</v>
      </c>
      <c r="AG411" t="str">
        <f t="shared" si="132"/>
        <v>Awesome Transaction</v>
      </c>
    </row>
    <row r="412" spans="1:33" x14ac:dyDescent="0.25">
      <c r="A412" s="2">
        <v>411</v>
      </c>
      <c r="B412" s="3" t="str">
        <f t="shared" si="114"/>
        <v>101106-SH-EXP</v>
      </c>
      <c r="C412" s="3">
        <v>40488</v>
      </c>
      <c r="D412" s="3">
        <f t="shared" si="116"/>
        <v>40501</v>
      </c>
      <c r="E412" s="3">
        <f t="shared" si="117"/>
        <v>40549</v>
      </c>
      <c r="F412" s="3">
        <f t="shared" si="118"/>
        <v>40512</v>
      </c>
      <c r="G412" s="76">
        <f t="shared" si="119"/>
        <v>2010</v>
      </c>
      <c r="H412" s="76">
        <f t="shared" si="120"/>
        <v>11</v>
      </c>
      <c r="I412" s="76" t="str">
        <f>VLOOKUP(H412,'Lookup Values'!$C$2:$D$13,2,FALSE)</f>
        <v>NOV</v>
      </c>
      <c r="J412" s="76">
        <f t="shared" si="121"/>
        <v>6</v>
      </c>
      <c r="K412" s="76">
        <f t="shared" si="122"/>
        <v>7</v>
      </c>
      <c r="L412" s="76" t="str">
        <f>VLOOKUP(K412,'Lookup Values'!$F$2:$G$8,2,FALSE)</f>
        <v>Saturday</v>
      </c>
      <c r="M412" s="3">
        <v>40491</v>
      </c>
      <c r="N412" s="78">
        <f t="shared" si="115"/>
        <v>3</v>
      </c>
      <c r="O412" s="11">
        <v>0.70758303787077792</v>
      </c>
      <c r="P412" s="94">
        <f t="shared" si="123"/>
        <v>16</v>
      </c>
      <c r="Q412" s="94">
        <f t="shared" si="124"/>
        <v>58</v>
      </c>
      <c r="R412" s="94">
        <f t="shared" si="125"/>
        <v>55</v>
      </c>
      <c r="S412" s="94" t="str">
        <f>VLOOKUP(O412,'Lookup Values'!$I$2:$L$8,4,TRUE)</f>
        <v>Afternoon</v>
      </c>
      <c r="T412" t="s">
        <v>83</v>
      </c>
      <c r="U412" t="s">
        <v>103</v>
      </c>
      <c r="V412" t="str">
        <f t="shared" si="126"/>
        <v>Shopping: Clothing</v>
      </c>
      <c r="W412" t="s">
        <v>102</v>
      </c>
      <c r="X412" t="s">
        <v>88</v>
      </c>
      <c r="Y412" s="1">
        <v>42</v>
      </c>
      <c r="Z412" s="1" t="str">
        <f t="shared" si="127"/>
        <v>Shopping: $42.00</v>
      </c>
      <c r="AA412" s="1">
        <f>IF(Y412="","",ROUND(Y412*'Lookup Values'!$A$2,2))</f>
        <v>3.73</v>
      </c>
      <c r="AB412" s="12" t="str">
        <f t="shared" si="128"/>
        <v>Expense</v>
      </c>
      <c r="AC412" s="2" t="s">
        <v>537</v>
      </c>
      <c r="AD412" s="3">
        <f t="shared" si="129"/>
        <v>40488</v>
      </c>
      <c r="AE412" s="93" t="str">
        <f t="shared" si="130"/>
        <v>NO</v>
      </c>
      <c r="AF412" s="2" t="str">
        <f t="shared" si="131"/>
        <v>NO</v>
      </c>
      <c r="AG412" t="str">
        <f t="shared" si="132"/>
        <v>Late Transaction</v>
      </c>
    </row>
    <row r="413" spans="1:33" x14ac:dyDescent="0.25">
      <c r="A413" s="2">
        <v>412</v>
      </c>
      <c r="B413" s="3" t="str">
        <f t="shared" si="114"/>
        <v>100805-IN-AUN</v>
      </c>
      <c r="C413" s="3">
        <v>40395</v>
      </c>
      <c r="D413" s="3">
        <f t="shared" si="116"/>
        <v>40409</v>
      </c>
      <c r="E413" s="3">
        <f t="shared" si="117"/>
        <v>40456</v>
      </c>
      <c r="F413" s="3">
        <f t="shared" si="118"/>
        <v>40421</v>
      </c>
      <c r="G413" s="76">
        <f t="shared" si="119"/>
        <v>2010</v>
      </c>
      <c r="H413" s="76">
        <f t="shared" si="120"/>
        <v>8</v>
      </c>
      <c r="I413" s="76" t="str">
        <f>VLOOKUP(H413,'Lookup Values'!$C$2:$D$13,2,FALSE)</f>
        <v>AUG</v>
      </c>
      <c r="J413" s="76">
        <f t="shared" si="121"/>
        <v>5</v>
      </c>
      <c r="K413" s="76">
        <f t="shared" si="122"/>
        <v>5</v>
      </c>
      <c r="L413" s="76" t="str">
        <f>VLOOKUP(K413,'Lookup Values'!$F$2:$G$8,2,FALSE)</f>
        <v>Thursday</v>
      </c>
      <c r="M413" s="3">
        <v>40396</v>
      </c>
      <c r="N413" s="78">
        <f t="shared" si="115"/>
        <v>1</v>
      </c>
      <c r="O413" s="11">
        <v>0.31146141548828288</v>
      </c>
      <c r="P413" s="94">
        <f t="shared" si="123"/>
        <v>7</v>
      </c>
      <c r="Q413" s="94">
        <f t="shared" si="124"/>
        <v>28</v>
      </c>
      <c r="R413" s="94">
        <f t="shared" si="125"/>
        <v>30</v>
      </c>
      <c r="S413" s="94" t="str">
        <f>VLOOKUP(O413,'Lookup Values'!$I$2:$L$8,4,TRUE)</f>
        <v>Morning</v>
      </c>
      <c r="T413" t="s">
        <v>158</v>
      </c>
      <c r="U413" t="s">
        <v>161</v>
      </c>
      <c r="V413" t="str">
        <f t="shared" si="126"/>
        <v>Income: Gift Received</v>
      </c>
      <c r="W413" t="s">
        <v>164</v>
      </c>
      <c r="X413" t="s">
        <v>78</v>
      </c>
      <c r="Y413" s="1">
        <v>325</v>
      </c>
      <c r="Z413" s="1" t="str">
        <f t="shared" si="127"/>
        <v>Income: $325.00</v>
      </c>
      <c r="AA413" s="1">
        <f>IF(Y413="","",ROUND(Y413*'Lookup Values'!$A$2,2))</f>
        <v>28.84</v>
      </c>
      <c r="AB413" s="12" t="str">
        <f t="shared" si="128"/>
        <v>Income</v>
      </c>
      <c r="AC413" s="2" t="s">
        <v>538</v>
      </c>
      <c r="AD413" s="3">
        <f t="shared" si="129"/>
        <v>40395</v>
      </c>
      <c r="AE413" s="93" t="str">
        <f t="shared" si="130"/>
        <v>NO</v>
      </c>
      <c r="AF413" s="2" t="str">
        <f t="shared" si="131"/>
        <v>NO</v>
      </c>
      <c r="AG413" t="str">
        <f t="shared" si="132"/>
        <v>Late Transaction</v>
      </c>
    </row>
    <row r="414" spans="1:33" x14ac:dyDescent="0.25">
      <c r="A414" s="2">
        <v>413</v>
      </c>
      <c r="B414" s="3" t="str">
        <f t="shared" si="114"/>
        <v>070721-HO-BED</v>
      </c>
      <c r="C414" s="3">
        <v>39284</v>
      </c>
      <c r="D414" s="3">
        <f t="shared" si="116"/>
        <v>39297</v>
      </c>
      <c r="E414" s="3">
        <f t="shared" si="117"/>
        <v>39346</v>
      </c>
      <c r="F414" s="3">
        <f t="shared" si="118"/>
        <v>39294</v>
      </c>
      <c r="G414" s="76">
        <f t="shared" si="119"/>
        <v>2007</v>
      </c>
      <c r="H414" s="76">
        <f t="shared" si="120"/>
        <v>7</v>
      </c>
      <c r="I414" s="76" t="str">
        <f>VLOOKUP(H414,'Lookup Values'!$C$2:$D$13,2,FALSE)</f>
        <v>JUL</v>
      </c>
      <c r="J414" s="76">
        <f t="shared" si="121"/>
        <v>21</v>
      </c>
      <c r="K414" s="76">
        <f t="shared" si="122"/>
        <v>7</v>
      </c>
      <c r="L414" s="76" t="str">
        <f>VLOOKUP(K414,'Lookup Values'!$F$2:$G$8,2,FALSE)</f>
        <v>Saturday</v>
      </c>
      <c r="M414" s="3">
        <v>39293</v>
      </c>
      <c r="N414" s="78">
        <f t="shared" si="115"/>
        <v>9</v>
      </c>
      <c r="O414" s="11">
        <v>0.55367023653344427</v>
      </c>
      <c r="P414" s="94">
        <f t="shared" si="123"/>
        <v>13</v>
      </c>
      <c r="Q414" s="94">
        <f t="shared" si="124"/>
        <v>17</v>
      </c>
      <c r="R414" s="94">
        <f t="shared" si="125"/>
        <v>17</v>
      </c>
      <c r="S414" s="94" t="str">
        <f>VLOOKUP(O414,'Lookup Values'!$I$2:$L$8,4,TRUE)</f>
        <v>Afternoon</v>
      </c>
      <c r="T414" t="s">
        <v>100</v>
      </c>
      <c r="U414" t="s">
        <v>101</v>
      </c>
      <c r="V414" t="str">
        <f t="shared" si="126"/>
        <v>Home: Cleaning Supplies</v>
      </c>
      <c r="W414" t="s">
        <v>99</v>
      </c>
      <c r="X414" t="s">
        <v>88</v>
      </c>
      <c r="Y414" s="1">
        <v>99</v>
      </c>
      <c r="Z414" s="1" t="str">
        <f t="shared" si="127"/>
        <v>Home: $99.00</v>
      </c>
      <c r="AA414" s="1">
        <f>IF(Y414="","",ROUND(Y414*'Lookup Values'!$A$2,2))</f>
        <v>8.7899999999999991</v>
      </c>
      <c r="AB414" s="12" t="str">
        <f t="shared" si="128"/>
        <v>Expense</v>
      </c>
      <c r="AC414" s="2" t="s">
        <v>539</v>
      </c>
      <c r="AD414" s="3">
        <f t="shared" si="129"/>
        <v>39284</v>
      </c>
      <c r="AE414" s="93" t="str">
        <f t="shared" si="130"/>
        <v>NO</v>
      </c>
      <c r="AF414" s="2" t="str">
        <f t="shared" si="131"/>
        <v>NO</v>
      </c>
      <c r="AG414" t="str">
        <f t="shared" si="132"/>
        <v>Late Transaction</v>
      </c>
    </row>
    <row r="415" spans="1:33" x14ac:dyDescent="0.25">
      <c r="A415" s="2">
        <v>414</v>
      </c>
      <c r="B415" s="3" t="str">
        <f t="shared" si="114"/>
        <v>120529-EN-MOE</v>
      </c>
      <c r="C415" s="3">
        <v>41058</v>
      </c>
      <c r="D415" s="3">
        <f t="shared" si="116"/>
        <v>41072</v>
      </c>
      <c r="E415" s="3">
        <f t="shared" si="117"/>
        <v>41119</v>
      </c>
      <c r="F415" s="3">
        <f t="shared" si="118"/>
        <v>41060</v>
      </c>
      <c r="G415" s="76">
        <f t="shared" si="119"/>
        <v>2012</v>
      </c>
      <c r="H415" s="76">
        <f t="shared" si="120"/>
        <v>5</v>
      </c>
      <c r="I415" s="76" t="str">
        <f>VLOOKUP(H415,'Lookup Values'!$C$2:$D$13,2,FALSE)</f>
        <v>MAY</v>
      </c>
      <c r="J415" s="76">
        <f t="shared" si="121"/>
        <v>29</v>
      </c>
      <c r="K415" s="76">
        <f t="shared" si="122"/>
        <v>3</v>
      </c>
      <c r="L415" s="76" t="str">
        <f>VLOOKUP(K415,'Lookup Values'!$F$2:$G$8,2,FALSE)</f>
        <v>Tuesday</v>
      </c>
      <c r="M415" s="3">
        <v>41059</v>
      </c>
      <c r="N415" s="78">
        <f t="shared" si="115"/>
        <v>1</v>
      </c>
      <c r="O415" s="11">
        <v>0.16173962729501368</v>
      </c>
      <c r="P415" s="94">
        <f t="shared" si="123"/>
        <v>3</v>
      </c>
      <c r="Q415" s="94">
        <f t="shared" si="124"/>
        <v>52</v>
      </c>
      <c r="R415" s="94">
        <f t="shared" si="125"/>
        <v>54</v>
      </c>
      <c r="S415" s="94" t="str">
        <f>VLOOKUP(O415,'Lookup Values'!$I$2:$L$8,4,TRUE)</f>
        <v>Dead of Night</v>
      </c>
      <c r="T415" t="s">
        <v>76</v>
      </c>
      <c r="U415" t="s">
        <v>77</v>
      </c>
      <c r="V415" t="str">
        <f t="shared" si="126"/>
        <v>Entertainment: Alcohol</v>
      </c>
      <c r="W415" t="s">
        <v>75</v>
      </c>
      <c r="X415" t="s">
        <v>88</v>
      </c>
      <c r="Y415" s="1">
        <v>198</v>
      </c>
      <c r="Z415" s="1" t="str">
        <f t="shared" si="127"/>
        <v>Entertainment: $198.00</v>
      </c>
      <c r="AA415" s="1">
        <f>IF(Y415="","",ROUND(Y415*'Lookup Values'!$A$2,2))</f>
        <v>17.57</v>
      </c>
      <c r="AB415" s="12" t="str">
        <f t="shared" si="128"/>
        <v>Expense</v>
      </c>
      <c r="AC415" s="2" t="s">
        <v>540</v>
      </c>
      <c r="AD415" s="3">
        <f t="shared" si="129"/>
        <v>41058</v>
      </c>
      <c r="AE415" s="93" t="str">
        <f t="shared" si="130"/>
        <v>NO</v>
      </c>
      <c r="AF415" s="2" t="str">
        <f t="shared" si="131"/>
        <v>NO</v>
      </c>
      <c r="AG415" t="str">
        <f t="shared" si="132"/>
        <v>CRAP Transaction</v>
      </c>
    </row>
    <row r="416" spans="1:33" x14ac:dyDescent="0.25">
      <c r="A416" s="2">
        <v>415</v>
      </c>
      <c r="B416" s="3" t="str">
        <f t="shared" si="114"/>
        <v>080405-FO-BAN</v>
      </c>
      <c r="C416" s="3">
        <v>39543</v>
      </c>
      <c r="D416" s="3">
        <f t="shared" si="116"/>
        <v>39556</v>
      </c>
      <c r="E416" s="3">
        <f t="shared" si="117"/>
        <v>39604</v>
      </c>
      <c r="F416" s="3">
        <f t="shared" si="118"/>
        <v>39568</v>
      </c>
      <c r="G416" s="76">
        <f t="shared" si="119"/>
        <v>2008</v>
      </c>
      <c r="H416" s="76">
        <f t="shared" si="120"/>
        <v>4</v>
      </c>
      <c r="I416" s="76" t="str">
        <f>VLOOKUP(H416,'Lookup Values'!$C$2:$D$13,2,FALSE)</f>
        <v>APR</v>
      </c>
      <c r="J416" s="76">
        <f t="shared" si="121"/>
        <v>5</v>
      </c>
      <c r="K416" s="76">
        <f t="shared" si="122"/>
        <v>7</v>
      </c>
      <c r="L416" s="76" t="str">
        <f>VLOOKUP(K416,'Lookup Values'!$F$2:$G$8,2,FALSE)</f>
        <v>Saturday</v>
      </c>
      <c r="M416" s="3">
        <v>39548</v>
      </c>
      <c r="N416" s="78">
        <f t="shared" si="115"/>
        <v>5</v>
      </c>
      <c r="O416" s="11">
        <v>0.74933343913286266</v>
      </c>
      <c r="P416" s="94">
        <f t="shared" si="123"/>
        <v>17</v>
      </c>
      <c r="Q416" s="94">
        <f t="shared" si="124"/>
        <v>59</v>
      </c>
      <c r="R416" s="94">
        <f t="shared" si="125"/>
        <v>2</v>
      </c>
      <c r="S416" s="94" t="str">
        <f>VLOOKUP(O416,'Lookup Values'!$I$2:$L$8,4,TRUE)</f>
        <v>Evening</v>
      </c>
      <c r="T416" t="s">
        <v>80</v>
      </c>
      <c r="U416" t="s">
        <v>81</v>
      </c>
      <c r="V416" t="str">
        <f t="shared" si="126"/>
        <v>Food: Restaurants</v>
      </c>
      <c r="W416" t="s">
        <v>79</v>
      </c>
      <c r="X416" t="s">
        <v>91</v>
      </c>
      <c r="Y416" s="1">
        <v>420</v>
      </c>
      <c r="Z416" s="1" t="str">
        <f t="shared" si="127"/>
        <v>Food: $420.00</v>
      </c>
      <c r="AA416" s="1">
        <f>IF(Y416="","",ROUND(Y416*'Lookup Values'!$A$2,2))</f>
        <v>37.28</v>
      </c>
      <c r="AB416" s="12" t="str">
        <f t="shared" si="128"/>
        <v>Expense</v>
      </c>
      <c r="AC416" s="2" t="s">
        <v>446</v>
      </c>
      <c r="AD416" s="3">
        <f t="shared" si="129"/>
        <v>39543</v>
      </c>
      <c r="AE416" s="93" t="str">
        <f t="shared" si="130"/>
        <v>NO</v>
      </c>
      <c r="AF416" s="2" t="str">
        <f t="shared" si="131"/>
        <v>NO</v>
      </c>
      <c r="AG416" t="str">
        <f t="shared" si="132"/>
        <v>Awesome Transaction</v>
      </c>
    </row>
    <row r="417" spans="1:33" x14ac:dyDescent="0.25">
      <c r="A417" s="2">
        <v>416</v>
      </c>
      <c r="B417" s="3" t="str">
        <f t="shared" si="114"/>
        <v>120127-TR-MTA</v>
      </c>
      <c r="C417" s="3">
        <v>40935</v>
      </c>
      <c r="D417" s="3">
        <f t="shared" si="116"/>
        <v>40949</v>
      </c>
      <c r="E417" s="3">
        <f t="shared" si="117"/>
        <v>40995</v>
      </c>
      <c r="F417" s="3">
        <f t="shared" si="118"/>
        <v>40939</v>
      </c>
      <c r="G417" s="76">
        <f t="shared" si="119"/>
        <v>2012</v>
      </c>
      <c r="H417" s="76">
        <f t="shared" si="120"/>
        <v>1</v>
      </c>
      <c r="I417" s="76" t="str">
        <f>VLOOKUP(H417,'Lookup Values'!$C$2:$D$13,2,FALSE)</f>
        <v>JAN</v>
      </c>
      <c r="J417" s="76">
        <f t="shared" si="121"/>
        <v>27</v>
      </c>
      <c r="K417" s="76">
        <f t="shared" si="122"/>
        <v>6</v>
      </c>
      <c r="L417" s="76" t="str">
        <f>VLOOKUP(K417,'Lookup Values'!$F$2:$G$8,2,FALSE)</f>
        <v>Friday</v>
      </c>
      <c r="M417" s="3">
        <v>40936</v>
      </c>
      <c r="N417" s="78">
        <f t="shared" si="115"/>
        <v>1</v>
      </c>
      <c r="O417" s="11">
        <v>0.81700615000042387</v>
      </c>
      <c r="P417" s="94">
        <f t="shared" si="123"/>
        <v>19</v>
      </c>
      <c r="Q417" s="94">
        <f t="shared" si="124"/>
        <v>36</v>
      </c>
      <c r="R417" s="94">
        <f t="shared" si="125"/>
        <v>29</v>
      </c>
      <c r="S417" s="94" t="str">
        <f>VLOOKUP(O417,'Lookup Values'!$I$2:$L$8,4,TRUE)</f>
        <v>Evening</v>
      </c>
      <c r="T417" t="s">
        <v>95</v>
      </c>
      <c r="U417" t="s">
        <v>96</v>
      </c>
      <c r="V417" t="str">
        <f t="shared" si="126"/>
        <v>Transportation: Subway</v>
      </c>
      <c r="W417" t="s">
        <v>94</v>
      </c>
      <c r="X417" t="s">
        <v>88</v>
      </c>
      <c r="Y417" s="1">
        <v>253</v>
      </c>
      <c r="Z417" s="1" t="str">
        <f t="shared" si="127"/>
        <v>Transportation: $253.00</v>
      </c>
      <c r="AA417" s="1">
        <f>IF(Y417="","",ROUND(Y417*'Lookup Values'!$A$2,2))</f>
        <v>22.45</v>
      </c>
      <c r="AB417" s="12" t="str">
        <f t="shared" si="128"/>
        <v>Expense</v>
      </c>
      <c r="AC417" s="2" t="s">
        <v>541</v>
      </c>
      <c r="AD417" s="3">
        <f t="shared" si="129"/>
        <v>40935</v>
      </c>
      <c r="AE417" s="93" t="str">
        <f t="shared" si="130"/>
        <v>YES</v>
      </c>
      <c r="AF417" s="2" t="str">
        <f t="shared" si="131"/>
        <v>NO</v>
      </c>
      <c r="AG417" t="str">
        <f t="shared" si="132"/>
        <v>CRAP Transaction</v>
      </c>
    </row>
    <row r="418" spans="1:33" x14ac:dyDescent="0.25">
      <c r="A418" s="2">
        <v>417</v>
      </c>
      <c r="B418" s="3" t="str">
        <f t="shared" si="114"/>
        <v>070315-ED-SKI</v>
      </c>
      <c r="C418" s="3">
        <v>39156</v>
      </c>
      <c r="D418" s="3">
        <f t="shared" si="116"/>
        <v>39170</v>
      </c>
      <c r="E418" s="3">
        <f t="shared" si="117"/>
        <v>39217</v>
      </c>
      <c r="F418" s="3">
        <f t="shared" si="118"/>
        <v>39172</v>
      </c>
      <c r="G418" s="76">
        <f t="shared" si="119"/>
        <v>2007</v>
      </c>
      <c r="H418" s="76">
        <f t="shared" si="120"/>
        <v>3</v>
      </c>
      <c r="I418" s="76" t="str">
        <f>VLOOKUP(H418,'Lookup Values'!$C$2:$D$13,2,FALSE)</f>
        <v>MAR</v>
      </c>
      <c r="J418" s="76">
        <f t="shared" si="121"/>
        <v>15</v>
      </c>
      <c r="K418" s="76">
        <f t="shared" si="122"/>
        <v>5</v>
      </c>
      <c r="L418" s="76" t="str">
        <f>VLOOKUP(K418,'Lookup Values'!$F$2:$G$8,2,FALSE)</f>
        <v>Thursday</v>
      </c>
      <c r="M418" s="3">
        <v>39161</v>
      </c>
      <c r="N418" s="78">
        <f t="shared" si="115"/>
        <v>5</v>
      </c>
      <c r="O418" s="11">
        <v>0.66115804249339138</v>
      </c>
      <c r="P418" s="94">
        <f t="shared" si="123"/>
        <v>15</v>
      </c>
      <c r="Q418" s="94">
        <f t="shared" si="124"/>
        <v>52</v>
      </c>
      <c r="R418" s="94">
        <f t="shared" si="125"/>
        <v>4</v>
      </c>
      <c r="S418" s="94" t="str">
        <f>VLOOKUP(O418,'Lookup Values'!$I$2:$L$8,4,TRUE)</f>
        <v>Afternoon</v>
      </c>
      <c r="T418" t="s">
        <v>86</v>
      </c>
      <c r="U418" t="s">
        <v>98</v>
      </c>
      <c r="V418" t="str">
        <f t="shared" si="126"/>
        <v>Education: Professional Development</v>
      </c>
      <c r="W418" t="s">
        <v>97</v>
      </c>
      <c r="X418" t="s">
        <v>78</v>
      </c>
      <c r="Y418" s="1">
        <v>262</v>
      </c>
      <c r="Z418" s="1" t="str">
        <f t="shared" si="127"/>
        <v>Education: $262.00</v>
      </c>
      <c r="AA418" s="1">
        <f>IF(Y418="","",ROUND(Y418*'Lookup Values'!$A$2,2))</f>
        <v>23.25</v>
      </c>
      <c r="AB418" s="12" t="str">
        <f t="shared" si="128"/>
        <v>Expense</v>
      </c>
      <c r="AC418" s="2" t="s">
        <v>487</v>
      </c>
      <c r="AD418" s="3">
        <f t="shared" si="129"/>
        <v>39156</v>
      </c>
      <c r="AE418" s="93" t="str">
        <f t="shared" si="130"/>
        <v>YES</v>
      </c>
      <c r="AF418" s="2" t="str">
        <f t="shared" si="131"/>
        <v>NO</v>
      </c>
      <c r="AG418" t="str">
        <f t="shared" si="132"/>
        <v>Late Transaction</v>
      </c>
    </row>
    <row r="419" spans="1:33" x14ac:dyDescent="0.25">
      <c r="A419" s="2">
        <v>418</v>
      </c>
      <c r="B419" s="3" t="str">
        <f t="shared" si="114"/>
        <v>090307-FO-BAN</v>
      </c>
      <c r="C419" s="3">
        <v>39879</v>
      </c>
      <c r="D419" s="3">
        <f t="shared" si="116"/>
        <v>39892</v>
      </c>
      <c r="E419" s="3">
        <f t="shared" si="117"/>
        <v>39940</v>
      </c>
      <c r="F419" s="3">
        <f t="shared" si="118"/>
        <v>39903</v>
      </c>
      <c r="G419" s="76">
        <f t="shared" si="119"/>
        <v>2009</v>
      </c>
      <c r="H419" s="76">
        <f t="shared" si="120"/>
        <v>3</v>
      </c>
      <c r="I419" s="76" t="str">
        <f>VLOOKUP(H419,'Lookup Values'!$C$2:$D$13,2,FALSE)</f>
        <v>MAR</v>
      </c>
      <c r="J419" s="76">
        <f t="shared" si="121"/>
        <v>7</v>
      </c>
      <c r="K419" s="76">
        <f t="shared" si="122"/>
        <v>7</v>
      </c>
      <c r="L419" s="76" t="str">
        <f>VLOOKUP(K419,'Lookup Values'!$F$2:$G$8,2,FALSE)</f>
        <v>Saturday</v>
      </c>
      <c r="M419" s="3">
        <v>39883</v>
      </c>
      <c r="N419" s="78">
        <f t="shared" si="115"/>
        <v>4</v>
      </c>
      <c r="O419" s="11">
        <v>0.62792646313087186</v>
      </c>
      <c r="P419" s="94">
        <f t="shared" si="123"/>
        <v>15</v>
      </c>
      <c r="Q419" s="94">
        <f t="shared" si="124"/>
        <v>4</v>
      </c>
      <c r="R419" s="94">
        <f t="shared" si="125"/>
        <v>13</v>
      </c>
      <c r="S419" s="94" t="str">
        <f>VLOOKUP(O419,'Lookup Values'!$I$2:$L$8,4,TRUE)</f>
        <v>Afternoon</v>
      </c>
      <c r="T419" t="s">
        <v>80</v>
      </c>
      <c r="U419" t="s">
        <v>81</v>
      </c>
      <c r="V419" t="str">
        <f t="shared" si="126"/>
        <v>Food: Restaurants</v>
      </c>
      <c r="W419" t="s">
        <v>79</v>
      </c>
      <c r="X419" t="s">
        <v>88</v>
      </c>
      <c r="Y419" s="1">
        <v>396</v>
      </c>
      <c r="Z419" s="1" t="str">
        <f t="shared" si="127"/>
        <v>Food: $396.00</v>
      </c>
      <c r="AA419" s="1">
        <f>IF(Y419="","",ROUND(Y419*'Lookup Values'!$A$2,2))</f>
        <v>35.15</v>
      </c>
      <c r="AB419" s="12" t="str">
        <f t="shared" si="128"/>
        <v>Expense</v>
      </c>
      <c r="AC419" s="2" t="s">
        <v>393</v>
      </c>
      <c r="AD419" s="3">
        <f t="shared" si="129"/>
        <v>39879</v>
      </c>
      <c r="AE419" s="93" t="str">
        <f t="shared" si="130"/>
        <v>NO</v>
      </c>
      <c r="AF419" s="2" t="str">
        <f t="shared" si="131"/>
        <v>NO</v>
      </c>
      <c r="AG419" t="str">
        <f t="shared" si="132"/>
        <v>Awesome Transaction</v>
      </c>
    </row>
    <row r="420" spans="1:33" x14ac:dyDescent="0.25">
      <c r="A420" s="2">
        <v>419</v>
      </c>
      <c r="B420" s="3" t="str">
        <f t="shared" si="114"/>
        <v>071216-IN-AUN</v>
      </c>
      <c r="C420" s="3">
        <v>39432</v>
      </c>
      <c r="D420" s="3">
        <f t="shared" si="116"/>
        <v>39444</v>
      </c>
      <c r="E420" s="3">
        <f t="shared" si="117"/>
        <v>39494</v>
      </c>
      <c r="F420" s="3">
        <f t="shared" si="118"/>
        <v>39447</v>
      </c>
      <c r="G420" s="76">
        <f t="shared" si="119"/>
        <v>2007</v>
      </c>
      <c r="H420" s="76">
        <f t="shared" si="120"/>
        <v>12</v>
      </c>
      <c r="I420" s="76" t="str">
        <f>VLOOKUP(H420,'Lookup Values'!$C$2:$D$13,2,FALSE)</f>
        <v>DEC</v>
      </c>
      <c r="J420" s="76">
        <f t="shared" si="121"/>
        <v>16</v>
      </c>
      <c r="K420" s="76">
        <f t="shared" si="122"/>
        <v>1</v>
      </c>
      <c r="L420" s="76" t="str">
        <f>VLOOKUP(K420,'Lookup Values'!$F$2:$G$8,2,FALSE)</f>
        <v>Sunday</v>
      </c>
      <c r="M420" s="3">
        <v>39438</v>
      </c>
      <c r="N420" s="78">
        <f t="shared" si="115"/>
        <v>6</v>
      </c>
      <c r="O420" s="11">
        <v>0.77272407178269842</v>
      </c>
      <c r="P420" s="94">
        <f t="shared" si="123"/>
        <v>18</v>
      </c>
      <c r="Q420" s="94">
        <f t="shared" si="124"/>
        <v>32</v>
      </c>
      <c r="R420" s="94">
        <f t="shared" si="125"/>
        <v>43</v>
      </c>
      <c r="S420" s="94" t="str">
        <f>VLOOKUP(O420,'Lookup Values'!$I$2:$L$8,4,TRUE)</f>
        <v>Evening</v>
      </c>
      <c r="T420" t="s">
        <v>158</v>
      </c>
      <c r="U420" t="s">
        <v>161</v>
      </c>
      <c r="V420" t="str">
        <f t="shared" si="126"/>
        <v>Income: Gift Received</v>
      </c>
      <c r="W420" t="s">
        <v>164</v>
      </c>
      <c r="X420" t="s">
        <v>78</v>
      </c>
      <c r="Y420" s="1">
        <v>159</v>
      </c>
      <c r="Z420" s="1" t="str">
        <f t="shared" si="127"/>
        <v>Income: $159.00</v>
      </c>
      <c r="AA420" s="1">
        <f>IF(Y420="","",ROUND(Y420*'Lookup Values'!$A$2,2))</f>
        <v>14.11</v>
      </c>
      <c r="AB420" s="12" t="str">
        <f t="shared" si="128"/>
        <v>Income</v>
      </c>
      <c r="AC420" s="2" t="s">
        <v>542</v>
      </c>
      <c r="AD420" s="3">
        <f t="shared" si="129"/>
        <v>39432</v>
      </c>
      <c r="AE420" s="93" t="str">
        <f t="shared" si="130"/>
        <v>NO</v>
      </c>
      <c r="AF420" s="2" t="str">
        <f t="shared" si="131"/>
        <v>NO</v>
      </c>
      <c r="AG420" t="str">
        <f t="shared" si="132"/>
        <v>Late Transaction</v>
      </c>
    </row>
    <row r="421" spans="1:33" x14ac:dyDescent="0.25">
      <c r="A421" s="2">
        <v>420</v>
      </c>
      <c r="B421" s="3" t="str">
        <f t="shared" si="114"/>
        <v>080824-TR-MTA</v>
      </c>
      <c r="C421" s="3">
        <v>39684</v>
      </c>
      <c r="D421" s="3">
        <f t="shared" si="116"/>
        <v>39696</v>
      </c>
      <c r="E421" s="3">
        <f t="shared" si="117"/>
        <v>39745</v>
      </c>
      <c r="F421" s="3">
        <f t="shared" si="118"/>
        <v>39691</v>
      </c>
      <c r="G421" s="76">
        <f t="shared" si="119"/>
        <v>2008</v>
      </c>
      <c r="H421" s="76">
        <f t="shared" si="120"/>
        <v>8</v>
      </c>
      <c r="I421" s="76" t="str">
        <f>VLOOKUP(H421,'Lookup Values'!$C$2:$D$13,2,FALSE)</f>
        <v>AUG</v>
      </c>
      <c r="J421" s="76">
        <f t="shared" si="121"/>
        <v>24</v>
      </c>
      <c r="K421" s="76">
        <f t="shared" si="122"/>
        <v>1</v>
      </c>
      <c r="L421" s="76" t="str">
        <f>VLOOKUP(K421,'Lookup Values'!$F$2:$G$8,2,FALSE)</f>
        <v>Sunday</v>
      </c>
      <c r="M421" s="3">
        <v>39686</v>
      </c>
      <c r="N421" s="78">
        <f t="shared" si="115"/>
        <v>2</v>
      </c>
      <c r="O421" s="11">
        <v>0.91040692283799529</v>
      </c>
      <c r="P421" s="94">
        <f t="shared" si="123"/>
        <v>21</v>
      </c>
      <c r="Q421" s="94">
        <f t="shared" si="124"/>
        <v>50</v>
      </c>
      <c r="R421" s="94">
        <f t="shared" si="125"/>
        <v>59</v>
      </c>
      <c r="S421" s="94" t="str">
        <f>VLOOKUP(O421,'Lookup Values'!$I$2:$L$8,4,TRUE)</f>
        <v>Late Evening</v>
      </c>
      <c r="T421" t="s">
        <v>95</v>
      </c>
      <c r="U421" t="s">
        <v>96</v>
      </c>
      <c r="V421" t="str">
        <f t="shared" si="126"/>
        <v>Transportation: Subway</v>
      </c>
      <c r="W421" t="s">
        <v>94</v>
      </c>
      <c r="X421" t="s">
        <v>88</v>
      </c>
      <c r="Y421" s="1">
        <v>190</v>
      </c>
      <c r="Z421" s="1" t="str">
        <f t="shared" si="127"/>
        <v>Transportation: $190.00</v>
      </c>
      <c r="AA421" s="1">
        <f>IF(Y421="","",ROUND(Y421*'Lookup Values'!$A$2,2))</f>
        <v>16.86</v>
      </c>
      <c r="AB421" s="12" t="str">
        <f t="shared" si="128"/>
        <v>Expense</v>
      </c>
      <c r="AC421" s="2" t="s">
        <v>288</v>
      </c>
      <c r="AD421" s="3">
        <f t="shared" si="129"/>
        <v>39684</v>
      </c>
      <c r="AE421" s="93" t="str">
        <f t="shared" si="130"/>
        <v>YES</v>
      </c>
      <c r="AF421" s="2" t="str">
        <f t="shared" si="131"/>
        <v>NO</v>
      </c>
      <c r="AG421" t="str">
        <f t="shared" si="132"/>
        <v>Late Transaction</v>
      </c>
    </row>
    <row r="422" spans="1:33" x14ac:dyDescent="0.25">
      <c r="A422" s="2">
        <v>421</v>
      </c>
      <c r="B422" s="3" t="str">
        <f t="shared" si="114"/>
        <v>120812-SH-AMA</v>
      </c>
      <c r="C422" s="3">
        <v>41133</v>
      </c>
      <c r="D422" s="3">
        <f t="shared" si="116"/>
        <v>41145</v>
      </c>
      <c r="E422" s="3">
        <f t="shared" si="117"/>
        <v>41194</v>
      </c>
      <c r="F422" s="3">
        <f t="shared" si="118"/>
        <v>41152</v>
      </c>
      <c r="G422" s="76">
        <f t="shared" si="119"/>
        <v>2012</v>
      </c>
      <c r="H422" s="76">
        <f t="shared" si="120"/>
        <v>8</v>
      </c>
      <c r="I422" s="76" t="str">
        <f>VLOOKUP(H422,'Lookup Values'!$C$2:$D$13,2,FALSE)</f>
        <v>AUG</v>
      </c>
      <c r="J422" s="76">
        <f t="shared" si="121"/>
        <v>12</v>
      </c>
      <c r="K422" s="76">
        <f t="shared" si="122"/>
        <v>1</v>
      </c>
      <c r="L422" s="76" t="str">
        <f>VLOOKUP(K422,'Lookup Values'!$F$2:$G$8,2,FALSE)</f>
        <v>Sunday</v>
      </c>
      <c r="M422" s="3">
        <v>41140</v>
      </c>
      <c r="N422" s="78">
        <f t="shared" si="115"/>
        <v>7</v>
      </c>
      <c r="O422" s="11">
        <v>0.45794943027500978</v>
      </c>
      <c r="P422" s="94">
        <f t="shared" si="123"/>
        <v>10</v>
      </c>
      <c r="Q422" s="94">
        <f t="shared" si="124"/>
        <v>59</v>
      </c>
      <c r="R422" s="94">
        <f t="shared" si="125"/>
        <v>27</v>
      </c>
      <c r="S422" s="94" t="str">
        <f>VLOOKUP(O422,'Lookup Values'!$I$2:$L$8,4,TRUE)</f>
        <v>Late Morning</v>
      </c>
      <c r="T422" t="s">
        <v>83</v>
      </c>
      <c r="U422" t="s">
        <v>84</v>
      </c>
      <c r="V422" t="str">
        <f t="shared" si="126"/>
        <v>Shopping: Electronics</v>
      </c>
      <c r="W422" t="s">
        <v>82</v>
      </c>
      <c r="X422" t="s">
        <v>78</v>
      </c>
      <c r="Y422" s="1">
        <v>427</v>
      </c>
      <c r="Z422" s="1" t="str">
        <f t="shared" si="127"/>
        <v>Shopping: $427.00</v>
      </c>
      <c r="AA422" s="1">
        <f>IF(Y422="","",ROUND(Y422*'Lookup Values'!$A$2,2))</f>
        <v>37.9</v>
      </c>
      <c r="AB422" s="12" t="str">
        <f t="shared" si="128"/>
        <v>Expense</v>
      </c>
      <c r="AC422" s="2" t="s">
        <v>543</v>
      </c>
      <c r="AD422" s="3">
        <f t="shared" si="129"/>
        <v>41133</v>
      </c>
      <c r="AE422" s="93" t="str">
        <f t="shared" si="130"/>
        <v>YES</v>
      </c>
      <c r="AF422" s="2" t="str">
        <f t="shared" si="131"/>
        <v>YES</v>
      </c>
      <c r="AG422" t="str">
        <f t="shared" si="132"/>
        <v>CRAP Transaction</v>
      </c>
    </row>
    <row r="423" spans="1:33" x14ac:dyDescent="0.25">
      <c r="A423" s="2">
        <v>422</v>
      </c>
      <c r="B423" s="3" t="str">
        <f t="shared" si="114"/>
        <v>071113-EN-MOE</v>
      </c>
      <c r="C423" s="3">
        <v>39399</v>
      </c>
      <c r="D423" s="3">
        <f t="shared" si="116"/>
        <v>39413</v>
      </c>
      <c r="E423" s="3">
        <f t="shared" si="117"/>
        <v>39460</v>
      </c>
      <c r="F423" s="3">
        <f t="shared" si="118"/>
        <v>39416</v>
      </c>
      <c r="G423" s="76">
        <f t="shared" si="119"/>
        <v>2007</v>
      </c>
      <c r="H423" s="76">
        <f t="shared" si="120"/>
        <v>11</v>
      </c>
      <c r="I423" s="76" t="str">
        <f>VLOOKUP(H423,'Lookup Values'!$C$2:$D$13,2,FALSE)</f>
        <v>NOV</v>
      </c>
      <c r="J423" s="76">
        <f t="shared" si="121"/>
        <v>13</v>
      </c>
      <c r="K423" s="76">
        <f t="shared" si="122"/>
        <v>3</v>
      </c>
      <c r="L423" s="76" t="str">
        <f>VLOOKUP(K423,'Lookup Values'!$F$2:$G$8,2,FALSE)</f>
        <v>Tuesday</v>
      </c>
      <c r="M423" s="3">
        <v>39404</v>
      </c>
      <c r="N423" s="78">
        <f t="shared" si="115"/>
        <v>5</v>
      </c>
      <c r="O423" s="11">
        <v>0.86582762918609391</v>
      </c>
      <c r="P423" s="94">
        <f t="shared" si="123"/>
        <v>20</v>
      </c>
      <c r="Q423" s="94">
        <f t="shared" si="124"/>
        <v>46</v>
      </c>
      <c r="R423" s="94">
        <f t="shared" si="125"/>
        <v>48</v>
      </c>
      <c r="S423" s="94" t="str">
        <f>VLOOKUP(O423,'Lookup Values'!$I$2:$L$8,4,TRUE)</f>
        <v>Evening</v>
      </c>
      <c r="T423" t="s">
        <v>76</v>
      </c>
      <c r="U423" t="s">
        <v>77</v>
      </c>
      <c r="V423" t="str">
        <f t="shared" si="126"/>
        <v>Entertainment: Alcohol</v>
      </c>
      <c r="W423" t="s">
        <v>75</v>
      </c>
      <c r="X423" t="s">
        <v>91</v>
      </c>
      <c r="Y423" s="1">
        <v>472</v>
      </c>
      <c r="Z423" s="1" t="str">
        <f t="shared" si="127"/>
        <v>Entertainment: $472.00</v>
      </c>
      <c r="AA423" s="1">
        <f>IF(Y423="","",ROUND(Y423*'Lookup Values'!$A$2,2))</f>
        <v>41.89</v>
      </c>
      <c r="AB423" s="12" t="str">
        <f t="shared" si="128"/>
        <v>Expense</v>
      </c>
      <c r="AC423" s="2" t="s">
        <v>544</v>
      </c>
      <c r="AD423" s="3">
        <f t="shared" si="129"/>
        <v>39399</v>
      </c>
      <c r="AE423" s="93" t="str">
        <f t="shared" si="130"/>
        <v>NO</v>
      </c>
      <c r="AF423" s="2" t="str">
        <f t="shared" si="131"/>
        <v>NO</v>
      </c>
      <c r="AG423" t="str">
        <f t="shared" si="132"/>
        <v>Awesome Transaction</v>
      </c>
    </row>
    <row r="424" spans="1:33" x14ac:dyDescent="0.25">
      <c r="A424" s="2">
        <v>423</v>
      </c>
      <c r="B424" s="3" t="str">
        <f t="shared" si="114"/>
        <v>120719-EN-FAN</v>
      </c>
      <c r="C424" s="3">
        <v>41109</v>
      </c>
      <c r="D424" s="3">
        <f t="shared" si="116"/>
        <v>41123</v>
      </c>
      <c r="E424" s="3">
        <f t="shared" si="117"/>
        <v>41171</v>
      </c>
      <c r="F424" s="3">
        <f t="shared" si="118"/>
        <v>41121</v>
      </c>
      <c r="G424" s="76">
        <f t="shared" si="119"/>
        <v>2012</v>
      </c>
      <c r="H424" s="76">
        <f t="shared" si="120"/>
        <v>7</v>
      </c>
      <c r="I424" s="76" t="str">
        <f>VLOOKUP(H424,'Lookup Values'!$C$2:$D$13,2,FALSE)</f>
        <v>JUL</v>
      </c>
      <c r="J424" s="76">
        <f t="shared" si="121"/>
        <v>19</v>
      </c>
      <c r="K424" s="76">
        <f t="shared" si="122"/>
        <v>5</v>
      </c>
      <c r="L424" s="76" t="str">
        <f>VLOOKUP(K424,'Lookup Values'!$F$2:$G$8,2,FALSE)</f>
        <v>Thursday</v>
      </c>
      <c r="M424" s="3">
        <v>41117</v>
      </c>
      <c r="N424" s="78">
        <f t="shared" si="115"/>
        <v>8</v>
      </c>
      <c r="O424" s="11">
        <v>4.4221155702531711E-2</v>
      </c>
      <c r="P424" s="94">
        <f t="shared" si="123"/>
        <v>1</v>
      </c>
      <c r="Q424" s="94">
        <f t="shared" si="124"/>
        <v>3</v>
      </c>
      <c r="R424" s="94">
        <f t="shared" si="125"/>
        <v>41</v>
      </c>
      <c r="S424" s="94" t="str">
        <f>VLOOKUP(O424,'Lookup Values'!$I$2:$L$8,4,TRUE)</f>
        <v>Dead of Night</v>
      </c>
      <c r="T424" t="s">
        <v>76</v>
      </c>
      <c r="U424" t="s">
        <v>90</v>
      </c>
      <c r="V424" t="str">
        <f t="shared" si="126"/>
        <v>Entertainment: Movies</v>
      </c>
      <c r="W424" t="s">
        <v>89</v>
      </c>
      <c r="X424" t="s">
        <v>91</v>
      </c>
      <c r="Y424" s="1">
        <v>356</v>
      </c>
      <c r="Z424" s="1" t="str">
        <f t="shared" si="127"/>
        <v>Entertainment: $356.00</v>
      </c>
      <c r="AA424" s="1">
        <f>IF(Y424="","",ROUND(Y424*'Lookup Values'!$A$2,2))</f>
        <v>31.6</v>
      </c>
      <c r="AB424" s="12" t="str">
        <f t="shared" si="128"/>
        <v>Expense</v>
      </c>
      <c r="AC424" s="2" t="s">
        <v>421</v>
      </c>
      <c r="AD424" s="3">
        <f t="shared" si="129"/>
        <v>41109</v>
      </c>
      <c r="AE424" s="93" t="str">
        <f t="shared" si="130"/>
        <v>NO</v>
      </c>
      <c r="AF424" s="2" t="str">
        <f t="shared" si="131"/>
        <v>NO</v>
      </c>
      <c r="AG424" t="str">
        <f t="shared" si="132"/>
        <v>CRAP Transaction</v>
      </c>
    </row>
    <row r="425" spans="1:33" x14ac:dyDescent="0.25">
      <c r="A425" s="2">
        <v>424</v>
      </c>
      <c r="B425" s="3" t="str">
        <f t="shared" si="114"/>
        <v>071101-ED-SKI</v>
      </c>
      <c r="C425" s="3">
        <v>39387</v>
      </c>
      <c r="D425" s="3">
        <f t="shared" si="116"/>
        <v>39401</v>
      </c>
      <c r="E425" s="3">
        <f t="shared" si="117"/>
        <v>39448</v>
      </c>
      <c r="F425" s="3">
        <f t="shared" si="118"/>
        <v>39416</v>
      </c>
      <c r="G425" s="76">
        <f t="shared" si="119"/>
        <v>2007</v>
      </c>
      <c r="H425" s="76">
        <f t="shared" si="120"/>
        <v>11</v>
      </c>
      <c r="I425" s="76" t="str">
        <f>VLOOKUP(H425,'Lookup Values'!$C$2:$D$13,2,FALSE)</f>
        <v>NOV</v>
      </c>
      <c r="J425" s="76">
        <f t="shared" si="121"/>
        <v>1</v>
      </c>
      <c r="K425" s="76">
        <f t="shared" si="122"/>
        <v>5</v>
      </c>
      <c r="L425" s="76" t="str">
        <f>VLOOKUP(K425,'Lookup Values'!$F$2:$G$8,2,FALSE)</f>
        <v>Thursday</v>
      </c>
      <c r="M425" s="3">
        <v>39394</v>
      </c>
      <c r="N425" s="78">
        <f t="shared" si="115"/>
        <v>7</v>
      </c>
      <c r="O425" s="11">
        <v>0.79923183255168728</v>
      </c>
      <c r="P425" s="94">
        <f t="shared" si="123"/>
        <v>19</v>
      </c>
      <c r="Q425" s="94">
        <f t="shared" si="124"/>
        <v>10</v>
      </c>
      <c r="R425" s="94">
        <f t="shared" si="125"/>
        <v>54</v>
      </c>
      <c r="S425" s="94" t="str">
        <f>VLOOKUP(O425,'Lookup Values'!$I$2:$L$8,4,TRUE)</f>
        <v>Evening</v>
      </c>
      <c r="T425" t="s">
        <v>86</v>
      </c>
      <c r="U425" t="s">
        <v>98</v>
      </c>
      <c r="V425" t="str">
        <f t="shared" si="126"/>
        <v>Education: Professional Development</v>
      </c>
      <c r="W425" t="s">
        <v>97</v>
      </c>
      <c r="X425" t="s">
        <v>91</v>
      </c>
      <c r="Y425" s="1">
        <v>320</v>
      </c>
      <c r="Z425" s="1" t="str">
        <f t="shared" si="127"/>
        <v>Education: $320.00</v>
      </c>
      <c r="AA425" s="1">
        <f>IF(Y425="","",ROUND(Y425*'Lookup Values'!$A$2,2))</f>
        <v>28.4</v>
      </c>
      <c r="AB425" s="12" t="str">
        <f t="shared" si="128"/>
        <v>Expense</v>
      </c>
      <c r="AC425" s="2" t="s">
        <v>283</v>
      </c>
      <c r="AD425" s="3">
        <f t="shared" si="129"/>
        <v>39387</v>
      </c>
      <c r="AE425" s="93" t="str">
        <f t="shared" si="130"/>
        <v>YES</v>
      </c>
      <c r="AF425" s="2" t="str">
        <f t="shared" si="131"/>
        <v>NO</v>
      </c>
      <c r="AG425" t="str">
        <f t="shared" si="132"/>
        <v>Late Transaction</v>
      </c>
    </row>
    <row r="426" spans="1:33" x14ac:dyDescent="0.25">
      <c r="A426" s="2">
        <v>425</v>
      </c>
      <c r="B426" s="3" t="str">
        <f t="shared" si="114"/>
        <v>120424-FO-BAN</v>
      </c>
      <c r="C426" s="3">
        <v>41023</v>
      </c>
      <c r="D426" s="3">
        <f t="shared" si="116"/>
        <v>41037</v>
      </c>
      <c r="E426" s="3">
        <f t="shared" si="117"/>
        <v>41084</v>
      </c>
      <c r="F426" s="3">
        <f t="shared" si="118"/>
        <v>41029</v>
      </c>
      <c r="G426" s="76">
        <f t="shared" si="119"/>
        <v>2012</v>
      </c>
      <c r="H426" s="76">
        <f t="shared" si="120"/>
        <v>4</v>
      </c>
      <c r="I426" s="76" t="str">
        <f>VLOOKUP(H426,'Lookup Values'!$C$2:$D$13,2,FALSE)</f>
        <v>APR</v>
      </c>
      <c r="J426" s="76">
        <f t="shared" si="121"/>
        <v>24</v>
      </c>
      <c r="K426" s="76">
        <f t="shared" si="122"/>
        <v>3</v>
      </c>
      <c r="L426" s="76" t="str">
        <f>VLOOKUP(K426,'Lookup Values'!$F$2:$G$8,2,FALSE)</f>
        <v>Tuesday</v>
      </c>
      <c r="M426" s="3">
        <v>41033</v>
      </c>
      <c r="N426" s="78">
        <f t="shared" si="115"/>
        <v>10</v>
      </c>
      <c r="O426" s="11">
        <v>0.56907211830369164</v>
      </c>
      <c r="P426" s="94">
        <f t="shared" si="123"/>
        <v>13</v>
      </c>
      <c r="Q426" s="94">
        <f t="shared" si="124"/>
        <v>39</v>
      </c>
      <c r="R426" s="94">
        <f t="shared" si="125"/>
        <v>28</v>
      </c>
      <c r="S426" s="94" t="str">
        <f>VLOOKUP(O426,'Lookup Values'!$I$2:$L$8,4,TRUE)</f>
        <v>Afternoon</v>
      </c>
      <c r="T426" t="s">
        <v>80</v>
      </c>
      <c r="U426" t="s">
        <v>81</v>
      </c>
      <c r="V426" t="str">
        <f t="shared" si="126"/>
        <v>Food: Restaurants</v>
      </c>
      <c r="W426" t="s">
        <v>79</v>
      </c>
      <c r="X426" t="s">
        <v>91</v>
      </c>
      <c r="Y426" s="1">
        <v>458</v>
      </c>
      <c r="Z426" s="1" t="str">
        <f t="shared" si="127"/>
        <v>Food: $458.00</v>
      </c>
      <c r="AA426" s="1">
        <f>IF(Y426="","",ROUND(Y426*'Lookup Values'!$A$2,2))</f>
        <v>40.65</v>
      </c>
      <c r="AB426" s="12" t="str">
        <f t="shared" si="128"/>
        <v>Expense</v>
      </c>
      <c r="AC426" s="2" t="s">
        <v>545</v>
      </c>
      <c r="AD426" s="3">
        <f t="shared" si="129"/>
        <v>41023</v>
      </c>
      <c r="AE426" s="93" t="str">
        <f t="shared" si="130"/>
        <v>NO</v>
      </c>
      <c r="AF426" s="2" t="str">
        <f t="shared" si="131"/>
        <v>NO</v>
      </c>
      <c r="AG426" t="str">
        <f t="shared" si="132"/>
        <v>CRAP Transaction</v>
      </c>
    </row>
    <row r="427" spans="1:33" x14ac:dyDescent="0.25">
      <c r="A427" s="2">
        <v>426</v>
      </c>
      <c r="B427" s="3" t="str">
        <f t="shared" si="114"/>
        <v>110410-FO-TRA</v>
      </c>
      <c r="C427" s="3">
        <v>40643</v>
      </c>
      <c r="D427" s="3">
        <f t="shared" si="116"/>
        <v>40655</v>
      </c>
      <c r="E427" s="3">
        <f t="shared" si="117"/>
        <v>40704</v>
      </c>
      <c r="F427" s="3">
        <f t="shared" si="118"/>
        <v>40663</v>
      </c>
      <c r="G427" s="76">
        <f t="shared" si="119"/>
        <v>2011</v>
      </c>
      <c r="H427" s="76">
        <f t="shared" si="120"/>
        <v>4</v>
      </c>
      <c r="I427" s="76" t="str">
        <f>VLOOKUP(H427,'Lookup Values'!$C$2:$D$13,2,FALSE)</f>
        <v>APR</v>
      </c>
      <c r="J427" s="76">
        <f t="shared" si="121"/>
        <v>10</v>
      </c>
      <c r="K427" s="76">
        <f t="shared" si="122"/>
        <v>1</v>
      </c>
      <c r="L427" s="76" t="str">
        <f>VLOOKUP(K427,'Lookup Values'!$F$2:$G$8,2,FALSE)</f>
        <v>Sunday</v>
      </c>
      <c r="M427" s="3">
        <v>40652</v>
      </c>
      <c r="N427" s="78">
        <f t="shared" si="115"/>
        <v>9</v>
      </c>
      <c r="O427" s="11">
        <v>0.221769104707078</v>
      </c>
      <c r="P427" s="94">
        <f t="shared" si="123"/>
        <v>5</v>
      </c>
      <c r="Q427" s="94">
        <f t="shared" si="124"/>
        <v>19</v>
      </c>
      <c r="R427" s="94">
        <f t="shared" si="125"/>
        <v>21</v>
      </c>
      <c r="S427" s="94" t="str">
        <f>VLOOKUP(O427,'Lookup Values'!$I$2:$L$8,4,TRUE)</f>
        <v>Early Morning</v>
      </c>
      <c r="T427" t="s">
        <v>80</v>
      </c>
      <c r="U427" t="s">
        <v>93</v>
      </c>
      <c r="V427" t="str">
        <f t="shared" si="126"/>
        <v>Food: Groceries</v>
      </c>
      <c r="W427" t="s">
        <v>92</v>
      </c>
      <c r="X427" t="s">
        <v>78</v>
      </c>
      <c r="Y427" s="1">
        <v>480</v>
      </c>
      <c r="Z427" s="1" t="str">
        <f t="shared" si="127"/>
        <v>Food: $480.00</v>
      </c>
      <c r="AA427" s="1">
        <f>IF(Y427="","",ROUND(Y427*'Lookup Values'!$A$2,2))</f>
        <v>42.6</v>
      </c>
      <c r="AB427" s="12" t="str">
        <f t="shared" si="128"/>
        <v>Expense</v>
      </c>
      <c r="AC427" s="2" t="s">
        <v>546</v>
      </c>
      <c r="AD427" s="3">
        <f t="shared" si="129"/>
        <v>40643</v>
      </c>
      <c r="AE427" s="93" t="str">
        <f t="shared" si="130"/>
        <v>NO</v>
      </c>
      <c r="AF427" s="2" t="str">
        <f t="shared" si="131"/>
        <v>NO</v>
      </c>
      <c r="AG427" t="str">
        <f t="shared" si="132"/>
        <v>CRAP Transaction</v>
      </c>
    </row>
    <row r="428" spans="1:33" x14ac:dyDescent="0.25">
      <c r="A428" s="2">
        <v>427</v>
      </c>
      <c r="B428" s="3" t="str">
        <f t="shared" si="114"/>
        <v>091126-FO-TRA</v>
      </c>
      <c r="C428" s="3">
        <v>40143</v>
      </c>
      <c r="D428" s="3">
        <f t="shared" si="116"/>
        <v>40157</v>
      </c>
      <c r="E428" s="3">
        <f t="shared" si="117"/>
        <v>40204</v>
      </c>
      <c r="F428" s="3">
        <f t="shared" si="118"/>
        <v>40147</v>
      </c>
      <c r="G428" s="76">
        <f t="shared" si="119"/>
        <v>2009</v>
      </c>
      <c r="H428" s="76">
        <f t="shared" si="120"/>
        <v>11</v>
      </c>
      <c r="I428" s="76" t="str">
        <f>VLOOKUP(H428,'Lookup Values'!$C$2:$D$13,2,FALSE)</f>
        <v>NOV</v>
      </c>
      <c r="J428" s="76">
        <f t="shared" si="121"/>
        <v>26</v>
      </c>
      <c r="K428" s="76">
        <f t="shared" si="122"/>
        <v>5</v>
      </c>
      <c r="L428" s="76" t="str">
        <f>VLOOKUP(K428,'Lookup Values'!$F$2:$G$8,2,FALSE)</f>
        <v>Thursday</v>
      </c>
      <c r="M428" s="3">
        <v>40147</v>
      </c>
      <c r="N428" s="78">
        <f t="shared" si="115"/>
        <v>4</v>
      </c>
      <c r="O428" s="11">
        <v>0.83628197513466263</v>
      </c>
      <c r="P428" s="94">
        <f t="shared" si="123"/>
        <v>20</v>
      </c>
      <c r="Q428" s="94">
        <f t="shared" si="124"/>
        <v>4</v>
      </c>
      <c r="R428" s="94">
        <f t="shared" si="125"/>
        <v>15</v>
      </c>
      <c r="S428" s="94" t="str">
        <f>VLOOKUP(O428,'Lookup Values'!$I$2:$L$8,4,TRUE)</f>
        <v>Evening</v>
      </c>
      <c r="T428" t="s">
        <v>80</v>
      </c>
      <c r="U428" t="s">
        <v>93</v>
      </c>
      <c r="V428" t="str">
        <f t="shared" si="126"/>
        <v>Food: Groceries</v>
      </c>
      <c r="W428" t="s">
        <v>92</v>
      </c>
      <c r="X428" t="s">
        <v>88</v>
      </c>
      <c r="Y428" s="1">
        <v>465</v>
      </c>
      <c r="Z428" s="1" t="str">
        <f t="shared" si="127"/>
        <v>Food: $465.00</v>
      </c>
      <c r="AA428" s="1">
        <f>IF(Y428="","",ROUND(Y428*'Lookup Values'!$A$2,2))</f>
        <v>41.27</v>
      </c>
      <c r="AB428" s="12" t="str">
        <f t="shared" si="128"/>
        <v>Expense</v>
      </c>
      <c r="AC428" s="2" t="s">
        <v>547</v>
      </c>
      <c r="AD428" s="3">
        <f t="shared" si="129"/>
        <v>40143</v>
      </c>
      <c r="AE428" s="93" t="str">
        <f t="shared" si="130"/>
        <v>NO</v>
      </c>
      <c r="AF428" s="2" t="str">
        <f t="shared" si="131"/>
        <v>NO</v>
      </c>
      <c r="AG428" t="str">
        <f t="shared" si="132"/>
        <v>Awesome Transaction</v>
      </c>
    </row>
    <row r="429" spans="1:33" x14ac:dyDescent="0.25">
      <c r="A429" s="2">
        <v>428</v>
      </c>
      <c r="B429" s="3" t="str">
        <f t="shared" si="114"/>
        <v>081026-TR-MTA</v>
      </c>
      <c r="C429" s="3">
        <v>39747</v>
      </c>
      <c r="D429" s="3">
        <f t="shared" si="116"/>
        <v>39759</v>
      </c>
      <c r="E429" s="3">
        <f t="shared" si="117"/>
        <v>39808</v>
      </c>
      <c r="F429" s="3">
        <f t="shared" si="118"/>
        <v>39752</v>
      </c>
      <c r="G429" s="76">
        <f t="shared" si="119"/>
        <v>2008</v>
      </c>
      <c r="H429" s="76">
        <f t="shared" si="120"/>
        <v>10</v>
      </c>
      <c r="I429" s="76" t="str">
        <f>VLOOKUP(H429,'Lookup Values'!$C$2:$D$13,2,FALSE)</f>
        <v>OCT</v>
      </c>
      <c r="J429" s="76">
        <f t="shared" si="121"/>
        <v>26</v>
      </c>
      <c r="K429" s="76">
        <f t="shared" si="122"/>
        <v>1</v>
      </c>
      <c r="L429" s="76" t="str">
        <f>VLOOKUP(K429,'Lookup Values'!$F$2:$G$8,2,FALSE)</f>
        <v>Sunday</v>
      </c>
      <c r="M429" s="3">
        <v>39756</v>
      </c>
      <c r="N429" s="78">
        <f t="shared" si="115"/>
        <v>9</v>
      </c>
      <c r="O429" s="11">
        <v>0.70961472570055062</v>
      </c>
      <c r="P429" s="94">
        <f t="shared" si="123"/>
        <v>17</v>
      </c>
      <c r="Q429" s="94">
        <f t="shared" si="124"/>
        <v>1</v>
      </c>
      <c r="R429" s="94">
        <f t="shared" si="125"/>
        <v>51</v>
      </c>
      <c r="S429" s="94" t="str">
        <f>VLOOKUP(O429,'Lookup Values'!$I$2:$L$8,4,TRUE)</f>
        <v>Evening</v>
      </c>
      <c r="T429" t="s">
        <v>95</v>
      </c>
      <c r="U429" t="s">
        <v>96</v>
      </c>
      <c r="V429" t="str">
        <f t="shared" si="126"/>
        <v>Transportation: Subway</v>
      </c>
      <c r="W429" t="s">
        <v>94</v>
      </c>
      <c r="X429" t="s">
        <v>91</v>
      </c>
      <c r="Y429" s="1">
        <v>34</v>
      </c>
      <c r="Z429" s="1" t="str">
        <f t="shared" si="127"/>
        <v>Transportation: $34.00</v>
      </c>
      <c r="AA429" s="1">
        <f>IF(Y429="","",ROUND(Y429*'Lookup Values'!$A$2,2))</f>
        <v>3.02</v>
      </c>
      <c r="AB429" s="12" t="str">
        <f t="shared" si="128"/>
        <v>Expense</v>
      </c>
      <c r="AC429" s="2" t="s">
        <v>548</v>
      </c>
      <c r="AD429" s="3">
        <f t="shared" si="129"/>
        <v>39747</v>
      </c>
      <c r="AE429" s="93" t="str">
        <f t="shared" si="130"/>
        <v>YES</v>
      </c>
      <c r="AF429" s="2" t="str">
        <f t="shared" si="131"/>
        <v>NO</v>
      </c>
      <c r="AG429" t="str">
        <f t="shared" si="132"/>
        <v>Late Transaction</v>
      </c>
    </row>
    <row r="430" spans="1:33" x14ac:dyDescent="0.25">
      <c r="A430" s="2">
        <v>429</v>
      </c>
      <c r="B430" s="3" t="str">
        <f t="shared" si="114"/>
        <v>070622-SH-EXP</v>
      </c>
      <c r="C430" s="3">
        <v>39255</v>
      </c>
      <c r="D430" s="3">
        <f t="shared" si="116"/>
        <v>39269</v>
      </c>
      <c r="E430" s="3">
        <f t="shared" si="117"/>
        <v>39316</v>
      </c>
      <c r="F430" s="3">
        <f t="shared" si="118"/>
        <v>39263</v>
      </c>
      <c r="G430" s="76">
        <f t="shared" si="119"/>
        <v>2007</v>
      </c>
      <c r="H430" s="76">
        <f t="shared" si="120"/>
        <v>6</v>
      </c>
      <c r="I430" s="76" t="str">
        <f>VLOOKUP(H430,'Lookup Values'!$C$2:$D$13,2,FALSE)</f>
        <v>JUN</v>
      </c>
      <c r="J430" s="76">
        <f t="shared" si="121"/>
        <v>22</v>
      </c>
      <c r="K430" s="76">
        <f t="shared" si="122"/>
        <v>6</v>
      </c>
      <c r="L430" s="76" t="str">
        <f>VLOOKUP(K430,'Lookup Values'!$F$2:$G$8,2,FALSE)</f>
        <v>Friday</v>
      </c>
      <c r="M430" s="3">
        <v>39265</v>
      </c>
      <c r="N430" s="78">
        <f t="shared" si="115"/>
        <v>10</v>
      </c>
      <c r="O430" s="11">
        <v>0.1786124383573795</v>
      </c>
      <c r="P430" s="94">
        <f t="shared" si="123"/>
        <v>4</v>
      </c>
      <c r="Q430" s="94">
        <f t="shared" si="124"/>
        <v>17</v>
      </c>
      <c r="R430" s="94">
        <f t="shared" si="125"/>
        <v>12</v>
      </c>
      <c r="S430" s="94" t="str">
        <f>VLOOKUP(O430,'Lookup Values'!$I$2:$L$8,4,TRUE)</f>
        <v>Early Morning</v>
      </c>
      <c r="T430" t="s">
        <v>83</v>
      </c>
      <c r="U430" t="s">
        <v>103</v>
      </c>
      <c r="V430" t="str">
        <f t="shared" si="126"/>
        <v>Shopping: Clothing</v>
      </c>
      <c r="W430" t="s">
        <v>102</v>
      </c>
      <c r="X430" t="s">
        <v>91</v>
      </c>
      <c r="Y430" s="1">
        <v>193</v>
      </c>
      <c r="Z430" s="1" t="str">
        <f t="shared" si="127"/>
        <v>Shopping: $193.00</v>
      </c>
      <c r="AA430" s="1">
        <f>IF(Y430="","",ROUND(Y430*'Lookup Values'!$A$2,2))</f>
        <v>17.13</v>
      </c>
      <c r="AB430" s="12" t="str">
        <f t="shared" si="128"/>
        <v>Expense</v>
      </c>
      <c r="AC430" s="2" t="s">
        <v>470</v>
      </c>
      <c r="AD430" s="3">
        <f t="shared" si="129"/>
        <v>39255</v>
      </c>
      <c r="AE430" s="93" t="str">
        <f t="shared" si="130"/>
        <v>NO</v>
      </c>
      <c r="AF430" s="2" t="str">
        <f t="shared" si="131"/>
        <v>NO</v>
      </c>
      <c r="AG430" t="str">
        <f t="shared" si="132"/>
        <v>Awesome Transaction</v>
      </c>
    </row>
    <row r="431" spans="1:33" x14ac:dyDescent="0.25">
      <c r="A431" s="2">
        <v>430</v>
      </c>
      <c r="B431" s="3" t="str">
        <f t="shared" si="114"/>
        <v>090509-IN-AUN</v>
      </c>
      <c r="C431" s="3">
        <v>39942</v>
      </c>
      <c r="D431" s="3">
        <f t="shared" si="116"/>
        <v>39955</v>
      </c>
      <c r="E431" s="3">
        <f t="shared" si="117"/>
        <v>40003</v>
      </c>
      <c r="F431" s="3">
        <f t="shared" si="118"/>
        <v>39964</v>
      </c>
      <c r="G431" s="76">
        <f t="shared" si="119"/>
        <v>2009</v>
      </c>
      <c r="H431" s="76">
        <f t="shared" si="120"/>
        <v>5</v>
      </c>
      <c r="I431" s="76" t="str">
        <f>VLOOKUP(H431,'Lookup Values'!$C$2:$D$13,2,FALSE)</f>
        <v>MAY</v>
      </c>
      <c r="J431" s="76">
        <f t="shared" si="121"/>
        <v>9</v>
      </c>
      <c r="K431" s="76">
        <f t="shared" si="122"/>
        <v>7</v>
      </c>
      <c r="L431" s="76" t="str">
        <f>VLOOKUP(K431,'Lookup Values'!$F$2:$G$8,2,FALSE)</f>
        <v>Saturday</v>
      </c>
      <c r="M431" s="3">
        <v>39952</v>
      </c>
      <c r="N431" s="78">
        <f t="shared" si="115"/>
        <v>10</v>
      </c>
      <c r="O431" s="11">
        <v>0.57828275587450439</v>
      </c>
      <c r="P431" s="94">
        <f t="shared" si="123"/>
        <v>13</v>
      </c>
      <c r="Q431" s="94">
        <f t="shared" si="124"/>
        <v>52</v>
      </c>
      <c r="R431" s="94">
        <f t="shared" si="125"/>
        <v>44</v>
      </c>
      <c r="S431" s="94" t="str">
        <f>VLOOKUP(O431,'Lookup Values'!$I$2:$L$8,4,TRUE)</f>
        <v>Afternoon</v>
      </c>
      <c r="T431" t="s">
        <v>158</v>
      </c>
      <c r="U431" t="s">
        <v>161</v>
      </c>
      <c r="V431" t="str">
        <f t="shared" si="126"/>
        <v>Income: Gift Received</v>
      </c>
      <c r="W431" t="s">
        <v>164</v>
      </c>
      <c r="X431" t="s">
        <v>91</v>
      </c>
      <c r="Y431" s="1">
        <v>344</v>
      </c>
      <c r="Z431" s="1" t="str">
        <f t="shared" si="127"/>
        <v>Income: $344.00</v>
      </c>
      <c r="AA431" s="1">
        <f>IF(Y431="","",ROUND(Y431*'Lookup Values'!$A$2,2))</f>
        <v>30.53</v>
      </c>
      <c r="AB431" s="12" t="str">
        <f t="shared" si="128"/>
        <v>Income</v>
      </c>
      <c r="AC431" s="2" t="s">
        <v>549</v>
      </c>
      <c r="AD431" s="3">
        <f t="shared" si="129"/>
        <v>39942</v>
      </c>
      <c r="AE431" s="93" t="str">
        <f t="shared" si="130"/>
        <v>NO</v>
      </c>
      <c r="AF431" s="2" t="str">
        <f t="shared" si="131"/>
        <v>NO</v>
      </c>
      <c r="AG431" t="str">
        <f t="shared" si="132"/>
        <v>Late Transaction</v>
      </c>
    </row>
    <row r="432" spans="1:33" x14ac:dyDescent="0.25">
      <c r="A432" s="2">
        <v>431</v>
      </c>
      <c r="B432" s="3" t="str">
        <f t="shared" si="114"/>
        <v>080225-TR-MTA</v>
      </c>
      <c r="C432" s="3">
        <v>39503</v>
      </c>
      <c r="D432" s="3">
        <f t="shared" si="116"/>
        <v>39517</v>
      </c>
      <c r="E432" s="3">
        <f t="shared" si="117"/>
        <v>39563</v>
      </c>
      <c r="F432" s="3">
        <f t="shared" si="118"/>
        <v>39507</v>
      </c>
      <c r="G432" s="76">
        <f t="shared" si="119"/>
        <v>2008</v>
      </c>
      <c r="H432" s="76">
        <f t="shared" si="120"/>
        <v>2</v>
      </c>
      <c r="I432" s="76" t="str">
        <f>VLOOKUP(H432,'Lookup Values'!$C$2:$D$13,2,FALSE)</f>
        <v>FEB</v>
      </c>
      <c r="J432" s="76">
        <f t="shared" si="121"/>
        <v>25</v>
      </c>
      <c r="K432" s="76">
        <f t="shared" si="122"/>
        <v>2</v>
      </c>
      <c r="L432" s="76" t="str">
        <f>VLOOKUP(K432,'Lookup Values'!$F$2:$G$8,2,FALSE)</f>
        <v>Monday</v>
      </c>
      <c r="M432" s="3">
        <v>39509</v>
      </c>
      <c r="N432" s="78">
        <f t="shared" si="115"/>
        <v>6</v>
      </c>
      <c r="O432" s="11">
        <v>0.74834013763709373</v>
      </c>
      <c r="P432" s="94">
        <f t="shared" si="123"/>
        <v>17</v>
      </c>
      <c r="Q432" s="94">
        <f t="shared" si="124"/>
        <v>57</v>
      </c>
      <c r="R432" s="94">
        <f t="shared" si="125"/>
        <v>37</v>
      </c>
      <c r="S432" s="94" t="str">
        <f>VLOOKUP(O432,'Lookup Values'!$I$2:$L$8,4,TRUE)</f>
        <v>Evening</v>
      </c>
      <c r="T432" t="s">
        <v>95</v>
      </c>
      <c r="U432" t="s">
        <v>96</v>
      </c>
      <c r="V432" t="str">
        <f t="shared" si="126"/>
        <v>Transportation: Subway</v>
      </c>
      <c r="W432" t="s">
        <v>94</v>
      </c>
      <c r="X432" t="s">
        <v>91</v>
      </c>
      <c r="Y432" s="1">
        <v>198</v>
      </c>
      <c r="Z432" s="1" t="str">
        <f t="shared" si="127"/>
        <v>Transportation: $198.00</v>
      </c>
      <c r="AA432" s="1">
        <f>IF(Y432="","",ROUND(Y432*'Lookup Values'!$A$2,2))</f>
        <v>17.57</v>
      </c>
      <c r="AB432" s="12" t="str">
        <f t="shared" si="128"/>
        <v>Expense</v>
      </c>
      <c r="AC432" s="2" t="s">
        <v>550</v>
      </c>
      <c r="AD432" s="3">
        <f t="shared" si="129"/>
        <v>39503</v>
      </c>
      <c r="AE432" s="93" t="str">
        <f t="shared" si="130"/>
        <v>YES</v>
      </c>
      <c r="AF432" s="2" t="str">
        <f t="shared" si="131"/>
        <v>NO</v>
      </c>
      <c r="AG432" t="str">
        <f t="shared" si="132"/>
        <v>Late Transaction</v>
      </c>
    </row>
    <row r="433" spans="1:33" x14ac:dyDescent="0.25">
      <c r="A433" s="2">
        <v>432</v>
      </c>
      <c r="B433" s="3" t="str">
        <f t="shared" si="114"/>
        <v>071123-BI-CON</v>
      </c>
      <c r="C433" s="3">
        <v>39409</v>
      </c>
      <c r="D433" s="3">
        <f t="shared" si="116"/>
        <v>39423</v>
      </c>
      <c r="E433" s="3">
        <f t="shared" si="117"/>
        <v>39470</v>
      </c>
      <c r="F433" s="3">
        <f t="shared" si="118"/>
        <v>39416</v>
      </c>
      <c r="G433" s="76">
        <f t="shared" si="119"/>
        <v>2007</v>
      </c>
      <c r="H433" s="76">
        <f t="shared" si="120"/>
        <v>11</v>
      </c>
      <c r="I433" s="76" t="str">
        <f>VLOOKUP(H433,'Lookup Values'!$C$2:$D$13,2,FALSE)</f>
        <v>NOV</v>
      </c>
      <c r="J433" s="76">
        <f t="shared" si="121"/>
        <v>23</v>
      </c>
      <c r="K433" s="76">
        <f t="shared" si="122"/>
        <v>6</v>
      </c>
      <c r="L433" s="76" t="str">
        <f>VLOOKUP(K433,'Lookup Values'!$F$2:$G$8,2,FALSE)</f>
        <v>Friday</v>
      </c>
      <c r="M433" s="3">
        <v>39411</v>
      </c>
      <c r="N433" s="78">
        <f t="shared" si="115"/>
        <v>2</v>
      </c>
      <c r="O433" s="11">
        <v>0.81265862382422727</v>
      </c>
      <c r="P433" s="94">
        <f t="shared" si="123"/>
        <v>19</v>
      </c>
      <c r="Q433" s="94">
        <f t="shared" si="124"/>
        <v>30</v>
      </c>
      <c r="R433" s="94">
        <f t="shared" si="125"/>
        <v>14</v>
      </c>
      <c r="S433" s="94" t="str">
        <f>VLOOKUP(O433,'Lookup Values'!$I$2:$L$8,4,TRUE)</f>
        <v>Evening</v>
      </c>
      <c r="T433" t="s">
        <v>110</v>
      </c>
      <c r="U433" t="s">
        <v>111</v>
      </c>
      <c r="V433" t="str">
        <f t="shared" si="126"/>
        <v>Bills: Utilities</v>
      </c>
      <c r="W433" t="s">
        <v>109</v>
      </c>
      <c r="X433" t="s">
        <v>91</v>
      </c>
      <c r="Y433" s="1">
        <v>33</v>
      </c>
      <c r="Z433" s="1" t="str">
        <f t="shared" si="127"/>
        <v>Bills: $33.00</v>
      </c>
      <c r="AA433" s="1">
        <f>IF(Y433="","",ROUND(Y433*'Lookup Values'!$A$2,2))</f>
        <v>2.93</v>
      </c>
      <c r="AB433" s="12" t="str">
        <f t="shared" si="128"/>
        <v>Expense</v>
      </c>
      <c r="AC433" s="2" t="s">
        <v>410</v>
      </c>
      <c r="AD433" s="3">
        <f t="shared" si="129"/>
        <v>39409</v>
      </c>
      <c r="AE433" s="93" t="str">
        <f t="shared" si="130"/>
        <v>NO</v>
      </c>
      <c r="AF433" s="2" t="str">
        <f t="shared" si="131"/>
        <v>NO</v>
      </c>
      <c r="AG433" t="str">
        <f t="shared" si="132"/>
        <v>Late Transaction</v>
      </c>
    </row>
    <row r="434" spans="1:33" x14ac:dyDescent="0.25">
      <c r="A434" s="2">
        <v>433</v>
      </c>
      <c r="B434" s="3" t="str">
        <f t="shared" si="114"/>
        <v>120425-EN-FAN</v>
      </c>
      <c r="C434" s="3">
        <v>41024</v>
      </c>
      <c r="D434" s="3">
        <f t="shared" si="116"/>
        <v>41038</v>
      </c>
      <c r="E434" s="3">
        <f t="shared" si="117"/>
        <v>41085</v>
      </c>
      <c r="F434" s="3">
        <f t="shared" si="118"/>
        <v>41029</v>
      </c>
      <c r="G434" s="76">
        <f t="shared" si="119"/>
        <v>2012</v>
      </c>
      <c r="H434" s="76">
        <f t="shared" si="120"/>
        <v>4</v>
      </c>
      <c r="I434" s="76" t="str">
        <f>VLOOKUP(H434,'Lookup Values'!$C$2:$D$13,2,FALSE)</f>
        <v>APR</v>
      </c>
      <c r="J434" s="76">
        <f t="shared" si="121"/>
        <v>25</v>
      </c>
      <c r="K434" s="76">
        <f t="shared" si="122"/>
        <v>4</v>
      </c>
      <c r="L434" s="76" t="str">
        <f>VLOOKUP(K434,'Lookup Values'!$F$2:$G$8,2,FALSE)</f>
        <v>Wednesday</v>
      </c>
      <c r="M434" s="3">
        <v>41032</v>
      </c>
      <c r="N434" s="78">
        <f t="shared" si="115"/>
        <v>8</v>
      </c>
      <c r="O434" s="11">
        <v>0.56754209295520475</v>
      </c>
      <c r="P434" s="94">
        <f t="shared" si="123"/>
        <v>13</v>
      </c>
      <c r="Q434" s="94">
        <f t="shared" si="124"/>
        <v>37</v>
      </c>
      <c r="R434" s="94">
        <f t="shared" si="125"/>
        <v>16</v>
      </c>
      <c r="S434" s="94" t="str">
        <f>VLOOKUP(O434,'Lookup Values'!$I$2:$L$8,4,TRUE)</f>
        <v>Afternoon</v>
      </c>
      <c r="T434" t="s">
        <v>76</v>
      </c>
      <c r="U434" t="s">
        <v>90</v>
      </c>
      <c r="V434" t="str">
        <f t="shared" si="126"/>
        <v>Entertainment: Movies</v>
      </c>
      <c r="W434" t="s">
        <v>89</v>
      </c>
      <c r="X434" t="s">
        <v>91</v>
      </c>
      <c r="Y434" s="1">
        <v>276</v>
      </c>
      <c r="Z434" s="1" t="str">
        <f t="shared" si="127"/>
        <v>Entertainment: $276.00</v>
      </c>
      <c r="AA434" s="1">
        <f>IF(Y434="","",ROUND(Y434*'Lookup Values'!$A$2,2))</f>
        <v>24.5</v>
      </c>
      <c r="AB434" s="12" t="str">
        <f t="shared" si="128"/>
        <v>Expense</v>
      </c>
      <c r="AC434" s="2" t="s">
        <v>506</v>
      </c>
      <c r="AD434" s="3">
        <f t="shared" si="129"/>
        <v>41024</v>
      </c>
      <c r="AE434" s="93" t="str">
        <f t="shared" si="130"/>
        <v>NO</v>
      </c>
      <c r="AF434" s="2" t="str">
        <f t="shared" si="131"/>
        <v>NO</v>
      </c>
      <c r="AG434" t="str">
        <f t="shared" si="132"/>
        <v>CRAP Transaction</v>
      </c>
    </row>
    <row r="435" spans="1:33" x14ac:dyDescent="0.25">
      <c r="A435" s="2">
        <v>434</v>
      </c>
      <c r="B435" s="3" t="str">
        <f t="shared" si="114"/>
        <v>090219-HO-BED</v>
      </c>
      <c r="C435" s="3">
        <v>39863</v>
      </c>
      <c r="D435" s="3">
        <f t="shared" si="116"/>
        <v>39877</v>
      </c>
      <c r="E435" s="3">
        <f t="shared" si="117"/>
        <v>39922</v>
      </c>
      <c r="F435" s="3">
        <f t="shared" si="118"/>
        <v>39872</v>
      </c>
      <c r="G435" s="76">
        <f t="shared" si="119"/>
        <v>2009</v>
      </c>
      <c r="H435" s="76">
        <f t="shared" si="120"/>
        <v>2</v>
      </c>
      <c r="I435" s="76" t="str">
        <f>VLOOKUP(H435,'Lookup Values'!$C$2:$D$13,2,FALSE)</f>
        <v>FEB</v>
      </c>
      <c r="J435" s="76">
        <f t="shared" si="121"/>
        <v>19</v>
      </c>
      <c r="K435" s="76">
        <f t="shared" si="122"/>
        <v>5</v>
      </c>
      <c r="L435" s="76" t="str">
        <f>VLOOKUP(K435,'Lookup Values'!$F$2:$G$8,2,FALSE)</f>
        <v>Thursday</v>
      </c>
      <c r="M435" s="3">
        <v>39864</v>
      </c>
      <c r="N435" s="78">
        <f t="shared" si="115"/>
        <v>1</v>
      </c>
      <c r="O435" s="11">
        <v>0.39705408236855111</v>
      </c>
      <c r="P435" s="94">
        <f t="shared" si="123"/>
        <v>9</v>
      </c>
      <c r="Q435" s="94">
        <f t="shared" si="124"/>
        <v>31</v>
      </c>
      <c r="R435" s="94">
        <f t="shared" si="125"/>
        <v>45</v>
      </c>
      <c r="S435" s="94" t="str">
        <f>VLOOKUP(O435,'Lookup Values'!$I$2:$L$8,4,TRUE)</f>
        <v>Morning</v>
      </c>
      <c r="T435" t="s">
        <v>100</v>
      </c>
      <c r="U435" t="s">
        <v>101</v>
      </c>
      <c r="V435" t="str">
        <f t="shared" si="126"/>
        <v>Home: Cleaning Supplies</v>
      </c>
      <c r="W435" t="s">
        <v>99</v>
      </c>
      <c r="X435" t="s">
        <v>91</v>
      </c>
      <c r="Y435" s="1">
        <v>342</v>
      </c>
      <c r="Z435" s="1" t="str">
        <f t="shared" si="127"/>
        <v>Home: $342.00</v>
      </c>
      <c r="AA435" s="1">
        <f>IF(Y435="","",ROUND(Y435*'Lookup Values'!$A$2,2))</f>
        <v>30.35</v>
      </c>
      <c r="AB435" s="12" t="str">
        <f t="shared" si="128"/>
        <v>Expense</v>
      </c>
      <c r="AC435" s="2" t="s">
        <v>551</v>
      </c>
      <c r="AD435" s="3">
        <f t="shared" si="129"/>
        <v>39863</v>
      </c>
      <c r="AE435" s="93" t="str">
        <f t="shared" si="130"/>
        <v>NO</v>
      </c>
      <c r="AF435" s="2" t="str">
        <f t="shared" si="131"/>
        <v>NO</v>
      </c>
      <c r="AG435" t="str">
        <f t="shared" si="132"/>
        <v>Late Transaction</v>
      </c>
    </row>
    <row r="436" spans="1:33" x14ac:dyDescent="0.25">
      <c r="A436" s="2">
        <v>435</v>
      </c>
      <c r="B436" s="3" t="str">
        <f t="shared" si="114"/>
        <v>070728-IN-LEG</v>
      </c>
      <c r="C436" s="3">
        <v>39291</v>
      </c>
      <c r="D436" s="3">
        <f t="shared" si="116"/>
        <v>39304</v>
      </c>
      <c r="E436" s="3">
        <f t="shared" si="117"/>
        <v>39353</v>
      </c>
      <c r="F436" s="3">
        <f t="shared" si="118"/>
        <v>39294</v>
      </c>
      <c r="G436" s="76">
        <f t="shared" si="119"/>
        <v>2007</v>
      </c>
      <c r="H436" s="76">
        <f t="shared" si="120"/>
        <v>7</v>
      </c>
      <c r="I436" s="76" t="str">
        <f>VLOOKUP(H436,'Lookup Values'!$C$2:$D$13,2,FALSE)</f>
        <v>JUL</v>
      </c>
      <c r="J436" s="76">
        <f t="shared" si="121"/>
        <v>28</v>
      </c>
      <c r="K436" s="76">
        <f t="shared" si="122"/>
        <v>7</v>
      </c>
      <c r="L436" s="76" t="str">
        <f>VLOOKUP(K436,'Lookup Values'!$F$2:$G$8,2,FALSE)</f>
        <v>Saturday</v>
      </c>
      <c r="M436" s="3">
        <v>39296</v>
      </c>
      <c r="N436" s="78">
        <f t="shared" si="115"/>
        <v>5</v>
      </c>
      <c r="O436" s="11">
        <v>0.32531271538684869</v>
      </c>
      <c r="P436" s="94">
        <f t="shared" si="123"/>
        <v>7</v>
      </c>
      <c r="Q436" s="94">
        <f t="shared" si="124"/>
        <v>48</v>
      </c>
      <c r="R436" s="94">
        <f t="shared" si="125"/>
        <v>27</v>
      </c>
      <c r="S436" s="94" t="str">
        <f>VLOOKUP(O436,'Lookup Values'!$I$2:$L$8,4,TRUE)</f>
        <v>Morning</v>
      </c>
      <c r="T436" t="s">
        <v>158</v>
      </c>
      <c r="U436" t="s">
        <v>160</v>
      </c>
      <c r="V436" t="str">
        <f t="shared" si="126"/>
        <v>Income: Freelance Project</v>
      </c>
      <c r="W436" t="s">
        <v>163</v>
      </c>
      <c r="X436" t="s">
        <v>91</v>
      </c>
      <c r="Y436" s="1">
        <v>397</v>
      </c>
      <c r="Z436" s="1" t="str">
        <f t="shared" si="127"/>
        <v>Income: $397.00</v>
      </c>
      <c r="AA436" s="1">
        <f>IF(Y436="","",ROUND(Y436*'Lookup Values'!$A$2,2))</f>
        <v>35.229999999999997</v>
      </c>
      <c r="AB436" s="12" t="str">
        <f t="shared" si="128"/>
        <v>Income</v>
      </c>
      <c r="AC436" s="2" t="s">
        <v>238</v>
      </c>
      <c r="AD436" s="3">
        <f t="shared" si="129"/>
        <v>39291</v>
      </c>
      <c r="AE436" s="93" t="str">
        <f t="shared" si="130"/>
        <v>NO</v>
      </c>
      <c r="AF436" s="2" t="str">
        <f t="shared" si="131"/>
        <v>NO</v>
      </c>
      <c r="AG436" t="str">
        <f t="shared" si="132"/>
        <v>Late Transaction</v>
      </c>
    </row>
    <row r="437" spans="1:33" x14ac:dyDescent="0.25">
      <c r="A437" s="2">
        <v>436</v>
      </c>
      <c r="B437" s="3" t="str">
        <f t="shared" si="114"/>
        <v>091008-EN-MOE</v>
      </c>
      <c r="C437" s="3">
        <v>40094</v>
      </c>
      <c r="D437" s="3">
        <f t="shared" si="116"/>
        <v>40108</v>
      </c>
      <c r="E437" s="3">
        <f t="shared" si="117"/>
        <v>40155</v>
      </c>
      <c r="F437" s="3">
        <f t="shared" si="118"/>
        <v>40117</v>
      </c>
      <c r="G437" s="76">
        <f t="shared" si="119"/>
        <v>2009</v>
      </c>
      <c r="H437" s="76">
        <f t="shared" si="120"/>
        <v>10</v>
      </c>
      <c r="I437" s="76" t="str">
        <f>VLOOKUP(H437,'Lookup Values'!$C$2:$D$13,2,FALSE)</f>
        <v>OCT</v>
      </c>
      <c r="J437" s="76">
        <f t="shared" si="121"/>
        <v>8</v>
      </c>
      <c r="K437" s="76">
        <f t="shared" si="122"/>
        <v>5</v>
      </c>
      <c r="L437" s="76" t="str">
        <f>VLOOKUP(K437,'Lookup Values'!$F$2:$G$8,2,FALSE)</f>
        <v>Thursday</v>
      </c>
      <c r="M437" s="3">
        <v>40101</v>
      </c>
      <c r="N437" s="78">
        <f t="shared" si="115"/>
        <v>7</v>
      </c>
      <c r="O437" s="11">
        <v>0.98595806720566492</v>
      </c>
      <c r="P437" s="94">
        <f t="shared" si="123"/>
        <v>23</v>
      </c>
      <c r="Q437" s="94">
        <f t="shared" si="124"/>
        <v>39</v>
      </c>
      <c r="R437" s="94">
        <f t="shared" si="125"/>
        <v>47</v>
      </c>
      <c r="S437" s="94" t="str">
        <f>VLOOKUP(O437,'Lookup Values'!$I$2:$L$8,4,TRUE)</f>
        <v>Late Evening</v>
      </c>
      <c r="T437" t="s">
        <v>76</v>
      </c>
      <c r="U437" t="s">
        <v>77</v>
      </c>
      <c r="V437" t="str">
        <f t="shared" si="126"/>
        <v>Entertainment: Alcohol</v>
      </c>
      <c r="W437" t="s">
        <v>75</v>
      </c>
      <c r="X437" t="s">
        <v>91</v>
      </c>
      <c r="Y437" s="1">
        <v>217</v>
      </c>
      <c r="Z437" s="1" t="str">
        <f t="shared" si="127"/>
        <v>Entertainment: $217.00</v>
      </c>
      <c r="AA437" s="1">
        <f>IF(Y437="","",ROUND(Y437*'Lookup Values'!$A$2,2))</f>
        <v>19.260000000000002</v>
      </c>
      <c r="AB437" s="12" t="str">
        <f t="shared" si="128"/>
        <v>Expense</v>
      </c>
      <c r="AC437" s="2" t="s">
        <v>552</v>
      </c>
      <c r="AD437" s="3">
        <f t="shared" si="129"/>
        <v>40094</v>
      </c>
      <c r="AE437" s="93" t="str">
        <f t="shared" si="130"/>
        <v>NO</v>
      </c>
      <c r="AF437" s="2" t="str">
        <f t="shared" si="131"/>
        <v>NO</v>
      </c>
      <c r="AG437" t="str">
        <f t="shared" si="132"/>
        <v>Awesome Transaction</v>
      </c>
    </row>
    <row r="438" spans="1:33" x14ac:dyDescent="0.25">
      <c r="A438" s="2">
        <v>437</v>
      </c>
      <c r="B438" s="3" t="str">
        <f t="shared" si="114"/>
        <v>090124-HE-FRE</v>
      </c>
      <c r="C438" s="3">
        <v>39837</v>
      </c>
      <c r="D438" s="3">
        <f t="shared" si="116"/>
        <v>39850</v>
      </c>
      <c r="E438" s="3">
        <f t="shared" si="117"/>
        <v>39896</v>
      </c>
      <c r="F438" s="3">
        <f t="shared" si="118"/>
        <v>39844</v>
      </c>
      <c r="G438" s="76">
        <f t="shared" si="119"/>
        <v>2009</v>
      </c>
      <c r="H438" s="76">
        <f t="shared" si="120"/>
        <v>1</v>
      </c>
      <c r="I438" s="76" t="str">
        <f>VLOOKUP(H438,'Lookup Values'!$C$2:$D$13,2,FALSE)</f>
        <v>JAN</v>
      </c>
      <c r="J438" s="76">
        <f t="shared" si="121"/>
        <v>24</v>
      </c>
      <c r="K438" s="76">
        <f t="shared" si="122"/>
        <v>7</v>
      </c>
      <c r="L438" s="76" t="str">
        <f>VLOOKUP(K438,'Lookup Values'!$F$2:$G$8,2,FALSE)</f>
        <v>Saturday</v>
      </c>
      <c r="M438" s="3">
        <v>39843</v>
      </c>
      <c r="N438" s="78">
        <f t="shared" si="115"/>
        <v>6</v>
      </c>
      <c r="O438" s="11">
        <v>0.57262092231897777</v>
      </c>
      <c r="P438" s="94">
        <f t="shared" si="123"/>
        <v>13</v>
      </c>
      <c r="Q438" s="94">
        <f t="shared" si="124"/>
        <v>44</v>
      </c>
      <c r="R438" s="94">
        <f t="shared" si="125"/>
        <v>34</v>
      </c>
      <c r="S438" s="94" t="str">
        <f>VLOOKUP(O438,'Lookup Values'!$I$2:$L$8,4,TRUE)</f>
        <v>Afternoon</v>
      </c>
      <c r="T438" t="s">
        <v>107</v>
      </c>
      <c r="U438" t="s">
        <v>108</v>
      </c>
      <c r="V438" t="str">
        <f t="shared" si="126"/>
        <v>Health: Insurance Premium</v>
      </c>
      <c r="W438" t="s">
        <v>106</v>
      </c>
      <c r="X438" t="s">
        <v>88</v>
      </c>
      <c r="Y438" s="1">
        <v>65</v>
      </c>
      <c r="Z438" s="1" t="str">
        <f t="shared" si="127"/>
        <v>Health: $65.00</v>
      </c>
      <c r="AA438" s="1">
        <f>IF(Y438="","",ROUND(Y438*'Lookup Values'!$A$2,2))</f>
        <v>5.77</v>
      </c>
      <c r="AB438" s="12" t="str">
        <f t="shared" si="128"/>
        <v>Expense</v>
      </c>
      <c r="AC438" s="2" t="s">
        <v>553</v>
      </c>
      <c r="AD438" s="3">
        <f t="shared" si="129"/>
        <v>39837</v>
      </c>
      <c r="AE438" s="93" t="str">
        <f t="shared" si="130"/>
        <v>NO</v>
      </c>
      <c r="AF438" s="2" t="str">
        <f t="shared" si="131"/>
        <v>NO</v>
      </c>
      <c r="AG438" t="str">
        <f t="shared" si="132"/>
        <v>Late Transaction</v>
      </c>
    </row>
    <row r="439" spans="1:33" x14ac:dyDescent="0.25">
      <c r="A439" s="2">
        <v>438</v>
      </c>
      <c r="B439" s="3" t="str">
        <f t="shared" si="114"/>
        <v>090105-ED-SKI</v>
      </c>
      <c r="C439" s="3">
        <v>39818</v>
      </c>
      <c r="D439" s="3">
        <f t="shared" si="116"/>
        <v>39832</v>
      </c>
      <c r="E439" s="3">
        <f t="shared" si="117"/>
        <v>39877</v>
      </c>
      <c r="F439" s="3">
        <f t="shared" si="118"/>
        <v>39844</v>
      </c>
      <c r="G439" s="76">
        <f t="shared" si="119"/>
        <v>2009</v>
      </c>
      <c r="H439" s="76">
        <f t="shared" si="120"/>
        <v>1</v>
      </c>
      <c r="I439" s="76" t="str">
        <f>VLOOKUP(H439,'Lookup Values'!$C$2:$D$13,2,FALSE)</f>
        <v>JAN</v>
      </c>
      <c r="J439" s="76">
        <f t="shared" si="121"/>
        <v>5</v>
      </c>
      <c r="K439" s="76">
        <f t="shared" si="122"/>
        <v>2</v>
      </c>
      <c r="L439" s="76" t="str">
        <f>VLOOKUP(K439,'Lookup Values'!$F$2:$G$8,2,FALSE)</f>
        <v>Monday</v>
      </c>
      <c r="M439" s="3">
        <v>39822</v>
      </c>
      <c r="N439" s="78">
        <f t="shared" si="115"/>
        <v>4</v>
      </c>
      <c r="O439" s="11">
        <v>0.34551290050680727</v>
      </c>
      <c r="P439" s="94">
        <f t="shared" si="123"/>
        <v>8</v>
      </c>
      <c r="Q439" s="94">
        <f t="shared" si="124"/>
        <v>17</v>
      </c>
      <c r="R439" s="94">
        <f t="shared" si="125"/>
        <v>32</v>
      </c>
      <c r="S439" s="94" t="str">
        <f>VLOOKUP(O439,'Lookup Values'!$I$2:$L$8,4,TRUE)</f>
        <v>Morning</v>
      </c>
      <c r="T439" t="s">
        <v>86</v>
      </c>
      <c r="U439" t="s">
        <v>98</v>
      </c>
      <c r="V439" t="str">
        <f t="shared" si="126"/>
        <v>Education: Professional Development</v>
      </c>
      <c r="W439" t="s">
        <v>97</v>
      </c>
      <c r="X439" t="s">
        <v>78</v>
      </c>
      <c r="Y439" s="1">
        <v>381</v>
      </c>
      <c r="Z439" s="1" t="str">
        <f t="shared" si="127"/>
        <v>Education: $381.00</v>
      </c>
      <c r="AA439" s="1">
        <f>IF(Y439="","",ROUND(Y439*'Lookup Values'!$A$2,2))</f>
        <v>33.81</v>
      </c>
      <c r="AB439" s="12" t="str">
        <f t="shared" si="128"/>
        <v>Expense</v>
      </c>
      <c r="AC439" s="2" t="s">
        <v>554</v>
      </c>
      <c r="AD439" s="3">
        <f t="shared" si="129"/>
        <v>39818</v>
      </c>
      <c r="AE439" s="93" t="str">
        <f t="shared" si="130"/>
        <v>YES</v>
      </c>
      <c r="AF439" s="2" t="str">
        <f t="shared" si="131"/>
        <v>NO</v>
      </c>
      <c r="AG439" t="str">
        <f t="shared" si="132"/>
        <v>Late Transaction</v>
      </c>
    </row>
    <row r="440" spans="1:33" x14ac:dyDescent="0.25">
      <c r="A440" s="2">
        <v>439</v>
      </c>
      <c r="B440" s="3" t="str">
        <f t="shared" si="114"/>
        <v>110530-EN-FAN</v>
      </c>
      <c r="C440" s="3">
        <v>40693</v>
      </c>
      <c r="D440" s="3">
        <f t="shared" si="116"/>
        <v>40707</v>
      </c>
      <c r="E440" s="3">
        <f t="shared" si="117"/>
        <v>40754</v>
      </c>
      <c r="F440" s="3">
        <f t="shared" si="118"/>
        <v>40694</v>
      </c>
      <c r="G440" s="76">
        <f t="shared" si="119"/>
        <v>2011</v>
      </c>
      <c r="H440" s="76">
        <f t="shared" si="120"/>
        <v>5</v>
      </c>
      <c r="I440" s="76" t="str">
        <f>VLOOKUP(H440,'Lookup Values'!$C$2:$D$13,2,FALSE)</f>
        <v>MAY</v>
      </c>
      <c r="J440" s="76">
        <f t="shared" si="121"/>
        <v>30</v>
      </c>
      <c r="K440" s="76">
        <f t="shared" si="122"/>
        <v>2</v>
      </c>
      <c r="L440" s="76" t="str">
        <f>VLOOKUP(K440,'Lookup Values'!$F$2:$G$8,2,FALSE)</f>
        <v>Monday</v>
      </c>
      <c r="M440" s="3">
        <v>40702</v>
      </c>
      <c r="N440" s="78">
        <f t="shared" si="115"/>
        <v>9</v>
      </c>
      <c r="O440" s="11">
        <v>0.41955109635165189</v>
      </c>
      <c r="P440" s="94">
        <f t="shared" si="123"/>
        <v>10</v>
      </c>
      <c r="Q440" s="94">
        <f t="shared" si="124"/>
        <v>4</v>
      </c>
      <c r="R440" s="94">
        <f t="shared" si="125"/>
        <v>9</v>
      </c>
      <c r="S440" s="94" t="str">
        <f>VLOOKUP(O440,'Lookup Values'!$I$2:$L$8,4,TRUE)</f>
        <v>Late Morning</v>
      </c>
      <c r="T440" t="s">
        <v>76</v>
      </c>
      <c r="U440" t="s">
        <v>90</v>
      </c>
      <c r="V440" t="str">
        <f t="shared" si="126"/>
        <v>Entertainment: Movies</v>
      </c>
      <c r="W440" t="s">
        <v>89</v>
      </c>
      <c r="X440" t="s">
        <v>78</v>
      </c>
      <c r="Y440" s="1">
        <v>316</v>
      </c>
      <c r="Z440" s="1" t="str">
        <f t="shared" si="127"/>
        <v>Entertainment: $316.00</v>
      </c>
      <c r="AA440" s="1">
        <f>IF(Y440="","",ROUND(Y440*'Lookup Values'!$A$2,2))</f>
        <v>28.05</v>
      </c>
      <c r="AB440" s="12" t="str">
        <f t="shared" si="128"/>
        <v>Expense</v>
      </c>
      <c r="AC440" s="2" t="s">
        <v>555</v>
      </c>
      <c r="AD440" s="3">
        <f t="shared" si="129"/>
        <v>40693</v>
      </c>
      <c r="AE440" s="93" t="str">
        <f t="shared" si="130"/>
        <v>NO</v>
      </c>
      <c r="AF440" s="2" t="str">
        <f t="shared" si="131"/>
        <v>NO</v>
      </c>
      <c r="AG440" t="str">
        <f t="shared" si="132"/>
        <v>CRAP Transaction</v>
      </c>
    </row>
    <row r="441" spans="1:33" x14ac:dyDescent="0.25">
      <c r="A441" s="2">
        <v>440</v>
      </c>
      <c r="B441" s="3" t="str">
        <f t="shared" si="114"/>
        <v>070629-BI-CON</v>
      </c>
      <c r="C441" s="3">
        <v>39262</v>
      </c>
      <c r="D441" s="3">
        <f t="shared" si="116"/>
        <v>39276</v>
      </c>
      <c r="E441" s="3">
        <f t="shared" si="117"/>
        <v>39323</v>
      </c>
      <c r="F441" s="3">
        <f t="shared" si="118"/>
        <v>39263</v>
      </c>
      <c r="G441" s="76">
        <f t="shared" si="119"/>
        <v>2007</v>
      </c>
      <c r="H441" s="76">
        <f t="shared" si="120"/>
        <v>6</v>
      </c>
      <c r="I441" s="76" t="str">
        <f>VLOOKUP(H441,'Lookup Values'!$C$2:$D$13,2,FALSE)</f>
        <v>JUN</v>
      </c>
      <c r="J441" s="76">
        <f t="shared" si="121"/>
        <v>29</v>
      </c>
      <c r="K441" s="76">
        <f t="shared" si="122"/>
        <v>6</v>
      </c>
      <c r="L441" s="76" t="str">
        <f>VLOOKUP(K441,'Lookup Values'!$F$2:$G$8,2,FALSE)</f>
        <v>Friday</v>
      </c>
      <c r="M441" s="3">
        <v>39270</v>
      </c>
      <c r="N441" s="78">
        <f t="shared" si="115"/>
        <v>8</v>
      </c>
      <c r="O441" s="11">
        <v>0.48913068203033694</v>
      </c>
      <c r="P441" s="94">
        <f t="shared" si="123"/>
        <v>11</v>
      </c>
      <c r="Q441" s="94">
        <f t="shared" si="124"/>
        <v>44</v>
      </c>
      <c r="R441" s="94">
        <f t="shared" si="125"/>
        <v>21</v>
      </c>
      <c r="S441" s="94" t="str">
        <f>VLOOKUP(O441,'Lookup Values'!$I$2:$L$8,4,TRUE)</f>
        <v>Late Morning</v>
      </c>
      <c r="T441" t="s">
        <v>110</v>
      </c>
      <c r="U441" t="s">
        <v>111</v>
      </c>
      <c r="V441" t="str">
        <f t="shared" si="126"/>
        <v>Bills: Utilities</v>
      </c>
      <c r="W441" t="s">
        <v>109</v>
      </c>
      <c r="X441" t="s">
        <v>88</v>
      </c>
      <c r="Y441" s="1">
        <v>372</v>
      </c>
      <c r="Z441" s="1" t="str">
        <f t="shared" si="127"/>
        <v>Bills: $372.00</v>
      </c>
      <c r="AA441" s="1">
        <f>IF(Y441="","",ROUND(Y441*'Lookup Values'!$A$2,2))</f>
        <v>33.020000000000003</v>
      </c>
      <c r="AB441" s="12" t="str">
        <f t="shared" si="128"/>
        <v>Expense</v>
      </c>
      <c r="AC441" s="2" t="s">
        <v>556</v>
      </c>
      <c r="AD441" s="3">
        <f t="shared" si="129"/>
        <v>39262</v>
      </c>
      <c r="AE441" s="93" t="str">
        <f t="shared" si="130"/>
        <v>NO</v>
      </c>
      <c r="AF441" s="2" t="str">
        <f t="shared" si="131"/>
        <v>NO</v>
      </c>
      <c r="AG441" t="str">
        <f t="shared" si="132"/>
        <v>Late Transaction</v>
      </c>
    </row>
    <row r="442" spans="1:33" x14ac:dyDescent="0.25">
      <c r="A442" s="2">
        <v>441</v>
      </c>
      <c r="B442" s="3" t="str">
        <f t="shared" si="114"/>
        <v>090107-FO-TRA</v>
      </c>
      <c r="C442" s="3">
        <v>39820</v>
      </c>
      <c r="D442" s="3">
        <f t="shared" si="116"/>
        <v>39834</v>
      </c>
      <c r="E442" s="3">
        <f t="shared" si="117"/>
        <v>39879</v>
      </c>
      <c r="F442" s="3">
        <f t="shared" si="118"/>
        <v>39844</v>
      </c>
      <c r="G442" s="76">
        <f t="shared" si="119"/>
        <v>2009</v>
      </c>
      <c r="H442" s="76">
        <f t="shared" si="120"/>
        <v>1</v>
      </c>
      <c r="I442" s="76" t="str">
        <f>VLOOKUP(H442,'Lookup Values'!$C$2:$D$13,2,FALSE)</f>
        <v>JAN</v>
      </c>
      <c r="J442" s="76">
        <f t="shared" si="121"/>
        <v>7</v>
      </c>
      <c r="K442" s="76">
        <f t="shared" si="122"/>
        <v>4</v>
      </c>
      <c r="L442" s="76" t="str">
        <f>VLOOKUP(K442,'Lookup Values'!$F$2:$G$8,2,FALSE)</f>
        <v>Wednesday</v>
      </c>
      <c r="M442" s="3">
        <v>39823</v>
      </c>
      <c r="N442" s="78">
        <f t="shared" si="115"/>
        <v>3</v>
      </c>
      <c r="O442" s="11">
        <v>0.35235911900415051</v>
      </c>
      <c r="P442" s="94">
        <f t="shared" si="123"/>
        <v>8</v>
      </c>
      <c r="Q442" s="94">
        <f t="shared" si="124"/>
        <v>27</v>
      </c>
      <c r="R442" s="94">
        <f t="shared" si="125"/>
        <v>24</v>
      </c>
      <c r="S442" s="94" t="str">
        <f>VLOOKUP(O442,'Lookup Values'!$I$2:$L$8,4,TRUE)</f>
        <v>Morning</v>
      </c>
      <c r="T442" t="s">
        <v>80</v>
      </c>
      <c r="U442" t="s">
        <v>93</v>
      </c>
      <c r="V442" t="str">
        <f t="shared" si="126"/>
        <v>Food: Groceries</v>
      </c>
      <c r="W442" t="s">
        <v>92</v>
      </c>
      <c r="X442" t="s">
        <v>88</v>
      </c>
      <c r="Y442" s="1">
        <v>270</v>
      </c>
      <c r="Z442" s="1" t="str">
        <f t="shared" si="127"/>
        <v>Food: $270.00</v>
      </c>
      <c r="AA442" s="1">
        <f>IF(Y442="","",ROUND(Y442*'Lookup Values'!$A$2,2))</f>
        <v>23.96</v>
      </c>
      <c r="AB442" s="12" t="str">
        <f t="shared" si="128"/>
        <v>Expense</v>
      </c>
      <c r="AC442" s="2" t="s">
        <v>557</v>
      </c>
      <c r="AD442" s="3">
        <f t="shared" si="129"/>
        <v>39820</v>
      </c>
      <c r="AE442" s="93" t="str">
        <f t="shared" si="130"/>
        <v>NO</v>
      </c>
      <c r="AF442" s="2" t="str">
        <f t="shared" si="131"/>
        <v>NO</v>
      </c>
      <c r="AG442" t="str">
        <f t="shared" si="132"/>
        <v>Awesome Transaction</v>
      </c>
    </row>
    <row r="443" spans="1:33" x14ac:dyDescent="0.25">
      <c r="A443" s="2">
        <v>442</v>
      </c>
      <c r="B443" s="3" t="str">
        <f t="shared" si="114"/>
        <v>090310-IN-LEG</v>
      </c>
      <c r="C443" s="3">
        <v>39882</v>
      </c>
      <c r="D443" s="3">
        <f t="shared" si="116"/>
        <v>39896</v>
      </c>
      <c r="E443" s="3">
        <f t="shared" si="117"/>
        <v>39943</v>
      </c>
      <c r="F443" s="3">
        <f t="shared" si="118"/>
        <v>39903</v>
      </c>
      <c r="G443" s="76">
        <f t="shared" si="119"/>
        <v>2009</v>
      </c>
      <c r="H443" s="76">
        <f t="shared" si="120"/>
        <v>3</v>
      </c>
      <c r="I443" s="76" t="str">
        <f>VLOOKUP(H443,'Lookup Values'!$C$2:$D$13,2,FALSE)</f>
        <v>MAR</v>
      </c>
      <c r="J443" s="76">
        <f t="shared" si="121"/>
        <v>10</v>
      </c>
      <c r="K443" s="76">
        <f t="shared" si="122"/>
        <v>3</v>
      </c>
      <c r="L443" s="76" t="str">
        <f>VLOOKUP(K443,'Lookup Values'!$F$2:$G$8,2,FALSE)</f>
        <v>Tuesday</v>
      </c>
      <c r="M443" s="3">
        <v>39885</v>
      </c>
      <c r="N443" s="78">
        <f t="shared" si="115"/>
        <v>3</v>
      </c>
      <c r="O443" s="11">
        <v>0.14145140582687277</v>
      </c>
      <c r="P443" s="94">
        <f t="shared" si="123"/>
        <v>3</v>
      </c>
      <c r="Q443" s="94">
        <f t="shared" si="124"/>
        <v>23</v>
      </c>
      <c r="R443" s="94">
        <f t="shared" si="125"/>
        <v>41</v>
      </c>
      <c r="S443" s="94" t="str">
        <f>VLOOKUP(O443,'Lookup Values'!$I$2:$L$8,4,TRUE)</f>
        <v>Dead of Night</v>
      </c>
      <c r="T443" t="s">
        <v>158</v>
      </c>
      <c r="U443" t="s">
        <v>160</v>
      </c>
      <c r="V443" t="str">
        <f t="shared" si="126"/>
        <v>Income: Freelance Project</v>
      </c>
      <c r="W443" t="s">
        <v>163</v>
      </c>
      <c r="X443" t="s">
        <v>88</v>
      </c>
      <c r="Y443" s="1">
        <v>241</v>
      </c>
      <c r="Z443" s="1" t="str">
        <f t="shared" si="127"/>
        <v>Income: $241.00</v>
      </c>
      <c r="AA443" s="1">
        <f>IF(Y443="","",ROUND(Y443*'Lookup Values'!$A$2,2))</f>
        <v>21.39</v>
      </c>
      <c r="AB443" s="12" t="str">
        <f t="shared" si="128"/>
        <v>Income</v>
      </c>
      <c r="AC443" s="2" t="s">
        <v>558</v>
      </c>
      <c r="AD443" s="3">
        <f t="shared" si="129"/>
        <v>39882</v>
      </c>
      <c r="AE443" s="93" t="str">
        <f t="shared" si="130"/>
        <v>NO</v>
      </c>
      <c r="AF443" s="2" t="str">
        <f t="shared" si="131"/>
        <v>NO</v>
      </c>
      <c r="AG443" t="str">
        <f t="shared" si="132"/>
        <v>Late Transaction</v>
      </c>
    </row>
    <row r="444" spans="1:33" x14ac:dyDescent="0.25">
      <c r="A444" s="2">
        <v>443</v>
      </c>
      <c r="B444" s="3" t="str">
        <f t="shared" si="114"/>
        <v>120310-IN-EZE</v>
      </c>
      <c r="C444" s="3">
        <v>40978</v>
      </c>
      <c r="D444" s="3">
        <f t="shared" si="116"/>
        <v>40991</v>
      </c>
      <c r="E444" s="3">
        <f t="shared" si="117"/>
        <v>41039</v>
      </c>
      <c r="F444" s="3">
        <f t="shared" si="118"/>
        <v>40999</v>
      </c>
      <c r="G444" s="76">
        <f t="shared" si="119"/>
        <v>2012</v>
      </c>
      <c r="H444" s="76">
        <f t="shared" si="120"/>
        <v>3</v>
      </c>
      <c r="I444" s="76" t="str">
        <f>VLOOKUP(H444,'Lookup Values'!$C$2:$D$13,2,FALSE)</f>
        <v>MAR</v>
      </c>
      <c r="J444" s="76">
        <f t="shared" si="121"/>
        <v>10</v>
      </c>
      <c r="K444" s="76">
        <f t="shared" si="122"/>
        <v>7</v>
      </c>
      <c r="L444" s="76" t="str">
        <f>VLOOKUP(K444,'Lookup Values'!$F$2:$G$8,2,FALSE)</f>
        <v>Saturday</v>
      </c>
      <c r="M444" s="3">
        <v>40988</v>
      </c>
      <c r="N444" s="78">
        <f t="shared" si="115"/>
        <v>10</v>
      </c>
      <c r="O444" s="11">
        <v>0.46402320892896354</v>
      </c>
      <c r="P444" s="94">
        <f t="shared" si="123"/>
        <v>11</v>
      </c>
      <c r="Q444" s="94">
        <f t="shared" si="124"/>
        <v>8</v>
      </c>
      <c r="R444" s="94">
        <f t="shared" si="125"/>
        <v>12</v>
      </c>
      <c r="S444" s="94" t="str">
        <f>VLOOKUP(O444,'Lookup Values'!$I$2:$L$8,4,TRUE)</f>
        <v>Late Morning</v>
      </c>
      <c r="T444" t="s">
        <v>158</v>
      </c>
      <c r="U444" t="s">
        <v>159</v>
      </c>
      <c r="V444" t="str">
        <f t="shared" si="126"/>
        <v>Income: Salary</v>
      </c>
      <c r="W444" t="s">
        <v>162</v>
      </c>
      <c r="X444" t="s">
        <v>88</v>
      </c>
      <c r="Y444" s="1">
        <v>100</v>
      </c>
      <c r="Z444" s="1" t="str">
        <f t="shared" si="127"/>
        <v>Income: $100.00</v>
      </c>
      <c r="AA444" s="1">
        <f>IF(Y444="","",ROUND(Y444*'Lookup Values'!$A$2,2))</f>
        <v>8.8800000000000008</v>
      </c>
      <c r="AB444" s="12" t="str">
        <f t="shared" si="128"/>
        <v>Income</v>
      </c>
      <c r="AC444" s="2" t="s">
        <v>559</v>
      </c>
      <c r="AD444" s="3">
        <f t="shared" si="129"/>
        <v>40978</v>
      </c>
      <c r="AE444" s="93" t="str">
        <f t="shared" si="130"/>
        <v>NO</v>
      </c>
      <c r="AF444" s="2" t="str">
        <f t="shared" si="131"/>
        <v>NO</v>
      </c>
      <c r="AG444" t="str">
        <f t="shared" si="132"/>
        <v>CRAP Transaction</v>
      </c>
    </row>
    <row r="445" spans="1:33" x14ac:dyDescent="0.25">
      <c r="A445" s="2">
        <v>444</v>
      </c>
      <c r="B445" s="3" t="str">
        <f t="shared" si="114"/>
        <v>111129-FO-BAN</v>
      </c>
      <c r="C445" s="3">
        <v>40876</v>
      </c>
      <c r="D445" s="3">
        <f t="shared" si="116"/>
        <v>40890</v>
      </c>
      <c r="E445" s="3">
        <f t="shared" si="117"/>
        <v>40937</v>
      </c>
      <c r="F445" s="3">
        <f t="shared" si="118"/>
        <v>40877</v>
      </c>
      <c r="G445" s="76">
        <f t="shared" si="119"/>
        <v>2011</v>
      </c>
      <c r="H445" s="76">
        <f t="shared" si="120"/>
        <v>11</v>
      </c>
      <c r="I445" s="76" t="str">
        <f>VLOOKUP(H445,'Lookup Values'!$C$2:$D$13,2,FALSE)</f>
        <v>NOV</v>
      </c>
      <c r="J445" s="76">
        <f t="shared" si="121"/>
        <v>29</v>
      </c>
      <c r="K445" s="76">
        <f t="shared" si="122"/>
        <v>3</v>
      </c>
      <c r="L445" s="76" t="str">
        <f>VLOOKUP(K445,'Lookup Values'!$F$2:$G$8,2,FALSE)</f>
        <v>Tuesday</v>
      </c>
      <c r="M445" s="3">
        <v>40882</v>
      </c>
      <c r="N445" s="78">
        <f t="shared" si="115"/>
        <v>6</v>
      </c>
      <c r="O445" s="11">
        <v>0.84707268080940756</v>
      </c>
      <c r="P445" s="94">
        <f t="shared" si="123"/>
        <v>20</v>
      </c>
      <c r="Q445" s="94">
        <f t="shared" si="124"/>
        <v>19</v>
      </c>
      <c r="R445" s="94">
        <f t="shared" si="125"/>
        <v>47</v>
      </c>
      <c r="S445" s="94" t="str">
        <f>VLOOKUP(O445,'Lookup Values'!$I$2:$L$8,4,TRUE)</f>
        <v>Evening</v>
      </c>
      <c r="T445" t="s">
        <v>80</v>
      </c>
      <c r="U445" t="s">
        <v>81</v>
      </c>
      <c r="V445" t="str">
        <f t="shared" si="126"/>
        <v>Food: Restaurants</v>
      </c>
      <c r="W445" t="s">
        <v>79</v>
      </c>
      <c r="X445" t="s">
        <v>88</v>
      </c>
      <c r="Y445" s="1">
        <v>253</v>
      </c>
      <c r="Z445" s="1" t="str">
        <f t="shared" si="127"/>
        <v>Food: $253.00</v>
      </c>
      <c r="AA445" s="1">
        <f>IF(Y445="","",ROUND(Y445*'Lookup Values'!$A$2,2))</f>
        <v>22.45</v>
      </c>
      <c r="AB445" s="12" t="str">
        <f t="shared" si="128"/>
        <v>Expense</v>
      </c>
      <c r="AC445" s="2" t="s">
        <v>560</v>
      </c>
      <c r="AD445" s="3">
        <f t="shared" si="129"/>
        <v>40876</v>
      </c>
      <c r="AE445" s="93" t="str">
        <f t="shared" si="130"/>
        <v>NO</v>
      </c>
      <c r="AF445" s="2" t="str">
        <f t="shared" si="131"/>
        <v>NO</v>
      </c>
      <c r="AG445" t="str">
        <f t="shared" si="132"/>
        <v>CRAP Transaction</v>
      </c>
    </row>
    <row r="446" spans="1:33" x14ac:dyDescent="0.25">
      <c r="A446" s="2">
        <v>445</v>
      </c>
      <c r="B446" s="3" t="str">
        <f t="shared" si="114"/>
        <v>091217-ED-ANT</v>
      </c>
      <c r="C446" s="3">
        <v>40164</v>
      </c>
      <c r="D446" s="3">
        <f t="shared" si="116"/>
        <v>40178</v>
      </c>
      <c r="E446" s="3">
        <f t="shared" si="117"/>
        <v>40226</v>
      </c>
      <c r="F446" s="3">
        <f t="shared" si="118"/>
        <v>40178</v>
      </c>
      <c r="G446" s="76">
        <f t="shared" si="119"/>
        <v>2009</v>
      </c>
      <c r="H446" s="76">
        <f t="shared" si="120"/>
        <v>12</v>
      </c>
      <c r="I446" s="76" t="str">
        <f>VLOOKUP(H446,'Lookup Values'!$C$2:$D$13,2,FALSE)</f>
        <v>DEC</v>
      </c>
      <c r="J446" s="76">
        <f t="shared" si="121"/>
        <v>17</v>
      </c>
      <c r="K446" s="76">
        <f t="shared" si="122"/>
        <v>5</v>
      </c>
      <c r="L446" s="76" t="str">
        <f>VLOOKUP(K446,'Lookup Values'!$F$2:$G$8,2,FALSE)</f>
        <v>Thursday</v>
      </c>
      <c r="M446" s="3">
        <v>40169</v>
      </c>
      <c r="N446" s="78">
        <f t="shared" si="115"/>
        <v>5</v>
      </c>
      <c r="O446" s="11">
        <v>0.50860161723635455</v>
      </c>
      <c r="P446" s="94">
        <f t="shared" si="123"/>
        <v>12</v>
      </c>
      <c r="Q446" s="94">
        <f t="shared" si="124"/>
        <v>12</v>
      </c>
      <c r="R446" s="94">
        <f t="shared" si="125"/>
        <v>23</v>
      </c>
      <c r="S446" s="94" t="str">
        <f>VLOOKUP(O446,'Lookup Values'!$I$2:$L$8,4,TRUE)</f>
        <v>Afternoon</v>
      </c>
      <c r="T446" t="s">
        <v>86</v>
      </c>
      <c r="U446" t="s">
        <v>87</v>
      </c>
      <c r="V446" t="str">
        <f t="shared" si="126"/>
        <v>Education: Tango Lessons</v>
      </c>
      <c r="W446" t="s">
        <v>85</v>
      </c>
      <c r="X446" t="s">
        <v>91</v>
      </c>
      <c r="Y446" s="1">
        <v>236</v>
      </c>
      <c r="Z446" s="1" t="str">
        <f t="shared" si="127"/>
        <v>Education: $236.00</v>
      </c>
      <c r="AA446" s="1">
        <f>IF(Y446="","",ROUND(Y446*'Lookup Values'!$A$2,2))</f>
        <v>20.95</v>
      </c>
      <c r="AB446" s="12" t="str">
        <f t="shared" si="128"/>
        <v>Expense</v>
      </c>
      <c r="AC446" s="2" t="s">
        <v>561</v>
      </c>
      <c r="AD446" s="3">
        <f t="shared" si="129"/>
        <v>40164</v>
      </c>
      <c r="AE446" s="93" t="str">
        <f t="shared" si="130"/>
        <v>NO</v>
      </c>
      <c r="AF446" s="2" t="str">
        <f t="shared" si="131"/>
        <v>NO</v>
      </c>
      <c r="AG446" t="str">
        <f t="shared" si="132"/>
        <v>Late Transaction</v>
      </c>
    </row>
    <row r="447" spans="1:33" x14ac:dyDescent="0.25">
      <c r="A447" s="2">
        <v>446</v>
      </c>
      <c r="B447" s="3" t="str">
        <f t="shared" si="114"/>
        <v>120710-TR-MTA</v>
      </c>
      <c r="C447" s="3">
        <v>41100</v>
      </c>
      <c r="D447" s="3">
        <f t="shared" si="116"/>
        <v>41114</v>
      </c>
      <c r="E447" s="3">
        <f t="shared" si="117"/>
        <v>41162</v>
      </c>
      <c r="F447" s="3">
        <f t="shared" si="118"/>
        <v>41121</v>
      </c>
      <c r="G447" s="76">
        <f t="shared" si="119"/>
        <v>2012</v>
      </c>
      <c r="H447" s="76">
        <f t="shared" si="120"/>
        <v>7</v>
      </c>
      <c r="I447" s="76" t="str">
        <f>VLOOKUP(H447,'Lookup Values'!$C$2:$D$13,2,FALSE)</f>
        <v>JUL</v>
      </c>
      <c r="J447" s="76">
        <f t="shared" si="121"/>
        <v>10</v>
      </c>
      <c r="K447" s="76">
        <f t="shared" si="122"/>
        <v>3</v>
      </c>
      <c r="L447" s="76" t="str">
        <f>VLOOKUP(K447,'Lookup Values'!$F$2:$G$8,2,FALSE)</f>
        <v>Tuesday</v>
      </c>
      <c r="M447" s="3">
        <v>41109</v>
      </c>
      <c r="N447" s="78">
        <f t="shared" si="115"/>
        <v>9</v>
      </c>
      <c r="O447" s="11">
        <v>8.9365803063307769E-2</v>
      </c>
      <c r="P447" s="94">
        <f t="shared" si="123"/>
        <v>2</v>
      </c>
      <c r="Q447" s="94">
        <f t="shared" si="124"/>
        <v>8</v>
      </c>
      <c r="R447" s="94">
        <f t="shared" si="125"/>
        <v>41</v>
      </c>
      <c r="S447" s="94" t="str">
        <f>VLOOKUP(O447,'Lookup Values'!$I$2:$L$8,4,TRUE)</f>
        <v>Dead of Night</v>
      </c>
      <c r="T447" t="s">
        <v>95</v>
      </c>
      <c r="U447" t="s">
        <v>96</v>
      </c>
      <c r="V447" t="str">
        <f t="shared" si="126"/>
        <v>Transportation: Subway</v>
      </c>
      <c r="W447" t="s">
        <v>94</v>
      </c>
      <c r="X447" t="s">
        <v>78</v>
      </c>
      <c r="Y447" s="1">
        <v>47</v>
      </c>
      <c r="Z447" s="1" t="str">
        <f t="shared" si="127"/>
        <v>Transportation: $47.00</v>
      </c>
      <c r="AA447" s="1">
        <f>IF(Y447="","",ROUND(Y447*'Lookup Values'!$A$2,2))</f>
        <v>4.17</v>
      </c>
      <c r="AB447" s="12" t="str">
        <f t="shared" si="128"/>
        <v>Expense</v>
      </c>
      <c r="AC447" s="2" t="s">
        <v>562</v>
      </c>
      <c r="AD447" s="3">
        <f t="shared" si="129"/>
        <v>41100</v>
      </c>
      <c r="AE447" s="93" t="str">
        <f t="shared" si="130"/>
        <v>YES</v>
      </c>
      <c r="AF447" s="2" t="str">
        <f t="shared" si="131"/>
        <v>NO</v>
      </c>
      <c r="AG447" t="str">
        <f t="shared" si="132"/>
        <v>CRAP Transaction</v>
      </c>
    </row>
    <row r="448" spans="1:33" x14ac:dyDescent="0.25">
      <c r="A448" s="2">
        <v>447</v>
      </c>
      <c r="B448" s="3" t="str">
        <f t="shared" si="114"/>
        <v>120715-IN-AUN</v>
      </c>
      <c r="C448" s="3">
        <v>41105</v>
      </c>
      <c r="D448" s="3">
        <f t="shared" si="116"/>
        <v>41117</v>
      </c>
      <c r="E448" s="3">
        <f t="shared" si="117"/>
        <v>41167</v>
      </c>
      <c r="F448" s="3">
        <f t="shared" si="118"/>
        <v>41121</v>
      </c>
      <c r="G448" s="76">
        <f t="shared" si="119"/>
        <v>2012</v>
      </c>
      <c r="H448" s="76">
        <f t="shared" si="120"/>
        <v>7</v>
      </c>
      <c r="I448" s="76" t="str">
        <f>VLOOKUP(H448,'Lookup Values'!$C$2:$D$13,2,FALSE)</f>
        <v>JUL</v>
      </c>
      <c r="J448" s="76">
        <f t="shared" si="121"/>
        <v>15</v>
      </c>
      <c r="K448" s="76">
        <f t="shared" si="122"/>
        <v>1</v>
      </c>
      <c r="L448" s="76" t="str">
        <f>VLOOKUP(K448,'Lookup Values'!$F$2:$G$8,2,FALSE)</f>
        <v>Sunday</v>
      </c>
      <c r="M448" s="3">
        <v>41109</v>
      </c>
      <c r="N448" s="78">
        <f t="shared" si="115"/>
        <v>4</v>
      </c>
      <c r="O448" s="11">
        <v>0.8123584320841315</v>
      </c>
      <c r="P448" s="94">
        <f t="shared" si="123"/>
        <v>19</v>
      </c>
      <c r="Q448" s="94">
        <f t="shared" si="124"/>
        <v>29</v>
      </c>
      <c r="R448" s="94">
        <f t="shared" si="125"/>
        <v>48</v>
      </c>
      <c r="S448" s="94" t="str">
        <f>VLOOKUP(O448,'Lookup Values'!$I$2:$L$8,4,TRUE)</f>
        <v>Evening</v>
      </c>
      <c r="T448" t="s">
        <v>158</v>
      </c>
      <c r="U448" t="s">
        <v>161</v>
      </c>
      <c r="V448" t="str">
        <f t="shared" si="126"/>
        <v>Income: Gift Received</v>
      </c>
      <c r="W448" t="s">
        <v>164</v>
      </c>
      <c r="X448" t="s">
        <v>78</v>
      </c>
      <c r="Y448" s="1">
        <v>76</v>
      </c>
      <c r="Z448" s="1" t="str">
        <f t="shared" si="127"/>
        <v>Income: $76.00</v>
      </c>
      <c r="AA448" s="1">
        <f>IF(Y448="","",ROUND(Y448*'Lookup Values'!$A$2,2))</f>
        <v>6.75</v>
      </c>
      <c r="AB448" s="12" t="str">
        <f t="shared" si="128"/>
        <v>Income</v>
      </c>
      <c r="AC448" s="2" t="s">
        <v>563</v>
      </c>
      <c r="AD448" s="3">
        <f t="shared" si="129"/>
        <v>41105</v>
      </c>
      <c r="AE448" s="93" t="str">
        <f t="shared" si="130"/>
        <v>NO</v>
      </c>
      <c r="AF448" s="2" t="str">
        <f t="shared" si="131"/>
        <v>NO</v>
      </c>
      <c r="AG448" t="str">
        <f t="shared" si="132"/>
        <v>CRAP Transaction</v>
      </c>
    </row>
    <row r="449" spans="1:33" x14ac:dyDescent="0.25">
      <c r="A449" s="2">
        <v>448</v>
      </c>
      <c r="B449" s="3" t="str">
        <f t="shared" si="114"/>
        <v>090713-EN-MOE</v>
      </c>
      <c r="C449" s="3">
        <v>40007</v>
      </c>
      <c r="D449" s="3">
        <f t="shared" si="116"/>
        <v>40021</v>
      </c>
      <c r="E449" s="3">
        <f t="shared" si="117"/>
        <v>40069</v>
      </c>
      <c r="F449" s="3">
        <f t="shared" si="118"/>
        <v>40025</v>
      </c>
      <c r="G449" s="76">
        <f t="shared" si="119"/>
        <v>2009</v>
      </c>
      <c r="H449" s="76">
        <f t="shared" si="120"/>
        <v>7</v>
      </c>
      <c r="I449" s="76" t="str">
        <f>VLOOKUP(H449,'Lookup Values'!$C$2:$D$13,2,FALSE)</f>
        <v>JUL</v>
      </c>
      <c r="J449" s="76">
        <f t="shared" si="121"/>
        <v>13</v>
      </c>
      <c r="K449" s="76">
        <f t="shared" si="122"/>
        <v>2</v>
      </c>
      <c r="L449" s="76" t="str">
        <f>VLOOKUP(K449,'Lookup Values'!$F$2:$G$8,2,FALSE)</f>
        <v>Monday</v>
      </c>
      <c r="M449" s="3">
        <v>40015</v>
      </c>
      <c r="N449" s="78">
        <f t="shared" si="115"/>
        <v>8</v>
      </c>
      <c r="O449" s="11">
        <v>0.2402362316342832</v>
      </c>
      <c r="P449" s="94">
        <f t="shared" si="123"/>
        <v>5</v>
      </c>
      <c r="Q449" s="94">
        <f t="shared" si="124"/>
        <v>45</v>
      </c>
      <c r="R449" s="94">
        <f t="shared" si="125"/>
        <v>56</v>
      </c>
      <c r="S449" s="94" t="str">
        <f>VLOOKUP(O449,'Lookup Values'!$I$2:$L$8,4,TRUE)</f>
        <v>Early Morning</v>
      </c>
      <c r="T449" t="s">
        <v>76</v>
      </c>
      <c r="U449" t="s">
        <v>77</v>
      </c>
      <c r="V449" t="str">
        <f t="shared" si="126"/>
        <v>Entertainment: Alcohol</v>
      </c>
      <c r="W449" t="s">
        <v>75</v>
      </c>
      <c r="X449" t="s">
        <v>88</v>
      </c>
      <c r="Y449" s="1">
        <v>370</v>
      </c>
      <c r="Z449" s="1" t="str">
        <f t="shared" si="127"/>
        <v>Entertainment: $370.00</v>
      </c>
      <c r="AA449" s="1">
        <f>IF(Y449="","",ROUND(Y449*'Lookup Values'!$A$2,2))</f>
        <v>32.840000000000003</v>
      </c>
      <c r="AB449" s="12" t="str">
        <f t="shared" si="128"/>
        <v>Expense</v>
      </c>
      <c r="AC449" s="2" t="s">
        <v>564</v>
      </c>
      <c r="AD449" s="3">
        <f t="shared" si="129"/>
        <v>40007</v>
      </c>
      <c r="AE449" s="93" t="str">
        <f t="shared" si="130"/>
        <v>NO</v>
      </c>
      <c r="AF449" s="2" t="str">
        <f t="shared" si="131"/>
        <v>NO</v>
      </c>
      <c r="AG449" t="str">
        <f t="shared" si="132"/>
        <v>Awesome Transaction</v>
      </c>
    </row>
    <row r="450" spans="1:33" x14ac:dyDescent="0.25">
      <c r="A450" s="2">
        <v>449</v>
      </c>
      <c r="B450" s="3" t="str">
        <f t="shared" ref="B450:B513" si="133">TEXT(C450,"yymmdd") &amp; "-" &amp; UPPER(LEFT(T450,2)) &amp; "-" &amp; UPPER(LEFT(W450,3))</f>
        <v>120729-EN-FAN</v>
      </c>
      <c r="C450" s="3">
        <v>41119</v>
      </c>
      <c r="D450" s="3">
        <f t="shared" si="116"/>
        <v>41131</v>
      </c>
      <c r="E450" s="3">
        <f t="shared" si="117"/>
        <v>41181</v>
      </c>
      <c r="F450" s="3">
        <f t="shared" si="118"/>
        <v>41121</v>
      </c>
      <c r="G450" s="76">
        <f t="shared" si="119"/>
        <v>2012</v>
      </c>
      <c r="H450" s="76">
        <f t="shared" si="120"/>
        <v>7</v>
      </c>
      <c r="I450" s="76" t="str">
        <f>VLOOKUP(H450,'Lookup Values'!$C$2:$D$13,2,FALSE)</f>
        <v>JUL</v>
      </c>
      <c r="J450" s="76">
        <f t="shared" si="121"/>
        <v>29</v>
      </c>
      <c r="K450" s="76">
        <f t="shared" si="122"/>
        <v>1</v>
      </c>
      <c r="L450" s="76" t="str">
        <f>VLOOKUP(K450,'Lookup Values'!$F$2:$G$8,2,FALSE)</f>
        <v>Sunday</v>
      </c>
      <c r="M450" s="3">
        <v>41124</v>
      </c>
      <c r="N450" s="78">
        <f t="shared" ref="N450:N513" si="134">M450-C450</f>
        <v>5</v>
      </c>
      <c r="O450" s="11">
        <v>0.12453760560704608</v>
      </c>
      <c r="P450" s="94">
        <f t="shared" si="123"/>
        <v>2</v>
      </c>
      <c r="Q450" s="94">
        <f t="shared" si="124"/>
        <v>59</v>
      </c>
      <c r="R450" s="94">
        <f t="shared" si="125"/>
        <v>20</v>
      </c>
      <c r="S450" s="94" t="str">
        <f>VLOOKUP(O450,'Lookup Values'!$I$2:$L$8,4,TRUE)</f>
        <v>Dead of Night</v>
      </c>
      <c r="T450" t="s">
        <v>76</v>
      </c>
      <c r="U450" t="s">
        <v>90</v>
      </c>
      <c r="V450" t="str">
        <f t="shared" si="126"/>
        <v>Entertainment: Movies</v>
      </c>
      <c r="W450" t="s">
        <v>89</v>
      </c>
      <c r="X450" t="s">
        <v>78</v>
      </c>
      <c r="Y450" s="1">
        <v>341</v>
      </c>
      <c r="Z450" s="1" t="str">
        <f t="shared" si="127"/>
        <v>Entertainment: $341.00</v>
      </c>
      <c r="AA450" s="1">
        <f>IF(Y450="","",ROUND(Y450*'Lookup Values'!$A$2,2))</f>
        <v>30.26</v>
      </c>
      <c r="AB450" s="12" t="str">
        <f t="shared" si="128"/>
        <v>Expense</v>
      </c>
      <c r="AC450" s="2" t="s">
        <v>565</v>
      </c>
      <c r="AD450" s="3">
        <f t="shared" si="129"/>
        <v>41119</v>
      </c>
      <c r="AE450" s="93" t="str">
        <f t="shared" si="130"/>
        <v>NO</v>
      </c>
      <c r="AF450" s="2" t="str">
        <f t="shared" si="131"/>
        <v>NO</v>
      </c>
      <c r="AG450" t="str">
        <f t="shared" si="132"/>
        <v>CRAP Transaction</v>
      </c>
    </row>
    <row r="451" spans="1:33" x14ac:dyDescent="0.25">
      <c r="A451" s="2">
        <v>450</v>
      </c>
      <c r="B451" s="3" t="str">
        <f t="shared" si="133"/>
        <v>091228-SH-EXP</v>
      </c>
      <c r="C451" s="3">
        <v>40175</v>
      </c>
      <c r="D451" s="3">
        <f t="shared" ref="D451:D514" si="135">WORKDAY(C451,10)</f>
        <v>40189</v>
      </c>
      <c r="E451" s="3">
        <f t="shared" ref="E451:E514" si="136">EDATE(C451,2)</f>
        <v>40237</v>
      </c>
      <c r="F451" s="3">
        <f t="shared" ref="F451:F514" si="137">EOMONTH(C451,0)</f>
        <v>40178</v>
      </c>
      <c r="G451" s="76">
        <f t="shared" ref="G451:G514" si="138">YEAR(C451)</f>
        <v>2009</v>
      </c>
      <c r="H451" s="76">
        <f t="shared" ref="H451:H514" si="139">MONTH(C451)</f>
        <v>12</v>
      </c>
      <c r="I451" s="76" t="str">
        <f>VLOOKUP(H451,'Lookup Values'!$C$2:$D$13,2,FALSE)</f>
        <v>DEC</v>
      </c>
      <c r="J451" s="76">
        <f t="shared" ref="J451:J514" si="140">DAY(C451)</f>
        <v>28</v>
      </c>
      <c r="K451" s="76">
        <f t="shared" ref="K451:K514" si="141">WEEKDAY(C451)</f>
        <v>2</v>
      </c>
      <c r="L451" s="76" t="str">
        <f>VLOOKUP(K451,'Lookup Values'!$F$2:$G$8,2,FALSE)</f>
        <v>Monday</v>
      </c>
      <c r="M451" s="3">
        <v>40182</v>
      </c>
      <c r="N451" s="78">
        <f t="shared" si="134"/>
        <v>7</v>
      </c>
      <c r="O451" s="11">
        <v>0.11549864838172108</v>
      </c>
      <c r="P451" s="94">
        <f t="shared" ref="P451:P514" si="142">HOUR(O451)</f>
        <v>2</v>
      </c>
      <c r="Q451" s="94">
        <f t="shared" ref="Q451:Q514" si="143">MINUTE(O451)</f>
        <v>46</v>
      </c>
      <c r="R451" s="94">
        <f t="shared" ref="R451:R514" si="144">SECOND(O451)</f>
        <v>19</v>
      </c>
      <c r="S451" s="94" t="str">
        <f>VLOOKUP(O451,'Lookup Values'!$I$2:$L$8,4,TRUE)</f>
        <v>Dead of Night</v>
      </c>
      <c r="T451" t="s">
        <v>83</v>
      </c>
      <c r="U451" t="s">
        <v>103</v>
      </c>
      <c r="V451" t="str">
        <f t="shared" ref="V451:V514" si="145">T451 &amp; ": " &amp; U451</f>
        <v>Shopping: Clothing</v>
      </c>
      <c r="W451" t="s">
        <v>102</v>
      </c>
      <c r="X451" t="s">
        <v>88</v>
      </c>
      <c r="Y451" s="1">
        <v>163</v>
      </c>
      <c r="Z451" s="1" t="str">
        <f t="shared" ref="Z451:Z514" si="146">T451 &amp; ": " &amp; TEXT(Y451,"$#,###.00")</f>
        <v>Shopping: $163.00</v>
      </c>
      <c r="AA451" s="1">
        <f>IF(Y451="","",ROUND(Y451*'Lookup Values'!$A$2,2))</f>
        <v>14.47</v>
      </c>
      <c r="AB451" s="12" t="str">
        <f t="shared" ref="AB451:AB514" si="147">IF(T451="Income","Income","Expense")</f>
        <v>Expense</v>
      </c>
      <c r="AC451" s="2" t="s">
        <v>566</v>
      </c>
      <c r="AD451" s="3">
        <f t="shared" ref="AD451:AD514" si="148">VALUE(SUBSTITUTE(AC451,".","/"))</f>
        <v>40175</v>
      </c>
      <c r="AE451" s="93" t="str">
        <f t="shared" ref="AE451:AE514" si="149">IF(OR(T451="Transportation",U451="Professional Development",U451="Electronics"),"YES","NO")</f>
        <v>NO</v>
      </c>
      <c r="AF451" s="2" t="str">
        <f t="shared" ref="AF451:AF514" si="150">IF(AND(AE451="YES",Y451&gt;=400),"YES","NO")</f>
        <v>NO</v>
      </c>
      <c r="AG451" t="str">
        <f t="shared" ref="AG451:AG514" si="151">IF(AND(AND(G451&gt;=2007,G451&lt;=2009),OR(W451&lt;&gt;"MTA",W451&lt;&gt;"Fandango"),OR(T451="Food",T451="Shopping",T451="Entertainment")),"Awesome Transaction",IF(AND(G451&lt;=2010,U451&lt;&gt;"Alcohol"),"Late Transaction",IF(G451=2006,"Early Transaction","CRAP Transaction")))</f>
        <v>Awesome Transaction</v>
      </c>
    </row>
    <row r="452" spans="1:33" x14ac:dyDescent="0.25">
      <c r="A452" s="2">
        <v>451</v>
      </c>
      <c r="B452" s="3" t="str">
        <f t="shared" si="133"/>
        <v>071007-EN-MOE</v>
      </c>
      <c r="C452" s="3">
        <v>39362</v>
      </c>
      <c r="D452" s="3">
        <f t="shared" si="135"/>
        <v>39374</v>
      </c>
      <c r="E452" s="3">
        <f t="shared" si="136"/>
        <v>39423</v>
      </c>
      <c r="F452" s="3">
        <f t="shared" si="137"/>
        <v>39386</v>
      </c>
      <c r="G452" s="76">
        <f t="shared" si="138"/>
        <v>2007</v>
      </c>
      <c r="H452" s="76">
        <f t="shared" si="139"/>
        <v>10</v>
      </c>
      <c r="I452" s="76" t="str">
        <f>VLOOKUP(H452,'Lookup Values'!$C$2:$D$13,2,FALSE)</f>
        <v>OCT</v>
      </c>
      <c r="J452" s="76">
        <f t="shared" si="140"/>
        <v>7</v>
      </c>
      <c r="K452" s="76">
        <f t="shared" si="141"/>
        <v>1</v>
      </c>
      <c r="L452" s="76" t="str">
        <f>VLOOKUP(K452,'Lookup Values'!$F$2:$G$8,2,FALSE)</f>
        <v>Sunday</v>
      </c>
      <c r="M452" s="3">
        <v>39364</v>
      </c>
      <c r="N452" s="78">
        <f t="shared" si="134"/>
        <v>2</v>
      </c>
      <c r="O452" s="11">
        <v>0.47929505564687302</v>
      </c>
      <c r="P452" s="94">
        <f t="shared" si="142"/>
        <v>11</v>
      </c>
      <c r="Q452" s="94">
        <f t="shared" si="143"/>
        <v>30</v>
      </c>
      <c r="R452" s="94">
        <f t="shared" si="144"/>
        <v>11</v>
      </c>
      <c r="S452" s="94" t="str">
        <f>VLOOKUP(O452,'Lookup Values'!$I$2:$L$8,4,TRUE)</f>
        <v>Late Morning</v>
      </c>
      <c r="T452" t="s">
        <v>76</v>
      </c>
      <c r="U452" t="s">
        <v>77</v>
      </c>
      <c r="V452" t="str">
        <f t="shared" si="145"/>
        <v>Entertainment: Alcohol</v>
      </c>
      <c r="W452" t="s">
        <v>75</v>
      </c>
      <c r="X452" t="s">
        <v>88</v>
      </c>
      <c r="Y452" s="1">
        <v>427</v>
      </c>
      <c r="Z452" s="1" t="str">
        <f t="shared" si="146"/>
        <v>Entertainment: $427.00</v>
      </c>
      <c r="AA452" s="1">
        <f>IF(Y452="","",ROUND(Y452*'Lookup Values'!$A$2,2))</f>
        <v>37.9</v>
      </c>
      <c r="AB452" s="12" t="str">
        <f t="shared" si="147"/>
        <v>Expense</v>
      </c>
      <c r="AC452" s="2" t="s">
        <v>567</v>
      </c>
      <c r="AD452" s="3">
        <f t="shared" si="148"/>
        <v>39362</v>
      </c>
      <c r="AE452" s="93" t="str">
        <f t="shared" si="149"/>
        <v>NO</v>
      </c>
      <c r="AF452" s="2" t="str">
        <f t="shared" si="150"/>
        <v>NO</v>
      </c>
      <c r="AG452" t="str">
        <f t="shared" si="151"/>
        <v>Awesome Transaction</v>
      </c>
    </row>
    <row r="453" spans="1:33" x14ac:dyDescent="0.25">
      <c r="A453" s="2">
        <v>452</v>
      </c>
      <c r="B453" s="3" t="str">
        <f t="shared" si="133"/>
        <v>090901-FO-CIT</v>
      </c>
      <c r="C453" s="3">
        <v>40057</v>
      </c>
      <c r="D453" s="3">
        <f t="shared" si="135"/>
        <v>40071</v>
      </c>
      <c r="E453" s="3">
        <f t="shared" si="136"/>
        <v>40118</v>
      </c>
      <c r="F453" s="3">
        <f t="shared" si="137"/>
        <v>40086</v>
      </c>
      <c r="G453" s="76">
        <f t="shared" si="138"/>
        <v>2009</v>
      </c>
      <c r="H453" s="76">
        <f t="shared" si="139"/>
        <v>9</v>
      </c>
      <c r="I453" s="76" t="str">
        <f>VLOOKUP(H453,'Lookup Values'!$C$2:$D$13,2,FALSE)</f>
        <v>SEP</v>
      </c>
      <c r="J453" s="76">
        <f t="shared" si="140"/>
        <v>1</v>
      </c>
      <c r="K453" s="76">
        <f t="shared" si="141"/>
        <v>3</v>
      </c>
      <c r="L453" s="76" t="str">
        <f>VLOOKUP(K453,'Lookup Values'!$F$2:$G$8,2,FALSE)</f>
        <v>Tuesday</v>
      </c>
      <c r="M453" s="3">
        <v>40059</v>
      </c>
      <c r="N453" s="78">
        <f t="shared" si="134"/>
        <v>2</v>
      </c>
      <c r="O453" s="11">
        <v>0.15308654125570353</v>
      </c>
      <c r="P453" s="94">
        <f t="shared" si="142"/>
        <v>3</v>
      </c>
      <c r="Q453" s="94">
        <f t="shared" si="143"/>
        <v>40</v>
      </c>
      <c r="R453" s="94">
        <f t="shared" si="144"/>
        <v>27</v>
      </c>
      <c r="S453" s="94" t="str">
        <f>VLOOKUP(O453,'Lookup Values'!$I$2:$L$8,4,TRUE)</f>
        <v>Dead of Night</v>
      </c>
      <c r="T453" t="s">
        <v>80</v>
      </c>
      <c r="U453" t="s">
        <v>105</v>
      </c>
      <c r="V453" t="str">
        <f t="shared" si="145"/>
        <v>Food: Coffee</v>
      </c>
      <c r="W453" t="s">
        <v>104</v>
      </c>
      <c r="X453" t="s">
        <v>91</v>
      </c>
      <c r="Y453" s="1">
        <v>123</v>
      </c>
      <c r="Z453" s="1" t="str">
        <f t="shared" si="146"/>
        <v>Food: $123.00</v>
      </c>
      <c r="AA453" s="1">
        <f>IF(Y453="","",ROUND(Y453*'Lookup Values'!$A$2,2))</f>
        <v>10.92</v>
      </c>
      <c r="AB453" s="12" t="str">
        <f t="shared" si="147"/>
        <v>Expense</v>
      </c>
      <c r="AC453" s="2" t="s">
        <v>568</v>
      </c>
      <c r="AD453" s="3">
        <f t="shared" si="148"/>
        <v>40057</v>
      </c>
      <c r="AE453" s="93" t="str">
        <f t="shared" si="149"/>
        <v>NO</v>
      </c>
      <c r="AF453" s="2" t="str">
        <f t="shared" si="150"/>
        <v>NO</v>
      </c>
      <c r="AG453" t="str">
        <f t="shared" si="151"/>
        <v>Awesome Transaction</v>
      </c>
    </row>
    <row r="454" spans="1:33" x14ac:dyDescent="0.25">
      <c r="A454" s="2">
        <v>453</v>
      </c>
      <c r="B454" s="3" t="str">
        <f t="shared" si="133"/>
        <v>070903-FO-TRA</v>
      </c>
      <c r="C454" s="3">
        <v>39328</v>
      </c>
      <c r="D454" s="3">
        <f t="shared" si="135"/>
        <v>39342</v>
      </c>
      <c r="E454" s="3">
        <f t="shared" si="136"/>
        <v>39389</v>
      </c>
      <c r="F454" s="3">
        <f t="shared" si="137"/>
        <v>39355</v>
      </c>
      <c r="G454" s="76">
        <f t="shared" si="138"/>
        <v>2007</v>
      </c>
      <c r="H454" s="76">
        <f t="shared" si="139"/>
        <v>9</v>
      </c>
      <c r="I454" s="76" t="str">
        <f>VLOOKUP(H454,'Lookup Values'!$C$2:$D$13,2,FALSE)</f>
        <v>SEP</v>
      </c>
      <c r="J454" s="76">
        <f t="shared" si="140"/>
        <v>3</v>
      </c>
      <c r="K454" s="76">
        <f t="shared" si="141"/>
        <v>2</v>
      </c>
      <c r="L454" s="76" t="str">
        <f>VLOOKUP(K454,'Lookup Values'!$F$2:$G$8,2,FALSE)</f>
        <v>Monday</v>
      </c>
      <c r="M454" s="3">
        <v>39335</v>
      </c>
      <c r="N454" s="78">
        <f t="shared" si="134"/>
        <v>7</v>
      </c>
      <c r="O454" s="11">
        <v>9.6300713309196095E-2</v>
      </c>
      <c r="P454" s="94">
        <f t="shared" si="142"/>
        <v>2</v>
      </c>
      <c r="Q454" s="94">
        <f t="shared" si="143"/>
        <v>18</v>
      </c>
      <c r="R454" s="94">
        <f t="shared" si="144"/>
        <v>40</v>
      </c>
      <c r="S454" s="94" t="str">
        <f>VLOOKUP(O454,'Lookup Values'!$I$2:$L$8,4,TRUE)</f>
        <v>Dead of Night</v>
      </c>
      <c r="T454" t="s">
        <v>80</v>
      </c>
      <c r="U454" t="s">
        <v>93</v>
      </c>
      <c r="V454" t="str">
        <f t="shared" si="145"/>
        <v>Food: Groceries</v>
      </c>
      <c r="W454" t="s">
        <v>92</v>
      </c>
      <c r="X454" t="s">
        <v>88</v>
      </c>
      <c r="Y454" s="1">
        <v>170</v>
      </c>
      <c r="Z454" s="1" t="str">
        <f t="shared" si="146"/>
        <v>Food: $170.00</v>
      </c>
      <c r="AA454" s="1">
        <f>IF(Y454="","",ROUND(Y454*'Lookup Values'!$A$2,2))</f>
        <v>15.09</v>
      </c>
      <c r="AB454" s="12" t="str">
        <f t="shared" si="147"/>
        <v>Expense</v>
      </c>
      <c r="AC454" s="2" t="s">
        <v>569</v>
      </c>
      <c r="AD454" s="3">
        <f t="shared" si="148"/>
        <v>39328</v>
      </c>
      <c r="AE454" s="93" t="str">
        <f t="shared" si="149"/>
        <v>NO</v>
      </c>
      <c r="AF454" s="2" t="str">
        <f t="shared" si="150"/>
        <v>NO</v>
      </c>
      <c r="AG454" t="str">
        <f t="shared" si="151"/>
        <v>Awesome Transaction</v>
      </c>
    </row>
    <row r="455" spans="1:33" x14ac:dyDescent="0.25">
      <c r="A455" s="2">
        <v>454</v>
      </c>
      <c r="B455" s="3" t="str">
        <f t="shared" si="133"/>
        <v>091009-IN-EZE</v>
      </c>
      <c r="C455" s="3">
        <v>40095</v>
      </c>
      <c r="D455" s="3">
        <f t="shared" si="135"/>
        <v>40109</v>
      </c>
      <c r="E455" s="3">
        <f t="shared" si="136"/>
        <v>40156</v>
      </c>
      <c r="F455" s="3">
        <f t="shared" si="137"/>
        <v>40117</v>
      </c>
      <c r="G455" s="76">
        <f t="shared" si="138"/>
        <v>2009</v>
      </c>
      <c r="H455" s="76">
        <f t="shared" si="139"/>
        <v>10</v>
      </c>
      <c r="I455" s="76" t="str">
        <f>VLOOKUP(H455,'Lookup Values'!$C$2:$D$13,2,FALSE)</f>
        <v>OCT</v>
      </c>
      <c r="J455" s="76">
        <f t="shared" si="140"/>
        <v>9</v>
      </c>
      <c r="K455" s="76">
        <f t="shared" si="141"/>
        <v>6</v>
      </c>
      <c r="L455" s="76" t="str">
        <f>VLOOKUP(K455,'Lookup Values'!$F$2:$G$8,2,FALSE)</f>
        <v>Friday</v>
      </c>
      <c r="M455" s="3">
        <v>40102</v>
      </c>
      <c r="N455" s="78">
        <f t="shared" si="134"/>
        <v>7</v>
      </c>
      <c r="O455" s="11">
        <v>0.19349814371627871</v>
      </c>
      <c r="P455" s="94">
        <f t="shared" si="142"/>
        <v>4</v>
      </c>
      <c r="Q455" s="94">
        <f t="shared" si="143"/>
        <v>38</v>
      </c>
      <c r="R455" s="94">
        <f t="shared" si="144"/>
        <v>38</v>
      </c>
      <c r="S455" s="94" t="str">
        <f>VLOOKUP(O455,'Lookup Values'!$I$2:$L$8,4,TRUE)</f>
        <v>Early Morning</v>
      </c>
      <c r="T455" t="s">
        <v>158</v>
      </c>
      <c r="U455" t="s">
        <v>159</v>
      </c>
      <c r="V455" t="str">
        <f t="shared" si="145"/>
        <v>Income: Salary</v>
      </c>
      <c r="W455" t="s">
        <v>162</v>
      </c>
      <c r="X455" t="s">
        <v>88</v>
      </c>
      <c r="Y455" s="1">
        <v>115</v>
      </c>
      <c r="Z455" s="1" t="str">
        <f t="shared" si="146"/>
        <v>Income: $115.00</v>
      </c>
      <c r="AA455" s="1">
        <f>IF(Y455="","",ROUND(Y455*'Lookup Values'!$A$2,2))</f>
        <v>10.210000000000001</v>
      </c>
      <c r="AB455" s="12" t="str">
        <f t="shared" si="147"/>
        <v>Income</v>
      </c>
      <c r="AC455" s="2" t="s">
        <v>570</v>
      </c>
      <c r="AD455" s="3">
        <f t="shared" si="148"/>
        <v>40095</v>
      </c>
      <c r="AE455" s="93" t="str">
        <f t="shared" si="149"/>
        <v>NO</v>
      </c>
      <c r="AF455" s="2" t="str">
        <f t="shared" si="150"/>
        <v>NO</v>
      </c>
      <c r="AG455" t="str">
        <f t="shared" si="151"/>
        <v>Late Transaction</v>
      </c>
    </row>
    <row r="456" spans="1:33" x14ac:dyDescent="0.25">
      <c r="A456" s="2">
        <v>455</v>
      </c>
      <c r="B456" s="3" t="str">
        <f t="shared" si="133"/>
        <v>091118-HE-FRE</v>
      </c>
      <c r="C456" s="3">
        <v>40135</v>
      </c>
      <c r="D456" s="3">
        <f t="shared" si="135"/>
        <v>40149</v>
      </c>
      <c r="E456" s="3">
        <f t="shared" si="136"/>
        <v>40196</v>
      </c>
      <c r="F456" s="3">
        <f t="shared" si="137"/>
        <v>40147</v>
      </c>
      <c r="G456" s="76">
        <f t="shared" si="138"/>
        <v>2009</v>
      </c>
      <c r="H456" s="76">
        <f t="shared" si="139"/>
        <v>11</v>
      </c>
      <c r="I456" s="76" t="str">
        <f>VLOOKUP(H456,'Lookup Values'!$C$2:$D$13,2,FALSE)</f>
        <v>NOV</v>
      </c>
      <c r="J456" s="76">
        <f t="shared" si="140"/>
        <v>18</v>
      </c>
      <c r="K456" s="76">
        <f t="shared" si="141"/>
        <v>4</v>
      </c>
      <c r="L456" s="76" t="str">
        <f>VLOOKUP(K456,'Lookup Values'!$F$2:$G$8,2,FALSE)</f>
        <v>Wednesday</v>
      </c>
      <c r="M456" s="3">
        <v>40138</v>
      </c>
      <c r="N456" s="78">
        <f t="shared" si="134"/>
        <v>3</v>
      </c>
      <c r="O456" s="11">
        <v>0.52457148299682443</v>
      </c>
      <c r="P456" s="94">
        <f t="shared" si="142"/>
        <v>12</v>
      </c>
      <c r="Q456" s="94">
        <f t="shared" si="143"/>
        <v>35</v>
      </c>
      <c r="R456" s="94">
        <f t="shared" si="144"/>
        <v>23</v>
      </c>
      <c r="S456" s="94" t="str">
        <f>VLOOKUP(O456,'Lookup Values'!$I$2:$L$8,4,TRUE)</f>
        <v>Afternoon</v>
      </c>
      <c r="T456" t="s">
        <v>107</v>
      </c>
      <c r="U456" t="s">
        <v>108</v>
      </c>
      <c r="V456" t="str">
        <f t="shared" si="145"/>
        <v>Health: Insurance Premium</v>
      </c>
      <c r="W456" t="s">
        <v>106</v>
      </c>
      <c r="X456" t="s">
        <v>88</v>
      </c>
      <c r="Y456" s="1">
        <v>61</v>
      </c>
      <c r="Z456" s="1" t="str">
        <f t="shared" si="146"/>
        <v>Health: $61.00</v>
      </c>
      <c r="AA456" s="1">
        <f>IF(Y456="","",ROUND(Y456*'Lookup Values'!$A$2,2))</f>
        <v>5.41</v>
      </c>
      <c r="AB456" s="12" t="str">
        <f t="shared" si="147"/>
        <v>Expense</v>
      </c>
      <c r="AC456" s="2" t="s">
        <v>571</v>
      </c>
      <c r="AD456" s="3">
        <f t="shared" si="148"/>
        <v>40135</v>
      </c>
      <c r="AE456" s="93" t="str">
        <f t="shared" si="149"/>
        <v>NO</v>
      </c>
      <c r="AF456" s="2" t="str">
        <f t="shared" si="150"/>
        <v>NO</v>
      </c>
      <c r="AG456" t="str">
        <f t="shared" si="151"/>
        <v>Late Transaction</v>
      </c>
    </row>
    <row r="457" spans="1:33" x14ac:dyDescent="0.25">
      <c r="A457" s="2">
        <v>456</v>
      </c>
      <c r="B457" s="3" t="str">
        <f t="shared" si="133"/>
        <v>120709-FO-BAN</v>
      </c>
      <c r="C457" s="3">
        <v>41099</v>
      </c>
      <c r="D457" s="3">
        <f t="shared" si="135"/>
        <v>41113</v>
      </c>
      <c r="E457" s="3">
        <f t="shared" si="136"/>
        <v>41161</v>
      </c>
      <c r="F457" s="3">
        <f t="shared" si="137"/>
        <v>41121</v>
      </c>
      <c r="G457" s="76">
        <f t="shared" si="138"/>
        <v>2012</v>
      </c>
      <c r="H457" s="76">
        <f t="shared" si="139"/>
        <v>7</v>
      </c>
      <c r="I457" s="76" t="str">
        <f>VLOOKUP(H457,'Lookup Values'!$C$2:$D$13,2,FALSE)</f>
        <v>JUL</v>
      </c>
      <c r="J457" s="76">
        <f t="shared" si="140"/>
        <v>9</v>
      </c>
      <c r="K457" s="76">
        <f t="shared" si="141"/>
        <v>2</v>
      </c>
      <c r="L457" s="76" t="str">
        <f>VLOOKUP(K457,'Lookup Values'!$F$2:$G$8,2,FALSE)</f>
        <v>Monday</v>
      </c>
      <c r="M457" s="3">
        <v>41108</v>
      </c>
      <c r="N457" s="78">
        <f t="shared" si="134"/>
        <v>9</v>
      </c>
      <c r="O457" s="11">
        <v>0.65129418077346635</v>
      </c>
      <c r="P457" s="94">
        <f t="shared" si="142"/>
        <v>15</v>
      </c>
      <c r="Q457" s="94">
        <f t="shared" si="143"/>
        <v>37</v>
      </c>
      <c r="R457" s="94">
        <f t="shared" si="144"/>
        <v>52</v>
      </c>
      <c r="S457" s="94" t="str">
        <f>VLOOKUP(O457,'Lookup Values'!$I$2:$L$8,4,TRUE)</f>
        <v>Afternoon</v>
      </c>
      <c r="T457" t="s">
        <v>80</v>
      </c>
      <c r="U457" t="s">
        <v>81</v>
      </c>
      <c r="V457" t="str">
        <f t="shared" si="145"/>
        <v>Food: Restaurants</v>
      </c>
      <c r="W457" t="s">
        <v>79</v>
      </c>
      <c r="X457" t="s">
        <v>91</v>
      </c>
      <c r="Y457" s="1">
        <v>76</v>
      </c>
      <c r="Z457" s="1" t="str">
        <f t="shared" si="146"/>
        <v>Food: $76.00</v>
      </c>
      <c r="AA457" s="1">
        <f>IF(Y457="","",ROUND(Y457*'Lookup Values'!$A$2,2))</f>
        <v>6.75</v>
      </c>
      <c r="AB457" s="12" t="str">
        <f t="shared" si="147"/>
        <v>Expense</v>
      </c>
      <c r="AC457" s="2" t="s">
        <v>572</v>
      </c>
      <c r="AD457" s="3">
        <f t="shared" si="148"/>
        <v>41099</v>
      </c>
      <c r="AE457" s="93" t="str">
        <f t="shared" si="149"/>
        <v>NO</v>
      </c>
      <c r="AF457" s="2" t="str">
        <f t="shared" si="150"/>
        <v>NO</v>
      </c>
      <c r="AG457" t="str">
        <f t="shared" si="151"/>
        <v>CRAP Transaction</v>
      </c>
    </row>
    <row r="458" spans="1:33" x14ac:dyDescent="0.25">
      <c r="A458" s="2">
        <v>457</v>
      </c>
      <c r="B458" s="3" t="str">
        <f t="shared" si="133"/>
        <v>081114-FO-TRA</v>
      </c>
      <c r="C458" s="3">
        <v>39766</v>
      </c>
      <c r="D458" s="3">
        <f t="shared" si="135"/>
        <v>39780</v>
      </c>
      <c r="E458" s="3">
        <f t="shared" si="136"/>
        <v>39827</v>
      </c>
      <c r="F458" s="3">
        <f t="shared" si="137"/>
        <v>39782</v>
      </c>
      <c r="G458" s="76">
        <f t="shared" si="138"/>
        <v>2008</v>
      </c>
      <c r="H458" s="76">
        <f t="shared" si="139"/>
        <v>11</v>
      </c>
      <c r="I458" s="76" t="str">
        <f>VLOOKUP(H458,'Lookup Values'!$C$2:$D$13,2,FALSE)</f>
        <v>NOV</v>
      </c>
      <c r="J458" s="76">
        <f t="shared" si="140"/>
        <v>14</v>
      </c>
      <c r="K458" s="76">
        <f t="shared" si="141"/>
        <v>6</v>
      </c>
      <c r="L458" s="76" t="str">
        <f>VLOOKUP(K458,'Lookup Values'!$F$2:$G$8,2,FALSE)</f>
        <v>Friday</v>
      </c>
      <c r="M458" s="3">
        <v>39771</v>
      </c>
      <c r="N458" s="78">
        <f t="shared" si="134"/>
        <v>5</v>
      </c>
      <c r="O458" s="11">
        <v>0.57563848049579958</v>
      </c>
      <c r="P458" s="94">
        <f t="shared" si="142"/>
        <v>13</v>
      </c>
      <c r="Q458" s="94">
        <f t="shared" si="143"/>
        <v>48</v>
      </c>
      <c r="R458" s="94">
        <f t="shared" si="144"/>
        <v>55</v>
      </c>
      <c r="S458" s="94" t="str">
        <f>VLOOKUP(O458,'Lookup Values'!$I$2:$L$8,4,TRUE)</f>
        <v>Afternoon</v>
      </c>
      <c r="T458" t="s">
        <v>80</v>
      </c>
      <c r="U458" t="s">
        <v>93</v>
      </c>
      <c r="V458" t="str">
        <f t="shared" si="145"/>
        <v>Food: Groceries</v>
      </c>
      <c r="W458" t="s">
        <v>92</v>
      </c>
      <c r="X458" t="s">
        <v>88</v>
      </c>
      <c r="Y458" s="1">
        <v>471</v>
      </c>
      <c r="Z458" s="1" t="str">
        <f t="shared" si="146"/>
        <v>Food: $471.00</v>
      </c>
      <c r="AA458" s="1">
        <f>IF(Y458="","",ROUND(Y458*'Lookup Values'!$A$2,2))</f>
        <v>41.8</v>
      </c>
      <c r="AB458" s="12" t="str">
        <f t="shared" si="147"/>
        <v>Expense</v>
      </c>
      <c r="AC458" s="2" t="s">
        <v>573</v>
      </c>
      <c r="AD458" s="3">
        <f t="shared" si="148"/>
        <v>39766</v>
      </c>
      <c r="AE458" s="93" t="str">
        <f t="shared" si="149"/>
        <v>NO</v>
      </c>
      <c r="AF458" s="2" t="str">
        <f t="shared" si="150"/>
        <v>NO</v>
      </c>
      <c r="AG458" t="str">
        <f t="shared" si="151"/>
        <v>Awesome Transaction</v>
      </c>
    </row>
    <row r="459" spans="1:33" x14ac:dyDescent="0.25">
      <c r="A459" s="2">
        <v>458</v>
      </c>
      <c r="B459" s="3" t="str">
        <f t="shared" si="133"/>
        <v>090403-FO-CIT</v>
      </c>
      <c r="C459" s="3">
        <v>39906</v>
      </c>
      <c r="D459" s="3">
        <f t="shared" si="135"/>
        <v>39920</v>
      </c>
      <c r="E459" s="3">
        <f t="shared" si="136"/>
        <v>39967</v>
      </c>
      <c r="F459" s="3">
        <f t="shared" si="137"/>
        <v>39933</v>
      </c>
      <c r="G459" s="76">
        <f t="shared" si="138"/>
        <v>2009</v>
      </c>
      <c r="H459" s="76">
        <f t="shared" si="139"/>
        <v>4</v>
      </c>
      <c r="I459" s="76" t="str">
        <f>VLOOKUP(H459,'Lookup Values'!$C$2:$D$13,2,FALSE)</f>
        <v>APR</v>
      </c>
      <c r="J459" s="76">
        <f t="shared" si="140"/>
        <v>3</v>
      </c>
      <c r="K459" s="76">
        <f t="shared" si="141"/>
        <v>6</v>
      </c>
      <c r="L459" s="76" t="str">
        <f>VLOOKUP(K459,'Lookup Values'!$F$2:$G$8,2,FALSE)</f>
        <v>Friday</v>
      </c>
      <c r="M459" s="3">
        <v>39913</v>
      </c>
      <c r="N459" s="78">
        <f t="shared" si="134"/>
        <v>7</v>
      </c>
      <c r="O459" s="11">
        <v>0.96671735375214007</v>
      </c>
      <c r="P459" s="94">
        <f t="shared" si="142"/>
        <v>23</v>
      </c>
      <c r="Q459" s="94">
        <f t="shared" si="143"/>
        <v>12</v>
      </c>
      <c r="R459" s="94">
        <f t="shared" si="144"/>
        <v>4</v>
      </c>
      <c r="S459" s="94" t="str">
        <f>VLOOKUP(O459,'Lookup Values'!$I$2:$L$8,4,TRUE)</f>
        <v>Late Evening</v>
      </c>
      <c r="T459" t="s">
        <v>80</v>
      </c>
      <c r="U459" t="s">
        <v>105</v>
      </c>
      <c r="V459" t="str">
        <f t="shared" si="145"/>
        <v>Food: Coffee</v>
      </c>
      <c r="W459" t="s">
        <v>104</v>
      </c>
      <c r="X459" t="s">
        <v>88</v>
      </c>
      <c r="Y459" s="1">
        <v>297</v>
      </c>
      <c r="Z459" s="1" t="str">
        <f t="shared" si="146"/>
        <v>Food: $297.00</v>
      </c>
      <c r="AA459" s="1">
        <f>IF(Y459="","",ROUND(Y459*'Lookup Values'!$A$2,2))</f>
        <v>26.36</v>
      </c>
      <c r="AB459" s="12" t="str">
        <f t="shared" si="147"/>
        <v>Expense</v>
      </c>
      <c r="AC459" s="2" t="s">
        <v>574</v>
      </c>
      <c r="AD459" s="3">
        <f t="shared" si="148"/>
        <v>39906</v>
      </c>
      <c r="AE459" s="93" t="str">
        <f t="shared" si="149"/>
        <v>NO</v>
      </c>
      <c r="AF459" s="2" t="str">
        <f t="shared" si="150"/>
        <v>NO</v>
      </c>
      <c r="AG459" t="str">
        <f t="shared" si="151"/>
        <v>Awesome Transaction</v>
      </c>
    </row>
    <row r="460" spans="1:33" x14ac:dyDescent="0.25">
      <c r="A460" s="2">
        <v>459</v>
      </c>
      <c r="B460" s="3" t="str">
        <f t="shared" si="133"/>
        <v>110207-EN-MOE</v>
      </c>
      <c r="C460" s="3">
        <v>40581</v>
      </c>
      <c r="D460" s="3">
        <f t="shared" si="135"/>
        <v>40595</v>
      </c>
      <c r="E460" s="3">
        <f t="shared" si="136"/>
        <v>40640</v>
      </c>
      <c r="F460" s="3">
        <f t="shared" si="137"/>
        <v>40602</v>
      </c>
      <c r="G460" s="76">
        <f t="shared" si="138"/>
        <v>2011</v>
      </c>
      <c r="H460" s="76">
        <f t="shared" si="139"/>
        <v>2</v>
      </c>
      <c r="I460" s="76" t="str">
        <f>VLOOKUP(H460,'Lookup Values'!$C$2:$D$13,2,FALSE)</f>
        <v>FEB</v>
      </c>
      <c r="J460" s="76">
        <f t="shared" si="140"/>
        <v>7</v>
      </c>
      <c r="K460" s="76">
        <f t="shared" si="141"/>
        <v>2</v>
      </c>
      <c r="L460" s="76" t="str">
        <f>VLOOKUP(K460,'Lookup Values'!$F$2:$G$8,2,FALSE)</f>
        <v>Monday</v>
      </c>
      <c r="M460" s="3">
        <v>40584</v>
      </c>
      <c r="N460" s="78">
        <f t="shared" si="134"/>
        <v>3</v>
      </c>
      <c r="O460" s="11">
        <v>0.78429888598275588</v>
      </c>
      <c r="P460" s="94">
        <f t="shared" si="142"/>
        <v>18</v>
      </c>
      <c r="Q460" s="94">
        <f t="shared" si="143"/>
        <v>49</v>
      </c>
      <c r="R460" s="94">
        <f t="shared" si="144"/>
        <v>23</v>
      </c>
      <c r="S460" s="94" t="str">
        <f>VLOOKUP(O460,'Lookup Values'!$I$2:$L$8,4,TRUE)</f>
        <v>Evening</v>
      </c>
      <c r="T460" t="s">
        <v>76</v>
      </c>
      <c r="U460" t="s">
        <v>77</v>
      </c>
      <c r="V460" t="str">
        <f t="shared" si="145"/>
        <v>Entertainment: Alcohol</v>
      </c>
      <c r="W460" t="s">
        <v>75</v>
      </c>
      <c r="X460" t="s">
        <v>78</v>
      </c>
      <c r="Y460" s="1">
        <v>137</v>
      </c>
      <c r="Z460" s="1" t="str">
        <f t="shared" si="146"/>
        <v>Entertainment: $137.00</v>
      </c>
      <c r="AA460" s="1">
        <f>IF(Y460="","",ROUND(Y460*'Lookup Values'!$A$2,2))</f>
        <v>12.16</v>
      </c>
      <c r="AB460" s="12" t="str">
        <f t="shared" si="147"/>
        <v>Expense</v>
      </c>
      <c r="AC460" s="2" t="s">
        <v>170</v>
      </c>
      <c r="AD460" s="3">
        <f t="shared" si="148"/>
        <v>40581</v>
      </c>
      <c r="AE460" s="93" t="str">
        <f t="shared" si="149"/>
        <v>NO</v>
      </c>
      <c r="AF460" s="2" t="str">
        <f t="shared" si="150"/>
        <v>NO</v>
      </c>
      <c r="AG460" t="str">
        <f t="shared" si="151"/>
        <v>CRAP Transaction</v>
      </c>
    </row>
    <row r="461" spans="1:33" x14ac:dyDescent="0.25">
      <c r="A461" s="2">
        <v>460</v>
      </c>
      <c r="B461" s="3" t="str">
        <f t="shared" si="133"/>
        <v>080214-IN-AUN</v>
      </c>
      <c r="C461" s="3">
        <v>39492</v>
      </c>
      <c r="D461" s="3">
        <f t="shared" si="135"/>
        <v>39506</v>
      </c>
      <c r="E461" s="3">
        <f t="shared" si="136"/>
        <v>39552</v>
      </c>
      <c r="F461" s="3">
        <f t="shared" si="137"/>
        <v>39507</v>
      </c>
      <c r="G461" s="76">
        <f t="shared" si="138"/>
        <v>2008</v>
      </c>
      <c r="H461" s="76">
        <f t="shared" si="139"/>
        <v>2</v>
      </c>
      <c r="I461" s="76" t="str">
        <f>VLOOKUP(H461,'Lookup Values'!$C$2:$D$13,2,FALSE)</f>
        <v>FEB</v>
      </c>
      <c r="J461" s="76">
        <f t="shared" si="140"/>
        <v>14</v>
      </c>
      <c r="K461" s="76">
        <f t="shared" si="141"/>
        <v>5</v>
      </c>
      <c r="L461" s="76" t="str">
        <f>VLOOKUP(K461,'Lookup Values'!$F$2:$G$8,2,FALSE)</f>
        <v>Thursday</v>
      </c>
      <c r="M461" s="3">
        <v>39494</v>
      </c>
      <c r="N461" s="78">
        <f t="shared" si="134"/>
        <v>2</v>
      </c>
      <c r="O461" s="11">
        <v>0.56492766209091183</v>
      </c>
      <c r="P461" s="94">
        <f t="shared" si="142"/>
        <v>13</v>
      </c>
      <c r="Q461" s="94">
        <f t="shared" si="143"/>
        <v>33</v>
      </c>
      <c r="R461" s="94">
        <f t="shared" si="144"/>
        <v>30</v>
      </c>
      <c r="S461" s="94" t="str">
        <f>VLOOKUP(O461,'Lookup Values'!$I$2:$L$8,4,TRUE)</f>
        <v>Afternoon</v>
      </c>
      <c r="T461" t="s">
        <v>158</v>
      </c>
      <c r="U461" t="s">
        <v>161</v>
      </c>
      <c r="V461" t="str">
        <f t="shared" si="145"/>
        <v>Income: Gift Received</v>
      </c>
      <c r="W461" t="s">
        <v>164</v>
      </c>
      <c r="X461" t="s">
        <v>78</v>
      </c>
      <c r="Y461" s="1">
        <v>277</v>
      </c>
      <c r="Z461" s="1" t="str">
        <f t="shared" si="146"/>
        <v>Income: $277.00</v>
      </c>
      <c r="AA461" s="1">
        <f>IF(Y461="","",ROUND(Y461*'Lookup Values'!$A$2,2))</f>
        <v>24.58</v>
      </c>
      <c r="AB461" s="12" t="str">
        <f t="shared" si="147"/>
        <v>Income</v>
      </c>
      <c r="AC461" s="2" t="s">
        <v>575</v>
      </c>
      <c r="AD461" s="3">
        <f t="shared" si="148"/>
        <v>39492</v>
      </c>
      <c r="AE461" s="93" t="str">
        <f t="shared" si="149"/>
        <v>NO</v>
      </c>
      <c r="AF461" s="2" t="str">
        <f t="shared" si="150"/>
        <v>NO</v>
      </c>
      <c r="AG461" t="str">
        <f t="shared" si="151"/>
        <v>Late Transaction</v>
      </c>
    </row>
    <row r="462" spans="1:33" x14ac:dyDescent="0.25">
      <c r="A462" s="2">
        <v>461</v>
      </c>
      <c r="B462" s="3" t="str">
        <f t="shared" si="133"/>
        <v>080311-IN-AUN</v>
      </c>
      <c r="C462" s="3">
        <v>39518</v>
      </c>
      <c r="D462" s="3">
        <f t="shared" si="135"/>
        <v>39532</v>
      </c>
      <c r="E462" s="3">
        <f t="shared" si="136"/>
        <v>39579</v>
      </c>
      <c r="F462" s="3">
        <f t="shared" si="137"/>
        <v>39538</v>
      </c>
      <c r="G462" s="76">
        <f t="shared" si="138"/>
        <v>2008</v>
      </c>
      <c r="H462" s="76">
        <f t="shared" si="139"/>
        <v>3</v>
      </c>
      <c r="I462" s="76" t="str">
        <f>VLOOKUP(H462,'Lookup Values'!$C$2:$D$13,2,FALSE)</f>
        <v>MAR</v>
      </c>
      <c r="J462" s="76">
        <f t="shared" si="140"/>
        <v>11</v>
      </c>
      <c r="K462" s="76">
        <f t="shared" si="141"/>
        <v>3</v>
      </c>
      <c r="L462" s="76" t="str">
        <f>VLOOKUP(K462,'Lookup Values'!$F$2:$G$8,2,FALSE)</f>
        <v>Tuesday</v>
      </c>
      <c r="M462" s="3">
        <v>39519</v>
      </c>
      <c r="N462" s="78">
        <f t="shared" si="134"/>
        <v>1</v>
      </c>
      <c r="O462" s="11">
        <v>0.84760192193201989</v>
      </c>
      <c r="P462" s="94">
        <f t="shared" si="142"/>
        <v>20</v>
      </c>
      <c r="Q462" s="94">
        <f t="shared" si="143"/>
        <v>20</v>
      </c>
      <c r="R462" s="94">
        <f t="shared" si="144"/>
        <v>33</v>
      </c>
      <c r="S462" s="94" t="str">
        <f>VLOOKUP(O462,'Lookup Values'!$I$2:$L$8,4,TRUE)</f>
        <v>Evening</v>
      </c>
      <c r="T462" t="s">
        <v>158</v>
      </c>
      <c r="U462" t="s">
        <v>161</v>
      </c>
      <c r="V462" t="str">
        <f t="shared" si="145"/>
        <v>Income: Gift Received</v>
      </c>
      <c r="W462" t="s">
        <v>164</v>
      </c>
      <c r="X462" t="s">
        <v>88</v>
      </c>
      <c r="Y462" s="1">
        <v>347</v>
      </c>
      <c r="Z462" s="1" t="str">
        <f t="shared" si="146"/>
        <v>Income: $347.00</v>
      </c>
      <c r="AA462" s="1">
        <f>IF(Y462="","",ROUND(Y462*'Lookup Values'!$A$2,2))</f>
        <v>30.8</v>
      </c>
      <c r="AB462" s="12" t="str">
        <f t="shared" si="147"/>
        <v>Income</v>
      </c>
      <c r="AC462" s="2" t="s">
        <v>576</v>
      </c>
      <c r="AD462" s="3">
        <f t="shared" si="148"/>
        <v>39518</v>
      </c>
      <c r="AE462" s="93" t="str">
        <f t="shared" si="149"/>
        <v>NO</v>
      </c>
      <c r="AF462" s="2" t="str">
        <f t="shared" si="150"/>
        <v>NO</v>
      </c>
      <c r="AG462" t="str">
        <f t="shared" si="151"/>
        <v>Late Transaction</v>
      </c>
    </row>
    <row r="463" spans="1:33" x14ac:dyDescent="0.25">
      <c r="A463" s="2">
        <v>462</v>
      </c>
      <c r="B463" s="3" t="str">
        <f t="shared" si="133"/>
        <v>090408-EN-MOE</v>
      </c>
      <c r="C463" s="3">
        <v>39911</v>
      </c>
      <c r="D463" s="3">
        <f t="shared" si="135"/>
        <v>39925</v>
      </c>
      <c r="E463" s="3">
        <f t="shared" si="136"/>
        <v>39972</v>
      </c>
      <c r="F463" s="3">
        <f t="shared" si="137"/>
        <v>39933</v>
      </c>
      <c r="G463" s="76">
        <f t="shared" si="138"/>
        <v>2009</v>
      </c>
      <c r="H463" s="76">
        <f t="shared" si="139"/>
        <v>4</v>
      </c>
      <c r="I463" s="76" t="str">
        <f>VLOOKUP(H463,'Lookup Values'!$C$2:$D$13,2,FALSE)</f>
        <v>APR</v>
      </c>
      <c r="J463" s="76">
        <f t="shared" si="140"/>
        <v>8</v>
      </c>
      <c r="K463" s="76">
        <f t="shared" si="141"/>
        <v>4</v>
      </c>
      <c r="L463" s="76" t="str">
        <f>VLOOKUP(K463,'Lookup Values'!$F$2:$G$8,2,FALSE)</f>
        <v>Wednesday</v>
      </c>
      <c r="M463" s="3">
        <v>39917</v>
      </c>
      <c r="N463" s="78">
        <f t="shared" si="134"/>
        <v>6</v>
      </c>
      <c r="O463" s="11">
        <v>0.51446470017476964</v>
      </c>
      <c r="P463" s="94">
        <f t="shared" si="142"/>
        <v>12</v>
      </c>
      <c r="Q463" s="94">
        <f t="shared" si="143"/>
        <v>20</v>
      </c>
      <c r="R463" s="94">
        <f t="shared" si="144"/>
        <v>50</v>
      </c>
      <c r="S463" s="94" t="str">
        <f>VLOOKUP(O463,'Lookup Values'!$I$2:$L$8,4,TRUE)</f>
        <v>Afternoon</v>
      </c>
      <c r="T463" t="s">
        <v>76</v>
      </c>
      <c r="U463" t="s">
        <v>77</v>
      </c>
      <c r="V463" t="str">
        <f t="shared" si="145"/>
        <v>Entertainment: Alcohol</v>
      </c>
      <c r="W463" t="s">
        <v>75</v>
      </c>
      <c r="X463" t="s">
        <v>78</v>
      </c>
      <c r="Y463" s="1">
        <v>465</v>
      </c>
      <c r="Z463" s="1" t="str">
        <f t="shared" si="146"/>
        <v>Entertainment: $465.00</v>
      </c>
      <c r="AA463" s="1">
        <f>IF(Y463="","",ROUND(Y463*'Lookup Values'!$A$2,2))</f>
        <v>41.27</v>
      </c>
      <c r="AB463" s="12" t="str">
        <f t="shared" si="147"/>
        <v>Expense</v>
      </c>
      <c r="AC463" s="2" t="s">
        <v>577</v>
      </c>
      <c r="AD463" s="3">
        <f t="shared" si="148"/>
        <v>39911</v>
      </c>
      <c r="AE463" s="93" t="str">
        <f t="shared" si="149"/>
        <v>NO</v>
      </c>
      <c r="AF463" s="2" t="str">
        <f t="shared" si="150"/>
        <v>NO</v>
      </c>
      <c r="AG463" t="str">
        <f t="shared" si="151"/>
        <v>Awesome Transaction</v>
      </c>
    </row>
    <row r="464" spans="1:33" x14ac:dyDescent="0.25">
      <c r="A464" s="2">
        <v>463</v>
      </c>
      <c r="B464" s="3" t="str">
        <f t="shared" si="133"/>
        <v>101001-HE-FRE</v>
      </c>
      <c r="C464" s="3">
        <v>40452</v>
      </c>
      <c r="D464" s="3">
        <f t="shared" si="135"/>
        <v>40466</v>
      </c>
      <c r="E464" s="3">
        <f t="shared" si="136"/>
        <v>40513</v>
      </c>
      <c r="F464" s="3">
        <f t="shared" si="137"/>
        <v>40482</v>
      </c>
      <c r="G464" s="76">
        <f t="shared" si="138"/>
        <v>2010</v>
      </c>
      <c r="H464" s="76">
        <f t="shared" si="139"/>
        <v>10</v>
      </c>
      <c r="I464" s="76" t="str">
        <f>VLOOKUP(H464,'Lookup Values'!$C$2:$D$13,2,FALSE)</f>
        <v>OCT</v>
      </c>
      <c r="J464" s="76">
        <f t="shared" si="140"/>
        <v>1</v>
      </c>
      <c r="K464" s="76">
        <f t="shared" si="141"/>
        <v>6</v>
      </c>
      <c r="L464" s="76" t="str">
        <f>VLOOKUP(K464,'Lookup Values'!$F$2:$G$8,2,FALSE)</f>
        <v>Friday</v>
      </c>
      <c r="M464" s="3">
        <v>40454</v>
      </c>
      <c r="N464" s="78">
        <f t="shared" si="134"/>
        <v>2</v>
      </c>
      <c r="O464" s="11">
        <v>0.71559696646198778</v>
      </c>
      <c r="P464" s="94">
        <f t="shared" si="142"/>
        <v>17</v>
      </c>
      <c r="Q464" s="94">
        <f t="shared" si="143"/>
        <v>10</v>
      </c>
      <c r="R464" s="94">
        <f t="shared" si="144"/>
        <v>28</v>
      </c>
      <c r="S464" s="94" t="str">
        <f>VLOOKUP(O464,'Lookup Values'!$I$2:$L$8,4,TRUE)</f>
        <v>Evening</v>
      </c>
      <c r="T464" t="s">
        <v>107</v>
      </c>
      <c r="U464" t="s">
        <v>108</v>
      </c>
      <c r="V464" t="str">
        <f t="shared" si="145"/>
        <v>Health: Insurance Premium</v>
      </c>
      <c r="W464" t="s">
        <v>106</v>
      </c>
      <c r="X464" t="s">
        <v>88</v>
      </c>
      <c r="Y464" s="1">
        <v>463</v>
      </c>
      <c r="Z464" s="1" t="str">
        <f t="shared" si="146"/>
        <v>Health: $463.00</v>
      </c>
      <c r="AA464" s="1">
        <f>IF(Y464="","",ROUND(Y464*'Lookup Values'!$A$2,2))</f>
        <v>41.09</v>
      </c>
      <c r="AB464" s="12" t="str">
        <f t="shared" si="147"/>
        <v>Expense</v>
      </c>
      <c r="AC464" s="2" t="s">
        <v>578</v>
      </c>
      <c r="AD464" s="3">
        <f t="shared" si="148"/>
        <v>40452</v>
      </c>
      <c r="AE464" s="93" t="str">
        <f t="shared" si="149"/>
        <v>NO</v>
      </c>
      <c r="AF464" s="2" t="str">
        <f t="shared" si="150"/>
        <v>NO</v>
      </c>
      <c r="AG464" t="str">
        <f t="shared" si="151"/>
        <v>Late Transaction</v>
      </c>
    </row>
    <row r="465" spans="1:33" x14ac:dyDescent="0.25">
      <c r="A465" s="2">
        <v>464</v>
      </c>
      <c r="B465" s="3" t="str">
        <f t="shared" si="133"/>
        <v>120602-SH-AMA</v>
      </c>
      <c r="C465" s="3">
        <v>41062</v>
      </c>
      <c r="D465" s="3">
        <f t="shared" si="135"/>
        <v>41075</v>
      </c>
      <c r="E465" s="3">
        <f t="shared" si="136"/>
        <v>41123</v>
      </c>
      <c r="F465" s="3">
        <f t="shared" si="137"/>
        <v>41090</v>
      </c>
      <c r="G465" s="76">
        <f t="shared" si="138"/>
        <v>2012</v>
      </c>
      <c r="H465" s="76">
        <f t="shared" si="139"/>
        <v>6</v>
      </c>
      <c r="I465" s="76" t="str">
        <f>VLOOKUP(H465,'Lookup Values'!$C$2:$D$13,2,FALSE)</f>
        <v>JUN</v>
      </c>
      <c r="J465" s="76">
        <f t="shared" si="140"/>
        <v>2</v>
      </c>
      <c r="K465" s="76">
        <f t="shared" si="141"/>
        <v>7</v>
      </c>
      <c r="L465" s="76" t="str">
        <f>VLOOKUP(K465,'Lookup Values'!$F$2:$G$8,2,FALSE)</f>
        <v>Saturday</v>
      </c>
      <c r="M465" s="3">
        <v>41065</v>
      </c>
      <c r="N465" s="78">
        <f t="shared" si="134"/>
        <v>3</v>
      </c>
      <c r="O465" s="11">
        <v>0.3708319668137624</v>
      </c>
      <c r="P465" s="94">
        <f t="shared" si="142"/>
        <v>8</v>
      </c>
      <c r="Q465" s="94">
        <f t="shared" si="143"/>
        <v>54</v>
      </c>
      <c r="R465" s="94">
        <f t="shared" si="144"/>
        <v>0</v>
      </c>
      <c r="S465" s="94" t="str">
        <f>VLOOKUP(O465,'Lookup Values'!$I$2:$L$8,4,TRUE)</f>
        <v>Morning</v>
      </c>
      <c r="T465" t="s">
        <v>83</v>
      </c>
      <c r="U465" t="s">
        <v>84</v>
      </c>
      <c r="V465" t="str">
        <f t="shared" si="145"/>
        <v>Shopping: Electronics</v>
      </c>
      <c r="W465" t="s">
        <v>82</v>
      </c>
      <c r="X465" t="s">
        <v>88</v>
      </c>
      <c r="Y465" s="1">
        <v>430</v>
      </c>
      <c r="Z465" s="1" t="str">
        <f t="shared" si="146"/>
        <v>Shopping: $430.00</v>
      </c>
      <c r="AA465" s="1">
        <f>IF(Y465="","",ROUND(Y465*'Lookup Values'!$A$2,2))</f>
        <v>38.159999999999997</v>
      </c>
      <c r="AB465" s="12" t="str">
        <f t="shared" si="147"/>
        <v>Expense</v>
      </c>
      <c r="AC465" s="2" t="s">
        <v>579</v>
      </c>
      <c r="AD465" s="3">
        <f t="shared" si="148"/>
        <v>41062</v>
      </c>
      <c r="AE465" s="93" t="str">
        <f t="shared" si="149"/>
        <v>YES</v>
      </c>
      <c r="AF465" s="2" t="str">
        <f t="shared" si="150"/>
        <v>YES</v>
      </c>
      <c r="AG465" t="str">
        <f t="shared" si="151"/>
        <v>CRAP Transaction</v>
      </c>
    </row>
    <row r="466" spans="1:33" x14ac:dyDescent="0.25">
      <c r="A466" s="2">
        <v>465</v>
      </c>
      <c r="B466" s="3" t="str">
        <f t="shared" si="133"/>
        <v>070706-HE-FRE</v>
      </c>
      <c r="C466" s="3">
        <v>39269</v>
      </c>
      <c r="D466" s="3">
        <f t="shared" si="135"/>
        <v>39283</v>
      </c>
      <c r="E466" s="3">
        <f t="shared" si="136"/>
        <v>39331</v>
      </c>
      <c r="F466" s="3">
        <f t="shared" si="137"/>
        <v>39294</v>
      </c>
      <c r="G466" s="76">
        <f t="shared" si="138"/>
        <v>2007</v>
      </c>
      <c r="H466" s="76">
        <f t="shared" si="139"/>
        <v>7</v>
      </c>
      <c r="I466" s="76" t="str">
        <f>VLOOKUP(H466,'Lookup Values'!$C$2:$D$13,2,FALSE)</f>
        <v>JUL</v>
      </c>
      <c r="J466" s="76">
        <f t="shared" si="140"/>
        <v>6</v>
      </c>
      <c r="K466" s="76">
        <f t="shared" si="141"/>
        <v>6</v>
      </c>
      <c r="L466" s="76" t="str">
        <f>VLOOKUP(K466,'Lookup Values'!$F$2:$G$8,2,FALSE)</f>
        <v>Friday</v>
      </c>
      <c r="M466" s="3">
        <v>39270</v>
      </c>
      <c r="N466" s="78">
        <f t="shared" si="134"/>
        <v>1</v>
      </c>
      <c r="O466" s="11">
        <v>4.1266969494355377E-2</v>
      </c>
      <c r="P466" s="94">
        <f t="shared" si="142"/>
        <v>0</v>
      </c>
      <c r="Q466" s="94">
        <f t="shared" si="143"/>
        <v>59</v>
      </c>
      <c r="R466" s="94">
        <f t="shared" si="144"/>
        <v>25</v>
      </c>
      <c r="S466" s="94" t="str">
        <f>VLOOKUP(O466,'Lookup Values'!$I$2:$L$8,4,TRUE)</f>
        <v>Dead of Night</v>
      </c>
      <c r="T466" t="s">
        <v>107</v>
      </c>
      <c r="U466" t="s">
        <v>108</v>
      </c>
      <c r="V466" t="str">
        <f t="shared" si="145"/>
        <v>Health: Insurance Premium</v>
      </c>
      <c r="W466" t="s">
        <v>106</v>
      </c>
      <c r="X466" t="s">
        <v>88</v>
      </c>
      <c r="Y466" s="1">
        <v>278</v>
      </c>
      <c r="Z466" s="1" t="str">
        <f t="shared" si="146"/>
        <v>Health: $278.00</v>
      </c>
      <c r="AA466" s="1">
        <f>IF(Y466="","",ROUND(Y466*'Lookup Values'!$A$2,2))</f>
        <v>24.67</v>
      </c>
      <c r="AB466" s="12" t="str">
        <f t="shared" si="147"/>
        <v>Expense</v>
      </c>
      <c r="AC466" s="2" t="s">
        <v>383</v>
      </c>
      <c r="AD466" s="3">
        <f t="shared" si="148"/>
        <v>39269</v>
      </c>
      <c r="AE466" s="93" t="str">
        <f t="shared" si="149"/>
        <v>NO</v>
      </c>
      <c r="AF466" s="2" t="str">
        <f t="shared" si="150"/>
        <v>NO</v>
      </c>
      <c r="AG466" t="str">
        <f t="shared" si="151"/>
        <v>Late Transaction</v>
      </c>
    </row>
    <row r="467" spans="1:33" x14ac:dyDescent="0.25">
      <c r="A467" s="2">
        <v>466</v>
      </c>
      <c r="B467" s="3" t="str">
        <f t="shared" si="133"/>
        <v>070725-SH-EXP</v>
      </c>
      <c r="C467" s="3">
        <v>39288</v>
      </c>
      <c r="D467" s="3">
        <f t="shared" si="135"/>
        <v>39302</v>
      </c>
      <c r="E467" s="3">
        <f t="shared" si="136"/>
        <v>39350</v>
      </c>
      <c r="F467" s="3">
        <f t="shared" si="137"/>
        <v>39294</v>
      </c>
      <c r="G467" s="76">
        <f t="shared" si="138"/>
        <v>2007</v>
      </c>
      <c r="H467" s="76">
        <f t="shared" si="139"/>
        <v>7</v>
      </c>
      <c r="I467" s="76" t="str">
        <f>VLOOKUP(H467,'Lookup Values'!$C$2:$D$13,2,FALSE)</f>
        <v>JUL</v>
      </c>
      <c r="J467" s="76">
        <f t="shared" si="140"/>
        <v>25</v>
      </c>
      <c r="K467" s="76">
        <f t="shared" si="141"/>
        <v>4</v>
      </c>
      <c r="L467" s="76" t="str">
        <f>VLOOKUP(K467,'Lookup Values'!$F$2:$G$8,2,FALSE)</f>
        <v>Wednesday</v>
      </c>
      <c r="M467" s="3">
        <v>39297</v>
      </c>
      <c r="N467" s="78">
        <f t="shared" si="134"/>
        <v>9</v>
      </c>
      <c r="O467" s="11">
        <v>0.83927256618172219</v>
      </c>
      <c r="P467" s="94">
        <f t="shared" si="142"/>
        <v>20</v>
      </c>
      <c r="Q467" s="94">
        <f t="shared" si="143"/>
        <v>8</v>
      </c>
      <c r="R467" s="94">
        <f t="shared" si="144"/>
        <v>33</v>
      </c>
      <c r="S467" s="94" t="str">
        <f>VLOOKUP(O467,'Lookup Values'!$I$2:$L$8,4,TRUE)</f>
        <v>Evening</v>
      </c>
      <c r="T467" t="s">
        <v>83</v>
      </c>
      <c r="U467" t="s">
        <v>103</v>
      </c>
      <c r="V467" t="str">
        <f t="shared" si="145"/>
        <v>Shopping: Clothing</v>
      </c>
      <c r="W467" t="s">
        <v>102</v>
      </c>
      <c r="X467" t="s">
        <v>88</v>
      </c>
      <c r="Y467" s="1">
        <v>46</v>
      </c>
      <c r="Z467" s="1" t="str">
        <f t="shared" si="146"/>
        <v>Shopping: $46.00</v>
      </c>
      <c r="AA467" s="1">
        <f>IF(Y467="","",ROUND(Y467*'Lookup Values'!$A$2,2))</f>
        <v>4.08</v>
      </c>
      <c r="AB467" s="12" t="str">
        <f t="shared" si="147"/>
        <v>Expense</v>
      </c>
      <c r="AC467" s="2" t="s">
        <v>580</v>
      </c>
      <c r="AD467" s="3">
        <f t="shared" si="148"/>
        <v>39288</v>
      </c>
      <c r="AE467" s="93" t="str">
        <f t="shared" si="149"/>
        <v>NO</v>
      </c>
      <c r="AF467" s="2" t="str">
        <f t="shared" si="150"/>
        <v>NO</v>
      </c>
      <c r="AG467" t="str">
        <f t="shared" si="151"/>
        <v>Awesome Transaction</v>
      </c>
    </row>
    <row r="468" spans="1:33" x14ac:dyDescent="0.25">
      <c r="A468" s="2">
        <v>467</v>
      </c>
      <c r="B468" s="3" t="str">
        <f t="shared" si="133"/>
        <v>120209-HO-BED</v>
      </c>
      <c r="C468" s="3">
        <v>40948</v>
      </c>
      <c r="D468" s="3">
        <f t="shared" si="135"/>
        <v>40962</v>
      </c>
      <c r="E468" s="3">
        <f t="shared" si="136"/>
        <v>41008</v>
      </c>
      <c r="F468" s="3">
        <f t="shared" si="137"/>
        <v>40968</v>
      </c>
      <c r="G468" s="76">
        <f t="shared" si="138"/>
        <v>2012</v>
      </c>
      <c r="H468" s="76">
        <f t="shared" si="139"/>
        <v>2</v>
      </c>
      <c r="I468" s="76" t="str">
        <f>VLOOKUP(H468,'Lookup Values'!$C$2:$D$13,2,FALSE)</f>
        <v>FEB</v>
      </c>
      <c r="J468" s="76">
        <f t="shared" si="140"/>
        <v>9</v>
      </c>
      <c r="K468" s="76">
        <f t="shared" si="141"/>
        <v>5</v>
      </c>
      <c r="L468" s="76" t="str">
        <f>VLOOKUP(K468,'Lookup Values'!$F$2:$G$8,2,FALSE)</f>
        <v>Thursday</v>
      </c>
      <c r="M468" s="3">
        <v>40952</v>
      </c>
      <c r="N468" s="78">
        <f t="shared" si="134"/>
        <v>4</v>
      </c>
      <c r="O468" s="11">
        <v>0.87960999404098761</v>
      </c>
      <c r="P468" s="94">
        <f t="shared" si="142"/>
        <v>21</v>
      </c>
      <c r="Q468" s="94">
        <f t="shared" si="143"/>
        <v>6</v>
      </c>
      <c r="R468" s="94">
        <f t="shared" si="144"/>
        <v>38</v>
      </c>
      <c r="S468" s="94" t="str">
        <f>VLOOKUP(O468,'Lookup Values'!$I$2:$L$8,4,TRUE)</f>
        <v>Late Evening</v>
      </c>
      <c r="T468" t="s">
        <v>100</v>
      </c>
      <c r="U468" t="s">
        <v>101</v>
      </c>
      <c r="V468" t="str">
        <f t="shared" si="145"/>
        <v>Home: Cleaning Supplies</v>
      </c>
      <c r="W468" t="s">
        <v>99</v>
      </c>
      <c r="X468" t="s">
        <v>78</v>
      </c>
      <c r="Y468" s="1">
        <v>163</v>
      </c>
      <c r="Z468" s="1" t="str">
        <f t="shared" si="146"/>
        <v>Home: $163.00</v>
      </c>
      <c r="AA468" s="1">
        <f>IF(Y468="","",ROUND(Y468*'Lookup Values'!$A$2,2))</f>
        <v>14.47</v>
      </c>
      <c r="AB468" s="12" t="str">
        <f t="shared" si="147"/>
        <v>Expense</v>
      </c>
      <c r="AC468" s="2" t="s">
        <v>581</v>
      </c>
      <c r="AD468" s="3">
        <f t="shared" si="148"/>
        <v>40948</v>
      </c>
      <c r="AE468" s="93" t="str">
        <f t="shared" si="149"/>
        <v>NO</v>
      </c>
      <c r="AF468" s="2" t="str">
        <f t="shared" si="150"/>
        <v>NO</v>
      </c>
      <c r="AG468" t="str">
        <f t="shared" si="151"/>
        <v>CRAP Transaction</v>
      </c>
    </row>
    <row r="469" spans="1:33" x14ac:dyDescent="0.25">
      <c r="A469" s="2">
        <v>468</v>
      </c>
      <c r="B469" s="3" t="str">
        <f t="shared" si="133"/>
        <v>090725-IN-AUN</v>
      </c>
      <c r="C469" s="3">
        <v>40019</v>
      </c>
      <c r="D469" s="3">
        <f t="shared" si="135"/>
        <v>40032</v>
      </c>
      <c r="E469" s="3">
        <f t="shared" si="136"/>
        <v>40081</v>
      </c>
      <c r="F469" s="3">
        <f t="shared" si="137"/>
        <v>40025</v>
      </c>
      <c r="G469" s="76">
        <f t="shared" si="138"/>
        <v>2009</v>
      </c>
      <c r="H469" s="76">
        <f t="shared" si="139"/>
        <v>7</v>
      </c>
      <c r="I469" s="76" t="str">
        <f>VLOOKUP(H469,'Lookup Values'!$C$2:$D$13,2,FALSE)</f>
        <v>JUL</v>
      </c>
      <c r="J469" s="76">
        <f t="shared" si="140"/>
        <v>25</v>
      </c>
      <c r="K469" s="76">
        <f t="shared" si="141"/>
        <v>7</v>
      </c>
      <c r="L469" s="76" t="str">
        <f>VLOOKUP(K469,'Lookup Values'!$F$2:$G$8,2,FALSE)</f>
        <v>Saturday</v>
      </c>
      <c r="M469" s="3">
        <v>40024</v>
      </c>
      <c r="N469" s="78">
        <f t="shared" si="134"/>
        <v>5</v>
      </c>
      <c r="O469" s="11">
        <v>0.43414528327720447</v>
      </c>
      <c r="P469" s="94">
        <f t="shared" si="142"/>
        <v>10</v>
      </c>
      <c r="Q469" s="94">
        <f t="shared" si="143"/>
        <v>25</v>
      </c>
      <c r="R469" s="94">
        <f t="shared" si="144"/>
        <v>10</v>
      </c>
      <c r="S469" s="94" t="str">
        <f>VLOOKUP(O469,'Lookup Values'!$I$2:$L$8,4,TRUE)</f>
        <v>Late Morning</v>
      </c>
      <c r="T469" t="s">
        <v>158</v>
      </c>
      <c r="U469" t="s">
        <v>161</v>
      </c>
      <c r="V469" t="str">
        <f t="shared" si="145"/>
        <v>Income: Gift Received</v>
      </c>
      <c r="W469" t="s">
        <v>164</v>
      </c>
      <c r="X469" t="s">
        <v>88</v>
      </c>
      <c r="Y469" s="1">
        <v>241</v>
      </c>
      <c r="Z469" s="1" t="str">
        <f t="shared" si="146"/>
        <v>Income: $241.00</v>
      </c>
      <c r="AA469" s="1">
        <f>IF(Y469="","",ROUND(Y469*'Lookup Values'!$A$2,2))</f>
        <v>21.39</v>
      </c>
      <c r="AB469" s="12" t="str">
        <f t="shared" si="147"/>
        <v>Income</v>
      </c>
      <c r="AC469" s="2" t="s">
        <v>582</v>
      </c>
      <c r="AD469" s="3">
        <f t="shared" si="148"/>
        <v>40019</v>
      </c>
      <c r="AE469" s="93" t="str">
        <f t="shared" si="149"/>
        <v>NO</v>
      </c>
      <c r="AF469" s="2" t="str">
        <f t="shared" si="150"/>
        <v>NO</v>
      </c>
      <c r="AG469" t="str">
        <f t="shared" si="151"/>
        <v>Late Transaction</v>
      </c>
    </row>
    <row r="470" spans="1:33" x14ac:dyDescent="0.25">
      <c r="A470" s="2">
        <v>469</v>
      </c>
      <c r="B470" s="3" t="str">
        <f t="shared" si="133"/>
        <v>110707-FO-CIT</v>
      </c>
      <c r="C470" s="3">
        <v>40731</v>
      </c>
      <c r="D470" s="3">
        <f t="shared" si="135"/>
        <v>40745</v>
      </c>
      <c r="E470" s="3">
        <f t="shared" si="136"/>
        <v>40793</v>
      </c>
      <c r="F470" s="3">
        <f t="shared" si="137"/>
        <v>40755</v>
      </c>
      <c r="G470" s="76">
        <f t="shared" si="138"/>
        <v>2011</v>
      </c>
      <c r="H470" s="76">
        <f t="shared" si="139"/>
        <v>7</v>
      </c>
      <c r="I470" s="76" t="str">
        <f>VLOOKUP(H470,'Lookup Values'!$C$2:$D$13,2,FALSE)</f>
        <v>JUL</v>
      </c>
      <c r="J470" s="76">
        <f t="shared" si="140"/>
        <v>7</v>
      </c>
      <c r="K470" s="76">
        <f t="shared" si="141"/>
        <v>5</v>
      </c>
      <c r="L470" s="76" t="str">
        <f>VLOOKUP(K470,'Lookup Values'!$F$2:$G$8,2,FALSE)</f>
        <v>Thursday</v>
      </c>
      <c r="M470" s="3">
        <v>40740</v>
      </c>
      <c r="N470" s="78">
        <f t="shared" si="134"/>
        <v>9</v>
      </c>
      <c r="O470" s="11">
        <v>0.18691460152726014</v>
      </c>
      <c r="P470" s="94">
        <f t="shared" si="142"/>
        <v>4</v>
      </c>
      <c r="Q470" s="94">
        <f t="shared" si="143"/>
        <v>29</v>
      </c>
      <c r="R470" s="94">
        <f t="shared" si="144"/>
        <v>9</v>
      </c>
      <c r="S470" s="94" t="str">
        <f>VLOOKUP(O470,'Lookup Values'!$I$2:$L$8,4,TRUE)</f>
        <v>Early Morning</v>
      </c>
      <c r="T470" t="s">
        <v>80</v>
      </c>
      <c r="U470" t="s">
        <v>105</v>
      </c>
      <c r="V470" t="str">
        <f t="shared" si="145"/>
        <v>Food: Coffee</v>
      </c>
      <c r="W470" t="s">
        <v>104</v>
      </c>
      <c r="X470" t="s">
        <v>78</v>
      </c>
      <c r="Y470" s="1">
        <v>130</v>
      </c>
      <c r="Z470" s="1" t="str">
        <f t="shared" si="146"/>
        <v>Food: $130.00</v>
      </c>
      <c r="AA470" s="1">
        <f>IF(Y470="","",ROUND(Y470*'Lookup Values'!$A$2,2))</f>
        <v>11.54</v>
      </c>
      <c r="AB470" s="12" t="str">
        <f t="shared" si="147"/>
        <v>Expense</v>
      </c>
      <c r="AC470" s="2" t="s">
        <v>583</v>
      </c>
      <c r="AD470" s="3">
        <f t="shared" si="148"/>
        <v>40731</v>
      </c>
      <c r="AE470" s="93" t="str">
        <f t="shared" si="149"/>
        <v>NO</v>
      </c>
      <c r="AF470" s="2" t="str">
        <f t="shared" si="150"/>
        <v>NO</v>
      </c>
      <c r="AG470" t="str">
        <f t="shared" si="151"/>
        <v>CRAP Transaction</v>
      </c>
    </row>
    <row r="471" spans="1:33" x14ac:dyDescent="0.25">
      <c r="A471" s="2">
        <v>470</v>
      </c>
      <c r="B471" s="3" t="str">
        <f t="shared" si="133"/>
        <v>101207-TR-MTA</v>
      </c>
      <c r="C471" s="3">
        <v>40519</v>
      </c>
      <c r="D471" s="3">
        <f t="shared" si="135"/>
        <v>40533</v>
      </c>
      <c r="E471" s="3">
        <f t="shared" si="136"/>
        <v>40581</v>
      </c>
      <c r="F471" s="3">
        <f t="shared" si="137"/>
        <v>40543</v>
      </c>
      <c r="G471" s="76">
        <f t="shared" si="138"/>
        <v>2010</v>
      </c>
      <c r="H471" s="76">
        <f t="shared" si="139"/>
        <v>12</v>
      </c>
      <c r="I471" s="76" t="str">
        <f>VLOOKUP(H471,'Lookup Values'!$C$2:$D$13,2,FALSE)</f>
        <v>DEC</v>
      </c>
      <c r="J471" s="76">
        <f t="shared" si="140"/>
        <v>7</v>
      </c>
      <c r="K471" s="76">
        <f t="shared" si="141"/>
        <v>3</v>
      </c>
      <c r="L471" s="76" t="str">
        <f>VLOOKUP(K471,'Lookup Values'!$F$2:$G$8,2,FALSE)</f>
        <v>Tuesday</v>
      </c>
      <c r="M471" s="3">
        <v>40526</v>
      </c>
      <c r="N471" s="78">
        <f t="shared" si="134"/>
        <v>7</v>
      </c>
      <c r="O471" s="11">
        <v>0.80444415368836364</v>
      </c>
      <c r="P471" s="94">
        <f t="shared" si="142"/>
        <v>19</v>
      </c>
      <c r="Q471" s="94">
        <f t="shared" si="143"/>
        <v>18</v>
      </c>
      <c r="R471" s="94">
        <f t="shared" si="144"/>
        <v>24</v>
      </c>
      <c r="S471" s="94" t="str">
        <f>VLOOKUP(O471,'Lookup Values'!$I$2:$L$8,4,TRUE)</f>
        <v>Evening</v>
      </c>
      <c r="T471" t="s">
        <v>95</v>
      </c>
      <c r="U471" t="s">
        <v>96</v>
      </c>
      <c r="V471" t="str">
        <f t="shared" si="145"/>
        <v>Transportation: Subway</v>
      </c>
      <c r="W471" t="s">
        <v>94</v>
      </c>
      <c r="X471" t="s">
        <v>78</v>
      </c>
      <c r="Y471" s="1">
        <v>468</v>
      </c>
      <c r="Z471" s="1" t="str">
        <f t="shared" si="146"/>
        <v>Transportation: $468.00</v>
      </c>
      <c r="AA471" s="1">
        <f>IF(Y471="","",ROUND(Y471*'Lookup Values'!$A$2,2))</f>
        <v>41.54</v>
      </c>
      <c r="AB471" s="12" t="str">
        <f t="shared" si="147"/>
        <v>Expense</v>
      </c>
      <c r="AC471" s="2" t="s">
        <v>584</v>
      </c>
      <c r="AD471" s="3">
        <f t="shared" si="148"/>
        <v>40519</v>
      </c>
      <c r="AE471" s="93" t="str">
        <f t="shared" si="149"/>
        <v>YES</v>
      </c>
      <c r="AF471" s="2" t="str">
        <f t="shared" si="150"/>
        <v>YES</v>
      </c>
      <c r="AG471" t="str">
        <f t="shared" si="151"/>
        <v>Late Transaction</v>
      </c>
    </row>
    <row r="472" spans="1:33" x14ac:dyDescent="0.25">
      <c r="A472" s="2">
        <v>471</v>
      </c>
      <c r="B472" s="3" t="str">
        <f t="shared" si="133"/>
        <v>110114-IN-LEG</v>
      </c>
      <c r="C472" s="3">
        <v>40557</v>
      </c>
      <c r="D472" s="3">
        <f t="shared" si="135"/>
        <v>40571</v>
      </c>
      <c r="E472" s="3">
        <f t="shared" si="136"/>
        <v>40616</v>
      </c>
      <c r="F472" s="3">
        <f t="shared" si="137"/>
        <v>40574</v>
      </c>
      <c r="G472" s="76">
        <f t="shared" si="138"/>
        <v>2011</v>
      </c>
      <c r="H472" s="76">
        <f t="shared" si="139"/>
        <v>1</v>
      </c>
      <c r="I472" s="76" t="str">
        <f>VLOOKUP(H472,'Lookup Values'!$C$2:$D$13,2,FALSE)</f>
        <v>JAN</v>
      </c>
      <c r="J472" s="76">
        <f t="shared" si="140"/>
        <v>14</v>
      </c>
      <c r="K472" s="76">
        <f t="shared" si="141"/>
        <v>6</v>
      </c>
      <c r="L472" s="76" t="str">
        <f>VLOOKUP(K472,'Lookup Values'!$F$2:$G$8,2,FALSE)</f>
        <v>Friday</v>
      </c>
      <c r="M472" s="3">
        <v>40563</v>
      </c>
      <c r="N472" s="78">
        <f t="shared" si="134"/>
        <v>6</v>
      </c>
      <c r="O472" s="11">
        <v>0.29449495905113188</v>
      </c>
      <c r="P472" s="94">
        <f t="shared" si="142"/>
        <v>7</v>
      </c>
      <c r="Q472" s="94">
        <f t="shared" si="143"/>
        <v>4</v>
      </c>
      <c r="R472" s="94">
        <f t="shared" si="144"/>
        <v>4</v>
      </c>
      <c r="S472" s="94" t="str">
        <f>VLOOKUP(O472,'Lookup Values'!$I$2:$L$8,4,TRUE)</f>
        <v>Morning</v>
      </c>
      <c r="T472" t="s">
        <v>158</v>
      </c>
      <c r="U472" t="s">
        <v>160</v>
      </c>
      <c r="V472" t="str">
        <f t="shared" si="145"/>
        <v>Income: Freelance Project</v>
      </c>
      <c r="W472" t="s">
        <v>163</v>
      </c>
      <c r="X472" t="s">
        <v>78</v>
      </c>
      <c r="Y472" s="1">
        <v>41</v>
      </c>
      <c r="Z472" s="1" t="str">
        <f t="shared" si="146"/>
        <v>Income: $41.00</v>
      </c>
      <c r="AA472" s="1">
        <f>IF(Y472="","",ROUND(Y472*'Lookup Values'!$A$2,2))</f>
        <v>3.64</v>
      </c>
      <c r="AB472" s="12" t="str">
        <f t="shared" si="147"/>
        <v>Income</v>
      </c>
      <c r="AC472" s="2" t="s">
        <v>585</v>
      </c>
      <c r="AD472" s="3">
        <f t="shared" si="148"/>
        <v>40557</v>
      </c>
      <c r="AE472" s="93" t="str">
        <f t="shared" si="149"/>
        <v>NO</v>
      </c>
      <c r="AF472" s="2" t="str">
        <f t="shared" si="150"/>
        <v>NO</v>
      </c>
      <c r="AG472" t="str">
        <f t="shared" si="151"/>
        <v>CRAP Transaction</v>
      </c>
    </row>
    <row r="473" spans="1:33" x14ac:dyDescent="0.25">
      <c r="A473" s="2">
        <v>472</v>
      </c>
      <c r="B473" s="3" t="str">
        <f t="shared" si="133"/>
        <v>101217-IN-AUN</v>
      </c>
      <c r="C473" s="3">
        <v>40529</v>
      </c>
      <c r="D473" s="3">
        <f t="shared" si="135"/>
        <v>40543</v>
      </c>
      <c r="E473" s="3">
        <f t="shared" si="136"/>
        <v>40591</v>
      </c>
      <c r="F473" s="3">
        <f t="shared" si="137"/>
        <v>40543</v>
      </c>
      <c r="G473" s="76">
        <f t="shared" si="138"/>
        <v>2010</v>
      </c>
      <c r="H473" s="76">
        <f t="shared" si="139"/>
        <v>12</v>
      </c>
      <c r="I473" s="76" t="str">
        <f>VLOOKUP(H473,'Lookup Values'!$C$2:$D$13,2,FALSE)</f>
        <v>DEC</v>
      </c>
      <c r="J473" s="76">
        <f t="shared" si="140"/>
        <v>17</v>
      </c>
      <c r="K473" s="76">
        <f t="shared" si="141"/>
        <v>6</v>
      </c>
      <c r="L473" s="76" t="str">
        <f>VLOOKUP(K473,'Lookup Values'!$F$2:$G$8,2,FALSE)</f>
        <v>Friday</v>
      </c>
      <c r="M473" s="3">
        <v>40536</v>
      </c>
      <c r="N473" s="78">
        <f t="shared" si="134"/>
        <v>7</v>
      </c>
      <c r="O473" s="11">
        <v>0.19480352672749257</v>
      </c>
      <c r="P473" s="94">
        <f t="shared" si="142"/>
        <v>4</v>
      </c>
      <c r="Q473" s="94">
        <f t="shared" si="143"/>
        <v>40</v>
      </c>
      <c r="R473" s="94">
        <f t="shared" si="144"/>
        <v>31</v>
      </c>
      <c r="S473" s="94" t="str">
        <f>VLOOKUP(O473,'Lookup Values'!$I$2:$L$8,4,TRUE)</f>
        <v>Early Morning</v>
      </c>
      <c r="T473" t="s">
        <v>158</v>
      </c>
      <c r="U473" t="s">
        <v>161</v>
      </c>
      <c r="V473" t="str">
        <f t="shared" si="145"/>
        <v>Income: Gift Received</v>
      </c>
      <c r="W473" t="s">
        <v>164</v>
      </c>
      <c r="X473" t="s">
        <v>91</v>
      </c>
      <c r="Y473" s="1">
        <v>62</v>
      </c>
      <c r="Z473" s="1" t="str">
        <f t="shared" si="146"/>
        <v>Income: $62.00</v>
      </c>
      <c r="AA473" s="1">
        <f>IF(Y473="","",ROUND(Y473*'Lookup Values'!$A$2,2))</f>
        <v>5.5</v>
      </c>
      <c r="AB473" s="12" t="str">
        <f t="shared" si="147"/>
        <v>Income</v>
      </c>
      <c r="AC473" s="2" t="s">
        <v>586</v>
      </c>
      <c r="AD473" s="3">
        <f t="shared" si="148"/>
        <v>40529</v>
      </c>
      <c r="AE473" s="93" t="str">
        <f t="shared" si="149"/>
        <v>NO</v>
      </c>
      <c r="AF473" s="2" t="str">
        <f t="shared" si="150"/>
        <v>NO</v>
      </c>
      <c r="AG473" t="str">
        <f t="shared" si="151"/>
        <v>Late Transaction</v>
      </c>
    </row>
    <row r="474" spans="1:33" x14ac:dyDescent="0.25">
      <c r="A474" s="2">
        <v>473</v>
      </c>
      <c r="B474" s="3" t="str">
        <f t="shared" si="133"/>
        <v>110103-BI-CON</v>
      </c>
      <c r="C474" s="3">
        <v>40546</v>
      </c>
      <c r="D474" s="3">
        <f t="shared" si="135"/>
        <v>40560</v>
      </c>
      <c r="E474" s="3">
        <f t="shared" si="136"/>
        <v>40605</v>
      </c>
      <c r="F474" s="3">
        <f t="shared" si="137"/>
        <v>40574</v>
      </c>
      <c r="G474" s="76">
        <f t="shared" si="138"/>
        <v>2011</v>
      </c>
      <c r="H474" s="76">
        <f t="shared" si="139"/>
        <v>1</v>
      </c>
      <c r="I474" s="76" t="str">
        <f>VLOOKUP(H474,'Lookup Values'!$C$2:$D$13,2,FALSE)</f>
        <v>JAN</v>
      </c>
      <c r="J474" s="76">
        <f t="shared" si="140"/>
        <v>3</v>
      </c>
      <c r="K474" s="76">
        <f t="shared" si="141"/>
        <v>2</v>
      </c>
      <c r="L474" s="76" t="str">
        <f>VLOOKUP(K474,'Lookup Values'!$F$2:$G$8,2,FALSE)</f>
        <v>Monday</v>
      </c>
      <c r="M474" s="3">
        <v>40549</v>
      </c>
      <c r="N474" s="78">
        <f t="shared" si="134"/>
        <v>3</v>
      </c>
      <c r="O474" s="11">
        <v>0.5513046044868245</v>
      </c>
      <c r="P474" s="94">
        <f t="shared" si="142"/>
        <v>13</v>
      </c>
      <c r="Q474" s="94">
        <f t="shared" si="143"/>
        <v>13</v>
      </c>
      <c r="R474" s="94">
        <f t="shared" si="144"/>
        <v>53</v>
      </c>
      <c r="S474" s="94" t="str">
        <f>VLOOKUP(O474,'Lookup Values'!$I$2:$L$8,4,TRUE)</f>
        <v>Afternoon</v>
      </c>
      <c r="T474" t="s">
        <v>110</v>
      </c>
      <c r="U474" t="s">
        <v>111</v>
      </c>
      <c r="V474" t="str">
        <f t="shared" si="145"/>
        <v>Bills: Utilities</v>
      </c>
      <c r="W474" t="s">
        <v>109</v>
      </c>
      <c r="X474" t="s">
        <v>78</v>
      </c>
      <c r="Y474" s="1">
        <v>121</v>
      </c>
      <c r="Z474" s="1" t="str">
        <f t="shared" si="146"/>
        <v>Bills: $121.00</v>
      </c>
      <c r="AA474" s="1">
        <f>IF(Y474="","",ROUND(Y474*'Lookup Values'!$A$2,2))</f>
        <v>10.74</v>
      </c>
      <c r="AB474" s="12" t="str">
        <f t="shared" si="147"/>
        <v>Expense</v>
      </c>
      <c r="AC474" s="2" t="s">
        <v>587</v>
      </c>
      <c r="AD474" s="3">
        <f t="shared" si="148"/>
        <v>40546</v>
      </c>
      <c r="AE474" s="93" t="str">
        <f t="shared" si="149"/>
        <v>NO</v>
      </c>
      <c r="AF474" s="2" t="str">
        <f t="shared" si="150"/>
        <v>NO</v>
      </c>
      <c r="AG474" t="str">
        <f t="shared" si="151"/>
        <v>CRAP Transaction</v>
      </c>
    </row>
    <row r="475" spans="1:33" x14ac:dyDescent="0.25">
      <c r="A475" s="2">
        <v>474</v>
      </c>
      <c r="B475" s="3" t="str">
        <f t="shared" si="133"/>
        <v>070904-HO-BED</v>
      </c>
      <c r="C475" s="3">
        <v>39329</v>
      </c>
      <c r="D475" s="3">
        <f t="shared" si="135"/>
        <v>39343</v>
      </c>
      <c r="E475" s="3">
        <f t="shared" si="136"/>
        <v>39390</v>
      </c>
      <c r="F475" s="3">
        <f t="shared" si="137"/>
        <v>39355</v>
      </c>
      <c r="G475" s="76">
        <f t="shared" si="138"/>
        <v>2007</v>
      </c>
      <c r="H475" s="76">
        <f t="shared" si="139"/>
        <v>9</v>
      </c>
      <c r="I475" s="76" t="str">
        <f>VLOOKUP(H475,'Lookup Values'!$C$2:$D$13,2,FALSE)</f>
        <v>SEP</v>
      </c>
      <c r="J475" s="76">
        <f t="shared" si="140"/>
        <v>4</v>
      </c>
      <c r="K475" s="76">
        <f t="shared" si="141"/>
        <v>3</v>
      </c>
      <c r="L475" s="76" t="str">
        <f>VLOOKUP(K475,'Lookup Values'!$F$2:$G$8,2,FALSE)</f>
        <v>Tuesday</v>
      </c>
      <c r="M475" s="3">
        <v>39335</v>
      </c>
      <c r="N475" s="78">
        <f t="shared" si="134"/>
        <v>6</v>
      </c>
      <c r="O475" s="11">
        <v>0.72656722576910382</v>
      </c>
      <c r="P475" s="94">
        <f t="shared" si="142"/>
        <v>17</v>
      </c>
      <c r="Q475" s="94">
        <f t="shared" si="143"/>
        <v>26</v>
      </c>
      <c r="R475" s="94">
        <f t="shared" si="144"/>
        <v>15</v>
      </c>
      <c r="S475" s="94" t="str">
        <f>VLOOKUP(O475,'Lookup Values'!$I$2:$L$8,4,TRUE)</f>
        <v>Evening</v>
      </c>
      <c r="T475" t="s">
        <v>100</v>
      </c>
      <c r="U475" t="s">
        <v>101</v>
      </c>
      <c r="V475" t="str">
        <f t="shared" si="145"/>
        <v>Home: Cleaning Supplies</v>
      </c>
      <c r="W475" t="s">
        <v>99</v>
      </c>
      <c r="X475" t="s">
        <v>78</v>
      </c>
      <c r="Y475" s="1">
        <v>69</v>
      </c>
      <c r="Z475" s="1" t="str">
        <f t="shared" si="146"/>
        <v>Home: $69.00</v>
      </c>
      <c r="AA475" s="1">
        <f>IF(Y475="","",ROUND(Y475*'Lookup Values'!$A$2,2))</f>
        <v>6.12</v>
      </c>
      <c r="AB475" s="12" t="str">
        <f t="shared" si="147"/>
        <v>Expense</v>
      </c>
      <c r="AC475" s="2" t="s">
        <v>588</v>
      </c>
      <c r="AD475" s="3">
        <f t="shared" si="148"/>
        <v>39329</v>
      </c>
      <c r="AE475" s="93" t="str">
        <f t="shared" si="149"/>
        <v>NO</v>
      </c>
      <c r="AF475" s="2" t="str">
        <f t="shared" si="150"/>
        <v>NO</v>
      </c>
      <c r="AG475" t="str">
        <f t="shared" si="151"/>
        <v>Late Transaction</v>
      </c>
    </row>
    <row r="476" spans="1:33" x14ac:dyDescent="0.25">
      <c r="A476" s="2">
        <v>475</v>
      </c>
      <c r="B476" s="3" t="str">
        <f t="shared" si="133"/>
        <v>101016-SH-AMA</v>
      </c>
      <c r="C476" s="3">
        <v>40467</v>
      </c>
      <c r="D476" s="3">
        <f t="shared" si="135"/>
        <v>40480</v>
      </c>
      <c r="E476" s="3">
        <f t="shared" si="136"/>
        <v>40528</v>
      </c>
      <c r="F476" s="3">
        <f t="shared" si="137"/>
        <v>40482</v>
      </c>
      <c r="G476" s="76">
        <f t="shared" si="138"/>
        <v>2010</v>
      </c>
      <c r="H476" s="76">
        <f t="shared" si="139"/>
        <v>10</v>
      </c>
      <c r="I476" s="76" t="str">
        <f>VLOOKUP(H476,'Lookup Values'!$C$2:$D$13,2,FALSE)</f>
        <v>OCT</v>
      </c>
      <c r="J476" s="76">
        <f t="shared" si="140"/>
        <v>16</v>
      </c>
      <c r="K476" s="76">
        <f t="shared" si="141"/>
        <v>7</v>
      </c>
      <c r="L476" s="76" t="str">
        <f>VLOOKUP(K476,'Lookup Values'!$F$2:$G$8,2,FALSE)</f>
        <v>Saturday</v>
      </c>
      <c r="M476" s="3">
        <v>40475</v>
      </c>
      <c r="N476" s="78">
        <f t="shared" si="134"/>
        <v>8</v>
      </c>
      <c r="O476" s="11">
        <v>0.73253943252457832</v>
      </c>
      <c r="P476" s="94">
        <f t="shared" si="142"/>
        <v>17</v>
      </c>
      <c r="Q476" s="94">
        <f t="shared" si="143"/>
        <v>34</v>
      </c>
      <c r="R476" s="94">
        <f t="shared" si="144"/>
        <v>51</v>
      </c>
      <c r="S476" s="94" t="str">
        <f>VLOOKUP(O476,'Lookup Values'!$I$2:$L$8,4,TRUE)</f>
        <v>Evening</v>
      </c>
      <c r="T476" t="s">
        <v>83</v>
      </c>
      <c r="U476" t="s">
        <v>84</v>
      </c>
      <c r="V476" t="str">
        <f t="shared" si="145"/>
        <v>Shopping: Electronics</v>
      </c>
      <c r="W476" t="s">
        <v>82</v>
      </c>
      <c r="X476" t="s">
        <v>88</v>
      </c>
      <c r="Y476" s="1">
        <v>118</v>
      </c>
      <c r="Z476" s="1" t="str">
        <f t="shared" si="146"/>
        <v>Shopping: $118.00</v>
      </c>
      <c r="AA476" s="1">
        <f>IF(Y476="","",ROUND(Y476*'Lookup Values'!$A$2,2))</f>
        <v>10.47</v>
      </c>
      <c r="AB476" s="12" t="str">
        <f t="shared" si="147"/>
        <v>Expense</v>
      </c>
      <c r="AC476" s="2" t="s">
        <v>589</v>
      </c>
      <c r="AD476" s="3">
        <f t="shared" si="148"/>
        <v>40467</v>
      </c>
      <c r="AE476" s="93" t="str">
        <f t="shared" si="149"/>
        <v>YES</v>
      </c>
      <c r="AF476" s="2" t="str">
        <f t="shared" si="150"/>
        <v>NO</v>
      </c>
      <c r="AG476" t="str">
        <f t="shared" si="151"/>
        <v>Late Transaction</v>
      </c>
    </row>
    <row r="477" spans="1:33" x14ac:dyDescent="0.25">
      <c r="A477" s="2">
        <v>476</v>
      </c>
      <c r="B477" s="3" t="str">
        <f t="shared" si="133"/>
        <v>120816-FO-TRA</v>
      </c>
      <c r="C477" s="3">
        <v>41137</v>
      </c>
      <c r="D477" s="3">
        <f t="shared" si="135"/>
        <v>41151</v>
      </c>
      <c r="E477" s="3">
        <f t="shared" si="136"/>
        <v>41198</v>
      </c>
      <c r="F477" s="3">
        <f t="shared" si="137"/>
        <v>41152</v>
      </c>
      <c r="G477" s="76">
        <f t="shared" si="138"/>
        <v>2012</v>
      </c>
      <c r="H477" s="76">
        <f t="shared" si="139"/>
        <v>8</v>
      </c>
      <c r="I477" s="76" t="str">
        <f>VLOOKUP(H477,'Lookup Values'!$C$2:$D$13,2,FALSE)</f>
        <v>AUG</v>
      </c>
      <c r="J477" s="76">
        <f t="shared" si="140"/>
        <v>16</v>
      </c>
      <c r="K477" s="76">
        <f t="shared" si="141"/>
        <v>5</v>
      </c>
      <c r="L477" s="76" t="str">
        <f>VLOOKUP(K477,'Lookup Values'!$F$2:$G$8,2,FALSE)</f>
        <v>Thursday</v>
      </c>
      <c r="M477" s="3">
        <v>41138</v>
      </c>
      <c r="N477" s="78">
        <f t="shared" si="134"/>
        <v>1</v>
      </c>
      <c r="O477" s="11">
        <v>0.78788546166476436</v>
      </c>
      <c r="P477" s="94">
        <f t="shared" si="142"/>
        <v>18</v>
      </c>
      <c r="Q477" s="94">
        <f t="shared" si="143"/>
        <v>54</v>
      </c>
      <c r="R477" s="94">
        <f t="shared" si="144"/>
        <v>33</v>
      </c>
      <c r="S477" s="94" t="str">
        <f>VLOOKUP(O477,'Lookup Values'!$I$2:$L$8,4,TRUE)</f>
        <v>Evening</v>
      </c>
      <c r="T477" t="s">
        <v>80</v>
      </c>
      <c r="U477" t="s">
        <v>93</v>
      </c>
      <c r="V477" t="str">
        <f t="shared" si="145"/>
        <v>Food: Groceries</v>
      </c>
      <c r="W477" t="s">
        <v>92</v>
      </c>
      <c r="X477" t="s">
        <v>88</v>
      </c>
      <c r="Y477" s="1">
        <v>127</v>
      </c>
      <c r="Z477" s="1" t="str">
        <f t="shared" si="146"/>
        <v>Food: $127.00</v>
      </c>
      <c r="AA477" s="1">
        <f>IF(Y477="","",ROUND(Y477*'Lookup Values'!$A$2,2))</f>
        <v>11.27</v>
      </c>
      <c r="AB477" s="12" t="str">
        <f t="shared" si="147"/>
        <v>Expense</v>
      </c>
      <c r="AC477" s="2" t="s">
        <v>590</v>
      </c>
      <c r="AD477" s="3">
        <f t="shared" si="148"/>
        <v>41137</v>
      </c>
      <c r="AE477" s="93" t="str">
        <f t="shared" si="149"/>
        <v>NO</v>
      </c>
      <c r="AF477" s="2" t="str">
        <f t="shared" si="150"/>
        <v>NO</v>
      </c>
      <c r="AG477" t="str">
        <f t="shared" si="151"/>
        <v>CRAP Transaction</v>
      </c>
    </row>
    <row r="478" spans="1:33" x14ac:dyDescent="0.25">
      <c r="A478" s="2">
        <v>477</v>
      </c>
      <c r="B478" s="3" t="str">
        <f t="shared" si="133"/>
        <v>110709-FO-CIT</v>
      </c>
      <c r="C478" s="3">
        <v>40733</v>
      </c>
      <c r="D478" s="3">
        <f t="shared" si="135"/>
        <v>40746</v>
      </c>
      <c r="E478" s="3">
        <f t="shared" si="136"/>
        <v>40795</v>
      </c>
      <c r="F478" s="3">
        <f t="shared" si="137"/>
        <v>40755</v>
      </c>
      <c r="G478" s="76">
        <f t="shared" si="138"/>
        <v>2011</v>
      </c>
      <c r="H478" s="76">
        <f t="shared" si="139"/>
        <v>7</v>
      </c>
      <c r="I478" s="76" t="str">
        <f>VLOOKUP(H478,'Lookup Values'!$C$2:$D$13,2,FALSE)</f>
        <v>JUL</v>
      </c>
      <c r="J478" s="76">
        <f t="shared" si="140"/>
        <v>9</v>
      </c>
      <c r="K478" s="76">
        <f t="shared" si="141"/>
        <v>7</v>
      </c>
      <c r="L478" s="76" t="str">
        <f>VLOOKUP(K478,'Lookup Values'!$F$2:$G$8,2,FALSE)</f>
        <v>Saturday</v>
      </c>
      <c r="M478" s="3">
        <v>40735</v>
      </c>
      <c r="N478" s="78">
        <f t="shared" si="134"/>
        <v>2</v>
      </c>
      <c r="O478" s="11">
        <v>0.64670337214883544</v>
      </c>
      <c r="P478" s="94">
        <f t="shared" si="142"/>
        <v>15</v>
      </c>
      <c r="Q478" s="94">
        <f t="shared" si="143"/>
        <v>31</v>
      </c>
      <c r="R478" s="94">
        <f t="shared" si="144"/>
        <v>15</v>
      </c>
      <c r="S478" s="94" t="str">
        <f>VLOOKUP(O478,'Lookup Values'!$I$2:$L$8,4,TRUE)</f>
        <v>Afternoon</v>
      </c>
      <c r="T478" t="s">
        <v>80</v>
      </c>
      <c r="U478" t="s">
        <v>105</v>
      </c>
      <c r="V478" t="str">
        <f t="shared" si="145"/>
        <v>Food: Coffee</v>
      </c>
      <c r="W478" t="s">
        <v>104</v>
      </c>
      <c r="X478" t="s">
        <v>88</v>
      </c>
      <c r="Y478" s="1">
        <v>496</v>
      </c>
      <c r="Z478" s="1" t="str">
        <f t="shared" si="146"/>
        <v>Food: $496.00</v>
      </c>
      <c r="AA478" s="1">
        <f>IF(Y478="","",ROUND(Y478*'Lookup Values'!$A$2,2))</f>
        <v>44.02</v>
      </c>
      <c r="AB478" s="12" t="str">
        <f t="shared" si="147"/>
        <v>Expense</v>
      </c>
      <c r="AC478" s="2" t="s">
        <v>499</v>
      </c>
      <c r="AD478" s="3">
        <f t="shared" si="148"/>
        <v>40733</v>
      </c>
      <c r="AE478" s="93" t="str">
        <f t="shared" si="149"/>
        <v>NO</v>
      </c>
      <c r="AF478" s="2" t="str">
        <f t="shared" si="150"/>
        <v>NO</v>
      </c>
      <c r="AG478" t="str">
        <f t="shared" si="151"/>
        <v>CRAP Transaction</v>
      </c>
    </row>
    <row r="479" spans="1:33" x14ac:dyDescent="0.25">
      <c r="A479" s="2">
        <v>478</v>
      </c>
      <c r="B479" s="3" t="str">
        <f t="shared" si="133"/>
        <v>091204-FO-TRA</v>
      </c>
      <c r="C479" s="3">
        <v>40151</v>
      </c>
      <c r="D479" s="3">
        <f t="shared" si="135"/>
        <v>40165</v>
      </c>
      <c r="E479" s="3">
        <f t="shared" si="136"/>
        <v>40213</v>
      </c>
      <c r="F479" s="3">
        <f t="shared" si="137"/>
        <v>40178</v>
      </c>
      <c r="G479" s="76">
        <f t="shared" si="138"/>
        <v>2009</v>
      </c>
      <c r="H479" s="76">
        <f t="shared" si="139"/>
        <v>12</v>
      </c>
      <c r="I479" s="76" t="str">
        <f>VLOOKUP(H479,'Lookup Values'!$C$2:$D$13,2,FALSE)</f>
        <v>DEC</v>
      </c>
      <c r="J479" s="76">
        <f t="shared" si="140"/>
        <v>4</v>
      </c>
      <c r="K479" s="76">
        <f t="shared" si="141"/>
        <v>6</v>
      </c>
      <c r="L479" s="76" t="str">
        <f>VLOOKUP(K479,'Lookup Values'!$F$2:$G$8,2,FALSE)</f>
        <v>Friday</v>
      </c>
      <c r="M479" s="3">
        <v>40157</v>
      </c>
      <c r="N479" s="78">
        <f t="shared" si="134"/>
        <v>6</v>
      </c>
      <c r="O479" s="11">
        <v>1.4606153326933158E-2</v>
      </c>
      <c r="P479" s="94">
        <f t="shared" si="142"/>
        <v>0</v>
      </c>
      <c r="Q479" s="94">
        <f t="shared" si="143"/>
        <v>21</v>
      </c>
      <c r="R479" s="94">
        <f t="shared" si="144"/>
        <v>2</v>
      </c>
      <c r="S479" s="94" t="str">
        <f>VLOOKUP(O479,'Lookup Values'!$I$2:$L$8,4,TRUE)</f>
        <v>Dead of Night</v>
      </c>
      <c r="T479" t="s">
        <v>80</v>
      </c>
      <c r="U479" t="s">
        <v>93</v>
      </c>
      <c r="V479" t="str">
        <f t="shared" si="145"/>
        <v>Food: Groceries</v>
      </c>
      <c r="W479" t="s">
        <v>92</v>
      </c>
      <c r="X479" t="s">
        <v>88</v>
      </c>
      <c r="Y479" s="1">
        <v>168</v>
      </c>
      <c r="Z479" s="1" t="str">
        <f t="shared" si="146"/>
        <v>Food: $168.00</v>
      </c>
      <c r="AA479" s="1">
        <f>IF(Y479="","",ROUND(Y479*'Lookup Values'!$A$2,2))</f>
        <v>14.91</v>
      </c>
      <c r="AB479" s="12" t="str">
        <f t="shared" si="147"/>
        <v>Expense</v>
      </c>
      <c r="AC479" s="2" t="s">
        <v>591</v>
      </c>
      <c r="AD479" s="3">
        <f t="shared" si="148"/>
        <v>40151</v>
      </c>
      <c r="AE479" s="93" t="str">
        <f t="shared" si="149"/>
        <v>NO</v>
      </c>
      <c r="AF479" s="2" t="str">
        <f t="shared" si="150"/>
        <v>NO</v>
      </c>
      <c r="AG479" t="str">
        <f t="shared" si="151"/>
        <v>Awesome Transaction</v>
      </c>
    </row>
    <row r="480" spans="1:33" x14ac:dyDescent="0.25">
      <c r="A480" s="2">
        <v>479</v>
      </c>
      <c r="B480" s="3" t="str">
        <f t="shared" si="133"/>
        <v>110228-EN-MOE</v>
      </c>
      <c r="C480" s="3">
        <v>40602</v>
      </c>
      <c r="D480" s="3">
        <f t="shared" si="135"/>
        <v>40616</v>
      </c>
      <c r="E480" s="3">
        <f t="shared" si="136"/>
        <v>40661</v>
      </c>
      <c r="F480" s="3">
        <f t="shared" si="137"/>
        <v>40602</v>
      </c>
      <c r="G480" s="76">
        <f t="shared" si="138"/>
        <v>2011</v>
      </c>
      <c r="H480" s="76">
        <f t="shared" si="139"/>
        <v>2</v>
      </c>
      <c r="I480" s="76" t="str">
        <f>VLOOKUP(H480,'Lookup Values'!$C$2:$D$13,2,FALSE)</f>
        <v>FEB</v>
      </c>
      <c r="J480" s="76">
        <f t="shared" si="140"/>
        <v>28</v>
      </c>
      <c r="K480" s="76">
        <f t="shared" si="141"/>
        <v>2</v>
      </c>
      <c r="L480" s="76" t="str">
        <f>VLOOKUP(K480,'Lookup Values'!$F$2:$G$8,2,FALSE)</f>
        <v>Monday</v>
      </c>
      <c r="M480" s="3">
        <v>40608</v>
      </c>
      <c r="N480" s="78">
        <f t="shared" si="134"/>
        <v>6</v>
      </c>
      <c r="O480" s="11">
        <v>0.69411838073342436</v>
      </c>
      <c r="P480" s="94">
        <f t="shared" si="142"/>
        <v>16</v>
      </c>
      <c r="Q480" s="94">
        <f t="shared" si="143"/>
        <v>39</v>
      </c>
      <c r="R480" s="94">
        <f t="shared" si="144"/>
        <v>32</v>
      </c>
      <c r="S480" s="94" t="str">
        <f>VLOOKUP(O480,'Lookup Values'!$I$2:$L$8,4,TRUE)</f>
        <v>Afternoon</v>
      </c>
      <c r="T480" t="s">
        <v>76</v>
      </c>
      <c r="U480" t="s">
        <v>77</v>
      </c>
      <c r="V480" t="str">
        <f t="shared" si="145"/>
        <v>Entertainment: Alcohol</v>
      </c>
      <c r="W480" t="s">
        <v>75</v>
      </c>
      <c r="X480" t="s">
        <v>91</v>
      </c>
      <c r="Y480" s="1">
        <v>440</v>
      </c>
      <c r="Z480" s="1" t="str">
        <f t="shared" si="146"/>
        <v>Entertainment: $440.00</v>
      </c>
      <c r="AA480" s="1">
        <f>IF(Y480="","",ROUND(Y480*'Lookup Values'!$A$2,2))</f>
        <v>39.049999999999997</v>
      </c>
      <c r="AB480" s="12" t="str">
        <f t="shared" si="147"/>
        <v>Expense</v>
      </c>
      <c r="AC480" s="2" t="s">
        <v>272</v>
      </c>
      <c r="AD480" s="3">
        <f t="shared" si="148"/>
        <v>40602</v>
      </c>
      <c r="AE480" s="93" t="str">
        <f t="shared" si="149"/>
        <v>NO</v>
      </c>
      <c r="AF480" s="2" t="str">
        <f t="shared" si="150"/>
        <v>NO</v>
      </c>
      <c r="AG480" t="str">
        <f t="shared" si="151"/>
        <v>CRAP Transaction</v>
      </c>
    </row>
    <row r="481" spans="1:33" x14ac:dyDescent="0.25">
      <c r="A481" s="2">
        <v>480</v>
      </c>
      <c r="B481" s="3" t="str">
        <f t="shared" si="133"/>
        <v>100414-BI-CON</v>
      </c>
      <c r="C481" s="3">
        <v>40282</v>
      </c>
      <c r="D481" s="3">
        <f t="shared" si="135"/>
        <v>40296</v>
      </c>
      <c r="E481" s="3">
        <f t="shared" si="136"/>
        <v>40343</v>
      </c>
      <c r="F481" s="3">
        <f t="shared" si="137"/>
        <v>40298</v>
      </c>
      <c r="G481" s="76">
        <f t="shared" si="138"/>
        <v>2010</v>
      </c>
      <c r="H481" s="76">
        <f t="shared" si="139"/>
        <v>4</v>
      </c>
      <c r="I481" s="76" t="str">
        <f>VLOOKUP(H481,'Lookup Values'!$C$2:$D$13,2,FALSE)</f>
        <v>APR</v>
      </c>
      <c r="J481" s="76">
        <f t="shared" si="140"/>
        <v>14</v>
      </c>
      <c r="K481" s="76">
        <f t="shared" si="141"/>
        <v>4</v>
      </c>
      <c r="L481" s="76" t="str">
        <f>VLOOKUP(K481,'Lookup Values'!$F$2:$G$8,2,FALSE)</f>
        <v>Wednesday</v>
      </c>
      <c r="M481" s="3">
        <v>40285</v>
      </c>
      <c r="N481" s="78">
        <f t="shared" si="134"/>
        <v>3</v>
      </c>
      <c r="O481" s="11">
        <v>0.21624866354819561</v>
      </c>
      <c r="P481" s="94">
        <f t="shared" si="142"/>
        <v>5</v>
      </c>
      <c r="Q481" s="94">
        <f t="shared" si="143"/>
        <v>11</v>
      </c>
      <c r="R481" s="94">
        <f t="shared" si="144"/>
        <v>24</v>
      </c>
      <c r="S481" s="94" t="str">
        <f>VLOOKUP(O481,'Lookup Values'!$I$2:$L$8,4,TRUE)</f>
        <v>Early Morning</v>
      </c>
      <c r="T481" t="s">
        <v>110</v>
      </c>
      <c r="U481" t="s">
        <v>111</v>
      </c>
      <c r="V481" t="str">
        <f t="shared" si="145"/>
        <v>Bills: Utilities</v>
      </c>
      <c r="W481" t="s">
        <v>109</v>
      </c>
      <c r="X481" t="s">
        <v>78</v>
      </c>
      <c r="Y481" s="1">
        <v>309</v>
      </c>
      <c r="Z481" s="1" t="str">
        <f t="shared" si="146"/>
        <v>Bills: $309.00</v>
      </c>
      <c r="AA481" s="1">
        <f>IF(Y481="","",ROUND(Y481*'Lookup Values'!$A$2,2))</f>
        <v>27.42</v>
      </c>
      <c r="AB481" s="12" t="str">
        <f t="shared" si="147"/>
        <v>Expense</v>
      </c>
      <c r="AC481" s="2" t="s">
        <v>592</v>
      </c>
      <c r="AD481" s="3">
        <f t="shared" si="148"/>
        <v>40282</v>
      </c>
      <c r="AE481" s="93" t="str">
        <f t="shared" si="149"/>
        <v>NO</v>
      </c>
      <c r="AF481" s="2" t="str">
        <f t="shared" si="150"/>
        <v>NO</v>
      </c>
      <c r="AG481" t="str">
        <f t="shared" si="151"/>
        <v>Late Transaction</v>
      </c>
    </row>
    <row r="482" spans="1:33" x14ac:dyDescent="0.25">
      <c r="A482" s="2">
        <v>481</v>
      </c>
      <c r="B482" s="3" t="str">
        <f t="shared" si="133"/>
        <v>091105-IN-EZE</v>
      </c>
      <c r="C482" s="3">
        <v>40122</v>
      </c>
      <c r="D482" s="3">
        <f t="shared" si="135"/>
        <v>40136</v>
      </c>
      <c r="E482" s="3">
        <f t="shared" si="136"/>
        <v>40183</v>
      </c>
      <c r="F482" s="3">
        <f t="shared" si="137"/>
        <v>40147</v>
      </c>
      <c r="G482" s="76">
        <f t="shared" si="138"/>
        <v>2009</v>
      </c>
      <c r="H482" s="76">
        <f t="shared" si="139"/>
        <v>11</v>
      </c>
      <c r="I482" s="76" t="str">
        <f>VLOOKUP(H482,'Lookup Values'!$C$2:$D$13,2,FALSE)</f>
        <v>NOV</v>
      </c>
      <c r="J482" s="76">
        <f t="shared" si="140"/>
        <v>5</v>
      </c>
      <c r="K482" s="76">
        <f t="shared" si="141"/>
        <v>5</v>
      </c>
      <c r="L482" s="76" t="str">
        <f>VLOOKUP(K482,'Lookup Values'!$F$2:$G$8,2,FALSE)</f>
        <v>Thursday</v>
      </c>
      <c r="M482" s="3">
        <v>40127</v>
      </c>
      <c r="N482" s="78">
        <f t="shared" si="134"/>
        <v>5</v>
      </c>
      <c r="O482" s="11">
        <v>0.921683887839855</v>
      </c>
      <c r="P482" s="94">
        <f t="shared" si="142"/>
        <v>22</v>
      </c>
      <c r="Q482" s="94">
        <f t="shared" si="143"/>
        <v>7</v>
      </c>
      <c r="R482" s="94">
        <f t="shared" si="144"/>
        <v>13</v>
      </c>
      <c r="S482" s="94" t="str">
        <f>VLOOKUP(O482,'Lookup Values'!$I$2:$L$8,4,TRUE)</f>
        <v>Late Evening</v>
      </c>
      <c r="T482" t="s">
        <v>158</v>
      </c>
      <c r="U482" t="s">
        <v>159</v>
      </c>
      <c r="V482" t="str">
        <f t="shared" si="145"/>
        <v>Income: Salary</v>
      </c>
      <c r="W482" t="s">
        <v>162</v>
      </c>
      <c r="X482" t="s">
        <v>88</v>
      </c>
      <c r="Y482" s="1">
        <v>344</v>
      </c>
      <c r="Z482" s="1" t="str">
        <f t="shared" si="146"/>
        <v>Income: $344.00</v>
      </c>
      <c r="AA482" s="1">
        <f>IF(Y482="","",ROUND(Y482*'Lookup Values'!$A$2,2))</f>
        <v>30.53</v>
      </c>
      <c r="AB482" s="12" t="str">
        <f t="shared" si="147"/>
        <v>Income</v>
      </c>
      <c r="AC482" s="2" t="s">
        <v>593</v>
      </c>
      <c r="AD482" s="3">
        <f t="shared" si="148"/>
        <v>40122</v>
      </c>
      <c r="AE482" s="93" t="str">
        <f t="shared" si="149"/>
        <v>NO</v>
      </c>
      <c r="AF482" s="2" t="str">
        <f t="shared" si="150"/>
        <v>NO</v>
      </c>
      <c r="AG482" t="str">
        <f t="shared" si="151"/>
        <v>Late Transaction</v>
      </c>
    </row>
    <row r="483" spans="1:33" x14ac:dyDescent="0.25">
      <c r="A483" s="2">
        <v>482</v>
      </c>
      <c r="B483" s="3" t="str">
        <f t="shared" si="133"/>
        <v>090610-BI-CON</v>
      </c>
      <c r="C483" s="3">
        <v>39974</v>
      </c>
      <c r="D483" s="3">
        <f t="shared" si="135"/>
        <v>39988</v>
      </c>
      <c r="E483" s="3">
        <f t="shared" si="136"/>
        <v>40035</v>
      </c>
      <c r="F483" s="3">
        <f t="shared" si="137"/>
        <v>39994</v>
      </c>
      <c r="G483" s="76">
        <f t="shared" si="138"/>
        <v>2009</v>
      </c>
      <c r="H483" s="76">
        <f t="shared" si="139"/>
        <v>6</v>
      </c>
      <c r="I483" s="76" t="str">
        <f>VLOOKUP(H483,'Lookup Values'!$C$2:$D$13,2,FALSE)</f>
        <v>JUN</v>
      </c>
      <c r="J483" s="76">
        <f t="shared" si="140"/>
        <v>10</v>
      </c>
      <c r="K483" s="76">
        <f t="shared" si="141"/>
        <v>4</v>
      </c>
      <c r="L483" s="76" t="str">
        <f>VLOOKUP(K483,'Lookup Values'!$F$2:$G$8,2,FALSE)</f>
        <v>Wednesday</v>
      </c>
      <c r="M483" s="3">
        <v>39978</v>
      </c>
      <c r="N483" s="78">
        <f t="shared" si="134"/>
        <v>4</v>
      </c>
      <c r="O483" s="11">
        <v>0.6827754342416299</v>
      </c>
      <c r="P483" s="94">
        <f t="shared" si="142"/>
        <v>16</v>
      </c>
      <c r="Q483" s="94">
        <f t="shared" si="143"/>
        <v>23</v>
      </c>
      <c r="R483" s="94">
        <f t="shared" si="144"/>
        <v>12</v>
      </c>
      <c r="S483" s="94" t="str">
        <f>VLOOKUP(O483,'Lookup Values'!$I$2:$L$8,4,TRUE)</f>
        <v>Afternoon</v>
      </c>
      <c r="T483" t="s">
        <v>110</v>
      </c>
      <c r="U483" t="s">
        <v>111</v>
      </c>
      <c r="V483" t="str">
        <f t="shared" si="145"/>
        <v>Bills: Utilities</v>
      </c>
      <c r="W483" t="s">
        <v>109</v>
      </c>
      <c r="X483" t="s">
        <v>78</v>
      </c>
      <c r="Y483" s="1">
        <v>431</v>
      </c>
      <c r="Z483" s="1" t="str">
        <f t="shared" si="146"/>
        <v>Bills: $431.00</v>
      </c>
      <c r="AA483" s="1">
        <f>IF(Y483="","",ROUND(Y483*'Lookup Values'!$A$2,2))</f>
        <v>38.25</v>
      </c>
      <c r="AB483" s="12" t="str">
        <f t="shared" si="147"/>
        <v>Expense</v>
      </c>
      <c r="AC483" s="2" t="s">
        <v>594</v>
      </c>
      <c r="AD483" s="3">
        <f t="shared" si="148"/>
        <v>39974</v>
      </c>
      <c r="AE483" s="93" t="str">
        <f t="shared" si="149"/>
        <v>NO</v>
      </c>
      <c r="AF483" s="2" t="str">
        <f t="shared" si="150"/>
        <v>NO</v>
      </c>
      <c r="AG483" t="str">
        <f t="shared" si="151"/>
        <v>Late Transaction</v>
      </c>
    </row>
    <row r="484" spans="1:33" x14ac:dyDescent="0.25">
      <c r="A484" s="2">
        <v>483</v>
      </c>
      <c r="B484" s="3" t="str">
        <f t="shared" si="133"/>
        <v>070105-IN-LEG</v>
      </c>
      <c r="C484" s="3">
        <v>39087</v>
      </c>
      <c r="D484" s="3">
        <f t="shared" si="135"/>
        <v>39101</v>
      </c>
      <c r="E484" s="3">
        <f t="shared" si="136"/>
        <v>39146</v>
      </c>
      <c r="F484" s="3">
        <f t="shared" si="137"/>
        <v>39113</v>
      </c>
      <c r="G484" s="76">
        <f t="shared" si="138"/>
        <v>2007</v>
      </c>
      <c r="H484" s="76">
        <f t="shared" si="139"/>
        <v>1</v>
      </c>
      <c r="I484" s="76" t="str">
        <f>VLOOKUP(H484,'Lookup Values'!$C$2:$D$13,2,FALSE)</f>
        <v>JAN</v>
      </c>
      <c r="J484" s="76">
        <f t="shared" si="140"/>
        <v>5</v>
      </c>
      <c r="K484" s="76">
        <f t="shared" si="141"/>
        <v>6</v>
      </c>
      <c r="L484" s="76" t="str">
        <f>VLOOKUP(K484,'Lookup Values'!$F$2:$G$8,2,FALSE)</f>
        <v>Friday</v>
      </c>
      <c r="M484" s="3">
        <v>39094</v>
      </c>
      <c r="N484" s="78">
        <f t="shared" si="134"/>
        <v>7</v>
      </c>
      <c r="O484" s="11">
        <v>0.91889301324468486</v>
      </c>
      <c r="P484" s="94">
        <f t="shared" si="142"/>
        <v>22</v>
      </c>
      <c r="Q484" s="94">
        <f t="shared" si="143"/>
        <v>3</v>
      </c>
      <c r="R484" s="94">
        <f t="shared" si="144"/>
        <v>12</v>
      </c>
      <c r="S484" s="94" t="str">
        <f>VLOOKUP(O484,'Lookup Values'!$I$2:$L$8,4,TRUE)</f>
        <v>Late Evening</v>
      </c>
      <c r="T484" t="s">
        <v>158</v>
      </c>
      <c r="U484" t="s">
        <v>160</v>
      </c>
      <c r="V484" t="str">
        <f t="shared" si="145"/>
        <v>Income: Freelance Project</v>
      </c>
      <c r="W484" t="s">
        <v>163</v>
      </c>
      <c r="X484" t="s">
        <v>91</v>
      </c>
      <c r="Y484" s="1">
        <v>28</v>
      </c>
      <c r="Z484" s="1" t="str">
        <f t="shared" si="146"/>
        <v>Income: $28.00</v>
      </c>
      <c r="AA484" s="1">
        <f>IF(Y484="","",ROUND(Y484*'Lookup Values'!$A$2,2))</f>
        <v>2.4900000000000002</v>
      </c>
      <c r="AB484" s="12" t="str">
        <f t="shared" si="147"/>
        <v>Income</v>
      </c>
      <c r="AC484" s="2" t="s">
        <v>595</v>
      </c>
      <c r="AD484" s="3">
        <f t="shared" si="148"/>
        <v>39087</v>
      </c>
      <c r="AE484" s="93" t="str">
        <f t="shared" si="149"/>
        <v>NO</v>
      </c>
      <c r="AF484" s="2" t="str">
        <f t="shared" si="150"/>
        <v>NO</v>
      </c>
      <c r="AG484" t="str">
        <f t="shared" si="151"/>
        <v>Late Transaction</v>
      </c>
    </row>
    <row r="485" spans="1:33" x14ac:dyDescent="0.25">
      <c r="A485" s="2">
        <v>484</v>
      </c>
      <c r="B485" s="3" t="str">
        <f t="shared" si="133"/>
        <v>101215-EN-MOE</v>
      </c>
      <c r="C485" s="3">
        <v>40527</v>
      </c>
      <c r="D485" s="3">
        <f t="shared" si="135"/>
        <v>40541</v>
      </c>
      <c r="E485" s="3">
        <f t="shared" si="136"/>
        <v>40589</v>
      </c>
      <c r="F485" s="3">
        <f t="shared" si="137"/>
        <v>40543</v>
      </c>
      <c r="G485" s="76">
        <f t="shared" si="138"/>
        <v>2010</v>
      </c>
      <c r="H485" s="76">
        <f t="shared" si="139"/>
        <v>12</v>
      </c>
      <c r="I485" s="76" t="str">
        <f>VLOOKUP(H485,'Lookup Values'!$C$2:$D$13,2,FALSE)</f>
        <v>DEC</v>
      </c>
      <c r="J485" s="76">
        <f t="shared" si="140"/>
        <v>15</v>
      </c>
      <c r="K485" s="76">
        <f t="shared" si="141"/>
        <v>4</v>
      </c>
      <c r="L485" s="76" t="str">
        <f>VLOOKUP(K485,'Lookup Values'!$F$2:$G$8,2,FALSE)</f>
        <v>Wednesday</v>
      </c>
      <c r="M485" s="3">
        <v>40533</v>
      </c>
      <c r="N485" s="78">
        <f t="shared" si="134"/>
        <v>6</v>
      </c>
      <c r="O485" s="11">
        <v>7.745821124595198E-2</v>
      </c>
      <c r="P485" s="94">
        <f t="shared" si="142"/>
        <v>1</v>
      </c>
      <c r="Q485" s="94">
        <f t="shared" si="143"/>
        <v>51</v>
      </c>
      <c r="R485" s="94">
        <f t="shared" si="144"/>
        <v>32</v>
      </c>
      <c r="S485" s="94" t="str">
        <f>VLOOKUP(O485,'Lookup Values'!$I$2:$L$8,4,TRUE)</f>
        <v>Dead of Night</v>
      </c>
      <c r="T485" t="s">
        <v>76</v>
      </c>
      <c r="U485" t="s">
        <v>77</v>
      </c>
      <c r="V485" t="str">
        <f t="shared" si="145"/>
        <v>Entertainment: Alcohol</v>
      </c>
      <c r="W485" t="s">
        <v>75</v>
      </c>
      <c r="X485" t="s">
        <v>91</v>
      </c>
      <c r="Y485" s="1">
        <v>341</v>
      </c>
      <c r="Z485" s="1" t="str">
        <f t="shared" si="146"/>
        <v>Entertainment: $341.00</v>
      </c>
      <c r="AA485" s="1">
        <f>IF(Y485="","",ROUND(Y485*'Lookup Values'!$A$2,2))</f>
        <v>30.26</v>
      </c>
      <c r="AB485" s="12" t="str">
        <f t="shared" si="147"/>
        <v>Expense</v>
      </c>
      <c r="AC485" s="2" t="s">
        <v>596</v>
      </c>
      <c r="AD485" s="3">
        <f t="shared" si="148"/>
        <v>40527</v>
      </c>
      <c r="AE485" s="93" t="str">
        <f t="shared" si="149"/>
        <v>NO</v>
      </c>
      <c r="AF485" s="2" t="str">
        <f t="shared" si="150"/>
        <v>NO</v>
      </c>
      <c r="AG485" t="str">
        <f t="shared" si="151"/>
        <v>CRAP Transaction</v>
      </c>
    </row>
    <row r="486" spans="1:33" x14ac:dyDescent="0.25">
      <c r="A486" s="2">
        <v>485</v>
      </c>
      <c r="B486" s="3" t="str">
        <f t="shared" si="133"/>
        <v>120514-HO-BED</v>
      </c>
      <c r="C486" s="3">
        <v>41043</v>
      </c>
      <c r="D486" s="3">
        <f t="shared" si="135"/>
        <v>41057</v>
      </c>
      <c r="E486" s="3">
        <f t="shared" si="136"/>
        <v>41104</v>
      </c>
      <c r="F486" s="3">
        <f t="shared" si="137"/>
        <v>41060</v>
      </c>
      <c r="G486" s="76">
        <f t="shared" si="138"/>
        <v>2012</v>
      </c>
      <c r="H486" s="76">
        <f t="shared" si="139"/>
        <v>5</v>
      </c>
      <c r="I486" s="76" t="str">
        <f>VLOOKUP(H486,'Lookup Values'!$C$2:$D$13,2,FALSE)</f>
        <v>MAY</v>
      </c>
      <c r="J486" s="76">
        <f t="shared" si="140"/>
        <v>14</v>
      </c>
      <c r="K486" s="76">
        <f t="shared" si="141"/>
        <v>2</v>
      </c>
      <c r="L486" s="76" t="str">
        <f>VLOOKUP(K486,'Lookup Values'!$F$2:$G$8,2,FALSE)</f>
        <v>Monday</v>
      </c>
      <c r="M486" s="3">
        <v>41052</v>
      </c>
      <c r="N486" s="78">
        <f t="shared" si="134"/>
        <v>9</v>
      </c>
      <c r="O486" s="11">
        <v>0.73103251727986918</v>
      </c>
      <c r="P486" s="94">
        <f t="shared" si="142"/>
        <v>17</v>
      </c>
      <c r="Q486" s="94">
        <f t="shared" si="143"/>
        <v>32</v>
      </c>
      <c r="R486" s="94">
        <f t="shared" si="144"/>
        <v>41</v>
      </c>
      <c r="S486" s="94" t="str">
        <f>VLOOKUP(O486,'Lookup Values'!$I$2:$L$8,4,TRUE)</f>
        <v>Evening</v>
      </c>
      <c r="T486" t="s">
        <v>100</v>
      </c>
      <c r="U486" t="s">
        <v>101</v>
      </c>
      <c r="V486" t="str">
        <f t="shared" si="145"/>
        <v>Home: Cleaning Supplies</v>
      </c>
      <c r="W486" t="s">
        <v>99</v>
      </c>
      <c r="X486" t="s">
        <v>88</v>
      </c>
      <c r="Y486" s="1">
        <v>343</v>
      </c>
      <c r="Z486" s="1" t="str">
        <f t="shared" si="146"/>
        <v>Home: $343.00</v>
      </c>
      <c r="AA486" s="1">
        <f>IF(Y486="","",ROUND(Y486*'Lookup Values'!$A$2,2))</f>
        <v>30.44</v>
      </c>
      <c r="AB486" s="12" t="str">
        <f t="shared" si="147"/>
        <v>Expense</v>
      </c>
      <c r="AC486" s="2" t="s">
        <v>597</v>
      </c>
      <c r="AD486" s="3">
        <f t="shared" si="148"/>
        <v>41043</v>
      </c>
      <c r="AE486" s="93" t="str">
        <f t="shared" si="149"/>
        <v>NO</v>
      </c>
      <c r="AF486" s="2" t="str">
        <f t="shared" si="150"/>
        <v>NO</v>
      </c>
      <c r="AG486" t="str">
        <f t="shared" si="151"/>
        <v>CRAP Transaction</v>
      </c>
    </row>
    <row r="487" spans="1:33" x14ac:dyDescent="0.25">
      <c r="A487" s="2">
        <v>486</v>
      </c>
      <c r="B487" s="3" t="str">
        <f t="shared" si="133"/>
        <v>100318-EN-FAN</v>
      </c>
      <c r="C487" s="3">
        <v>40255</v>
      </c>
      <c r="D487" s="3">
        <f t="shared" si="135"/>
        <v>40269</v>
      </c>
      <c r="E487" s="3">
        <f t="shared" si="136"/>
        <v>40316</v>
      </c>
      <c r="F487" s="3">
        <f t="shared" si="137"/>
        <v>40268</v>
      </c>
      <c r="G487" s="76">
        <f t="shared" si="138"/>
        <v>2010</v>
      </c>
      <c r="H487" s="76">
        <f t="shared" si="139"/>
        <v>3</v>
      </c>
      <c r="I487" s="76" t="str">
        <f>VLOOKUP(H487,'Lookup Values'!$C$2:$D$13,2,FALSE)</f>
        <v>MAR</v>
      </c>
      <c r="J487" s="76">
        <f t="shared" si="140"/>
        <v>18</v>
      </c>
      <c r="K487" s="76">
        <f t="shared" si="141"/>
        <v>5</v>
      </c>
      <c r="L487" s="76" t="str">
        <f>VLOOKUP(K487,'Lookup Values'!$F$2:$G$8,2,FALSE)</f>
        <v>Thursday</v>
      </c>
      <c r="M487" s="3">
        <v>40265</v>
      </c>
      <c r="N487" s="78">
        <f t="shared" si="134"/>
        <v>10</v>
      </c>
      <c r="O487" s="11">
        <v>0.44224889205218276</v>
      </c>
      <c r="P487" s="94">
        <f t="shared" si="142"/>
        <v>10</v>
      </c>
      <c r="Q487" s="94">
        <f t="shared" si="143"/>
        <v>36</v>
      </c>
      <c r="R487" s="94">
        <f t="shared" si="144"/>
        <v>50</v>
      </c>
      <c r="S487" s="94" t="str">
        <f>VLOOKUP(O487,'Lookup Values'!$I$2:$L$8,4,TRUE)</f>
        <v>Late Morning</v>
      </c>
      <c r="T487" t="s">
        <v>76</v>
      </c>
      <c r="U487" t="s">
        <v>90</v>
      </c>
      <c r="V487" t="str">
        <f t="shared" si="145"/>
        <v>Entertainment: Movies</v>
      </c>
      <c r="W487" t="s">
        <v>89</v>
      </c>
      <c r="X487" t="s">
        <v>88</v>
      </c>
      <c r="Y487" s="1">
        <v>19</v>
      </c>
      <c r="Z487" s="1" t="str">
        <f t="shared" si="146"/>
        <v>Entertainment: $19.00</v>
      </c>
      <c r="AA487" s="1">
        <f>IF(Y487="","",ROUND(Y487*'Lookup Values'!$A$2,2))</f>
        <v>1.69</v>
      </c>
      <c r="AB487" s="12" t="str">
        <f t="shared" si="147"/>
        <v>Expense</v>
      </c>
      <c r="AC487" s="2" t="s">
        <v>598</v>
      </c>
      <c r="AD487" s="3">
        <f t="shared" si="148"/>
        <v>40255</v>
      </c>
      <c r="AE487" s="93" t="str">
        <f t="shared" si="149"/>
        <v>NO</v>
      </c>
      <c r="AF487" s="2" t="str">
        <f t="shared" si="150"/>
        <v>NO</v>
      </c>
      <c r="AG487" t="str">
        <f t="shared" si="151"/>
        <v>Late Transaction</v>
      </c>
    </row>
    <row r="488" spans="1:33" x14ac:dyDescent="0.25">
      <c r="A488" s="2">
        <v>487</v>
      </c>
      <c r="B488" s="3" t="str">
        <f t="shared" si="133"/>
        <v>080407-TR-MTA</v>
      </c>
      <c r="C488" s="3">
        <v>39545</v>
      </c>
      <c r="D488" s="3">
        <f t="shared" si="135"/>
        <v>39559</v>
      </c>
      <c r="E488" s="3">
        <f t="shared" si="136"/>
        <v>39606</v>
      </c>
      <c r="F488" s="3">
        <f t="shared" si="137"/>
        <v>39568</v>
      </c>
      <c r="G488" s="76">
        <f t="shared" si="138"/>
        <v>2008</v>
      </c>
      <c r="H488" s="76">
        <f t="shared" si="139"/>
        <v>4</v>
      </c>
      <c r="I488" s="76" t="str">
        <f>VLOOKUP(H488,'Lookup Values'!$C$2:$D$13,2,FALSE)</f>
        <v>APR</v>
      </c>
      <c r="J488" s="76">
        <f t="shared" si="140"/>
        <v>7</v>
      </c>
      <c r="K488" s="76">
        <f t="shared" si="141"/>
        <v>2</v>
      </c>
      <c r="L488" s="76" t="str">
        <f>VLOOKUP(K488,'Lookup Values'!$F$2:$G$8,2,FALSE)</f>
        <v>Monday</v>
      </c>
      <c r="M488" s="3">
        <v>39549</v>
      </c>
      <c r="N488" s="78">
        <f t="shared" si="134"/>
        <v>4</v>
      </c>
      <c r="O488" s="11">
        <v>0.58661428441971897</v>
      </c>
      <c r="P488" s="94">
        <f t="shared" si="142"/>
        <v>14</v>
      </c>
      <c r="Q488" s="94">
        <f t="shared" si="143"/>
        <v>4</v>
      </c>
      <c r="R488" s="94">
        <f t="shared" si="144"/>
        <v>43</v>
      </c>
      <c r="S488" s="94" t="str">
        <f>VLOOKUP(O488,'Lookup Values'!$I$2:$L$8,4,TRUE)</f>
        <v>Afternoon</v>
      </c>
      <c r="T488" t="s">
        <v>95</v>
      </c>
      <c r="U488" t="s">
        <v>96</v>
      </c>
      <c r="V488" t="str">
        <f t="shared" si="145"/>
        <v>Transportation: Subway</v>
      </c>
      <c r="W488" t="s">
        <v>94</v>
      </c>
      <c r="X488" t="s">
        <v>78</v>
      </c>
      <c r="Y488" s="1">
        <v>49</v>
      </c>
      <c r="Z488" s="1" t="str">
        <f t="shared" si="146"/>
        <v>Transportation: $49.00</v>
      </c>
      <c r="AA488" s="1">
        <f>IF(Y488="","",ROUND(Y488*'Lookup Values'!$A$2,2))</f>
        <v>4.3499999999999996</v>
      </c>
      <c r="AB488" s="12" t="str">
        <f t="shared" si="147"/>
        <v>Expense</v>
      </c>
      <c r="AC488" s="2" t="s">
        <v>246</v>
      </c>
      <c r="AD488" s="3">
        <f t="shared" si="148"/>
        <v>39545</v>
      </c>
      <c r="AE488" s="93" t="str">
        <f t="shared" si="149"/>
        <v>YES</v>
      </c>
      <c r="AF488" s="2" t="str">
        <f t="shared" si="150"/>
        <v>NO</v>
      </c>
      <c r="AG488" t="str">
        <f t="shared" si="151"/>
        <v>Late Transaction</v>
      </c>
    </row>
    <row r="489" spans="1:33" x14ac:dyDescent="0.25">
      <c r="A489" s="2">
        <v>488</v>
      </c>
      <c r="B489" s="3" t="str">
        <f t="shared" si="133"/>
        <v>100927-HO-BED</v>
      </c>
      <c r="C489" s="3">
        <v>40448</v>
      </c>
      <c r="D489" s="3">
        <f t="shared" si="135"/>
        <v>40462</v>
      </c>
      <c r="E489" s="3">
        <f t="shared" si="136"/>
        <v>40509</v>
      </c>
      <c r="F489" s="3">
        <f t="shared" si="137"/>
        <v>40451</v>
      </c>
      <c r="G489" s="76">
        <f t="shared" si="138"/>
        <v>2010</v>
      </c>
      <c r="H489" s="76">
        <f t="shared" si="139"/>
        <v>9</v>
      </c>
      <c r="I489" s="76" t="str">
        <f>VLOOKUP(H489,'Lookup Values'!$C$2:$D$13,2,FALSE)</f>
        <v>SEP</v>
      </c>
      <c r="J489" s="76">
        <f t="shared" si="140"/>
        <v>27</v>
      </c>
      <c r="K489" s="76">
        <f t="shared" si="141"/>
        <v>2</v>
      </c>
      <c r="L489" s="76" t="str">
        <f>VLOOKUP(K489,'Lookup Values'!$F$2:$G$8,2,FALSE)</f>
        <v>Monday</v>
      </c>
      <c r="M489" s="3">
        <v>40455</v>
      </c>
      <c r="N489" s="78">
        <f t="shared" si="134"/>
        <v>7</v>
      </c>
      <c r="O489" s="11">
        <v>0.52540987041774756</v>
      </c>
      <c r="P489" s="94">
        <f t="shared" si="142"/>
        <v>12</v>
      </c>
      <c r="Q489" s="94">
        <f t="shared" si="143"/>
        <v>36</v>
      </c>
      <c r="R489" s="94">
        <f t="shared" si="144"/>
        <v>35</v>
      </c>
      <c r="S489" s="94" t="str">
        <f>VLOOKUP(O489,'Lookup Values'!$I$2:$L$8,4,TRUE)</f>
        <v>Afternoon</v>
      </c>
      <c r="T489" t="s">
        <v>100</v>
      </c>
      <c r="U489" t="s">
        <v>101</v>
      </c>
      <c r="V489" t="str">
        <f t="shared" si="145"/>
        <v>Home: Cleaning Supplies</v>
      </c>
      <c r="W489" t="s">
        <v>99</v>
      </c>
      <c r="X489" t="s">
        <v>91</v>
      </c>
      <c r="Y489" s="1">
        <v>398</v>
      </c>
      <c r="Z489" s="1" t="str">
        <f t="shared" si="146"/>
        <v>Home: $398.00</v>
      </c>
      <c r="AA489" s="1">
        <f>IF(Y489="","",ROUND(Y489*'Lookup Values'!$A$2,2))</f>
        <v>35.32</v>
      </c>
      <c r="AB489" s="12" t="str">
        <f t="shared" si="147"/>
        <v>Expense</v>
      </c>
      <c r="AC489" s="2" t="s">
        <v>599</v>
      </c>
      <c r="AD489" s="3">
        <f t="shared" si="148"/>
        <v>40448</v>
      </c>
      <c r="AE489" s="93" t="str">
        <f t="shared" si="149"/>
        <v>NO</v>
      </c>
      <c r="AF489" s="2" t="str">
        <f t="shared" si="150"/>
        <v>NO</v>
      </c>
      <c r="AG489" t="str">
        <f t="shared" si="151"/>
        <v>Late Transaction</v>
      </c>
    </row>
    <row r="490" spans="1:33" x14ac:dyDescent="0.25">
      <c r="A490" s="2">
        <v>489</v>
      </c>
      <c r="B490" s="3" t="str">
        <f t="shared" si="133"/>
        <v>100411-IN-AUN</v>
      </c>
      <c r="C490" s="3">
        <v>40279</v>
      </c>
      <c r="D490" s="3">
        <f t="shared" si="135"/>
        <v>40291</v>
      </c>
      <c r="E490" s="3">
        <f t="shared" si="136"/>
        <v>40340</v>
      </c>
      <c r="F490" s="3">
        <f t="shared" si="137"/>
        <v>40298</v>
      </c>
      <c r="G490" s="76">
        <f t="shared" si="138"/>
        <v>2010</v>
      </c>
      <c r="H490" s="76">
        <f t="shared" si="139"/>
        <v>4</v>
      </c>
      <c r="I490" s="76" t="str">
        <f>VLOOKUP(H490,'Lookup Values'!$C$2:$D$13,2,FALSE)</f>
        <v>APR</v>
      </c>
      <c r="J490" s="76">
        <f t="shared" si="140"/>
        <v>11</v>
      </c>
      <c r="K490" s="76">
        <f t="shared" si="141"/>
        <v>1</v>
      </c>
      <c r="L490" s="76" t="str">
        <f>VLOOKUP(K490,'Lookup Values'!$F$2:$G$8,2,FALSE)</f>
        <v>Sunday</v>
      </c>
      <c r="M490" s="3">
        <v>40289</v>
      </c>
      <c r="N490" s="78">
        <f t="shared" si="134"/>
        <v>10</v>
      </c>
      <c r="O490" s="11">
        <v>4.4273772946402778E-2</v>
      </c>
      <c r="P490" s="94">
        <f t="shared" si="142"/>
        <v>1</v>
      </c>
      <c r="Q490" s="94">
        <f t="shared" si="143"/>
        <v>3</v>
      </c>
      <c r="R490" s="94">
        <f t="shared" si="144"/>
        <v>45</v>
      </c>
      <c r="S490" s="94" t="str">
        <f>VLOOKUP(O490,'Lookup Values'!$I$2:$L$8,4,TRUE)</f>
        <v>Dead of Night</v>
      </c>
      <c r="T490" t="s">
        <v>158</v>
      </c>
      <c r="U490" t="s">
        <v>161</v>
      </c>
      <c r="V490" t="str">
        <f t="shared" si="145"/>
        <v>Income: Gift Received</v>
      </c>
      <c r="W490" t="s">
        <v>164</v>
      </c>
      <c r="X490" t="s">
        <v>91</v>
      </c>
      <c r="Y490" s="1">
        <v>366</v>
      </c>
      <c r="Z490" s="1" t="str">
        <f t="shared" si="146"/>
        <v>Income: $366.00</v>
      </c>
      <c r="AA490" s="1">
        <f>IF(Y490="","",ROUND(Y490*'Lookup Values'!$A$2,2))</f>
        <v>32.479999999999997</v>
      </c>
      <c r="AB490" s="12" t="str">
        <f t="shared" si="147"/>
        <v>Income</v>
      </c>
      <c r="AC490" s="2" t="s">
        <v>600</v>
      </c>
      <c r="AD490" s="3">
        <f t="shared" si="148"/>
        <v>40279</v>
      </c>
      <c r="AE490" s="93" t="str">
        <f t="shared" si="149"/>
        <v>NO</v>
      </c>
      <c r="AF490" s="2" t="str">
        <f t="shared" si="150"/>
        <v>NO</v>
      </c>
      <c r="AG490" t="str">
        <f t="shared" si="151"/>
        <v>Late Transaction</v>
      </c>
    </row>
    <row r="491" spans="1:33" x14ac:dyDescent="0.25">
      <c r="A491" s="2">
        <v>490</v>
      </c>
      <c r="B491" s="3" t="str">
        <f t="shared" si="133"/>
        <v>100212-BI-CON</v>
      </c>
      <c r="C491" s="3">
        <v>40221</v>
      </c>
      <c r="D491" s="3">
        <f t="shared" si="135"/>
        <v>40235</v>
      </c>
      <c r="E491" s="3">
        <f t="shared" si="136"/>
        <v>40280</v>
      </c>
      <c r="F491" s="3">
        <f t="shared" si="137"/>
        <v>40237</v>
      </c>
      <c r="G491" s="76">
        <f t="shared" si="138"/>
        <v>2010</v>
      </c>
      <c r="H491" s="76">
        <f t="shared" si="139"/>
        <v>2</v>
      </c>
      <c r="I491" s="76" t="str">
        <f>VLOOKUP(H491,'Lookup Values'!$C$2:$D$13,2,FALSE)</f>
        <v>FEB</v>
      </c>
      <c r="J491" s="76">
        <f t="shared" si="140"/>
        <v>12</v>
      </c>
      <c r="K491" s="76">
        <f t="shared" si="141"/>
        <v>6</v>
      </c>
      <c r="L491" s="76" t="str">
        <f>VLOOKUP(K491,'Lookup Values'!$F$2:$G$8,2,FALSE)</f>
        <v>Friday</v>
      </c>
      <c r="M491" s="3">
        <v>40222</v>
      </c>
      <c r="N491" s="78">
        <f t="shared" si="134"/>
        <v>1</v>
      </c>
      <c r="O491" s="11">
        <v>7.8046159367861523E-2</v>
      </c>
      <c r="P491" s="94">
        <f t="shared" si="142"/>
        <v>1</v>
      </c>
      <c r="Q491" s="94">
        <f t="shared" si="143"/>
        <v>52</v>
      </c>
      <c r="R491" s="94">
        <f t="shared" si="144"/>
        <v>23</v>
      </c>
      <c r="S491" s="94" t="str">
        <f>VLOOKUP(O491,'Lookup Values'!$I$2:$L$8,4,TRUE)</f>
        <v>Dead of Night</v>
      </c>
      <c r="T491" t="s">
        <v>110</v>
      </c>
      <c r="U491" t="s">
        <v>111</v>
      </c>
      <c r="V491" t="str">
        <f t="shared" si="145"/>
        <v>Bills: Utilities</v>
      </c>
      <c r="W491" t="s">
        <v>109</v>
      </c>
      <c r="X491" t="s">
        <v>78</v>
      </c>
      <c r="Y491" s="1">
        <v>403</v>
      </c>
      <c r="Z491" s="1" t="str">
        <f t="shared" si="146"/>
        <v>Bills: $403.00</v>
      </c>
      <c r="AA491" s="1">
        <f>IF(Y491="","",ROUND(Y491*'Lookup Values'!$A$2,2))</f>
        <v>35.770000000000003</v>
      </c>
      <c r="AB491" s="12" t="str">
        <f t="shared" si="147"/>
        <v>Expense</v>
      </c>
      <c r="AC491" s="2" t="s">
        <v>601</v>
      </c>
      <c r="AD491" s="3">
        <f t="shared" si="148"/>
        <v>40221</v>
      </c>
      <c r="AE491" s="93" t="str">
        <f t="shared" si="149"/>
        <v>NO</v>
      </c>
      <c r="AF491" s="2" t="str">
        <f t="shared" si="150"/>
        <v>NO</v>
      </c>
      <c r="AG491" t="str">
        <f t="shared" si="151"/>
        <v>Late Transaction</v>
      </c>
    </row>
    <row r="492" spans="1:33" x14ac:dyDescent="0.25">
      <c r="A492" s="2">
        <v>491</v>
      </c>
      <c r="B492" s="3" t="str">
        <f t="shared" si="133"/>
        <v>110804-TR-MTA</v>
      </c>
      <c r="C492" s="3">
        <v>40759</v>
      </c>
      <c r="D492" s="3">
        <f t="shared" si="135"/>
        <v>40773</v>
      </c>
      <c r="E492" s="3">
        <f t="shared" si="136"/>
        <v>40820</v>
      </c>
      <c r="F492" s="3">
        <f t="shared" si="137"/>
        <v>40786</v>
      </c>
      <c r="G492" s="76">
        <f t="shared" si="138"/>
        <v>2011</v>
      </c>
      <c r="H492" s="76">
        <f t="shared" si="139"/>
        <v>8</v>
      </c>
      <c r="I492" s="76" t="str">
        <f>VLOOKUP(H492,'Lookup Values'!$C$2:$D$13,2,FALSE)</f>
        <v>AUG</v>
      </c>
      <c r="J492" s="76">
        <f t="shared" si="140"/>
        <v>4</v>
      </c>
      <c r="K492" s="76">
        <f t="shared" si="141"/>
        <v>5</v>
      </c>
      <c r="L492" s="76" t="str">
        <f>VLOOKUP(K492,'Lookup Values'!$F$2:$G$8,2,FALSE)</f>
        <v>Thursday</v>
      </c>
      <c r="M492" s="3">
        <v>40767</v>
      </c>
      <c r="N492" s="78">
        <f t="shared" si="134"/>
        <v>8</v>
      </c>
      <c r="O492" s="11">
        <v>0.59977973633757875</v>
      </c>
      <c r="P492" s="94">
        <f t="shared" si="142"/>
        <v>14</v>
      </c>
      <c r="Q492" s="94">
        <f t="shared" si="143"/>
        <v>23</v>
      </c>
      <c r="R492" s="94">
        <f t="shared" si="144"/>
        <v>41</v>
      </c>
      <c r="S492" s="94" t="str">
        <f>VLOOKUP(O492,'Lookup Values'!$I$2:$L$8,4,TRUE)</f>
        <v>Afternoon</v>
      </c>
      <c r="T492" t="s">
        <v>95</v>
      </c>
      <c r="U492" t="s">
        <v>96</v>
      </c>
      <c r="V492" t="str">
        <f t="shared" si="145"/>
        <v>Transportation: Subway</v>
      </c>
      <c r="W492" t="s">
        <v>94</v>
      </c>
      <c r="X492" t="s">
        <v>78</v>
      </c>
      <c r="Y492" s="1">
        <v>434</v>
      </c>
      <c r="Z492" s="1" t="str">
        <f t="shared" si="146"/>
        <v>Transportation: $434.00</v>
      </c>
      <c r="AA492" s="1">
        <f>IF(Y492="","",ROUND(Y492*'Lookup Values'!$A$2,2))</f>
        <v>38.520000000000003</v>
      </c>
      <c r="AB492" s="12" t="str">
        <f t="shared" si="147"/>
        <v>Expense</v>
      </c>
      <c r="AC492" s="2" t="s">
        <v>602</v>
      </c>
      <c r="AD492" s="3">
        <f t="shared" si="148"/>
        <v>40759</v>
      </c>
      <c r="AE492" s="93" t="str">
        <f t="shared" si="149"/>
        <v>YES</v>
      </c>
      <c r="AF492" s="2" t="str">
        <f t="shared" si="150"/>
        <v>YES</v>
      </c>
      <c r="AG492" t="str">
        <f t="shared" si="151"/>
        <v>CRAP Transaction</v>
      </c>
    </row>
    <row r="493" spans="1:33" x14ac:dyDescent="0.25">
      <c r="A493" s="2">
        <v>492</v>
      </c>
      <c r="B493" s="3" t="str">
        <f t="shared" si="133"/>
        <v>070316-IN-AUN</v>
      </c>
      <c r="C493" s="3">
        <v>39157</v>
      </c>
      <c r="D493" s="3">
        <f t="shared" si="135"/>
        <v>39171</v>
      </c>
      <c r="E493" s="3">
        <f t="shared" si="136"/>
        <v>39218</v>
      </c>
      <c r="F493" s="3">
        <f t="shared" si="137"/>
        <v>39172</v>
      </c>
      <c r="G493" s="76">
        <f t="shared" si="138"/>
        <v>2007</v>
      </c>
      <c r="H493" s="76">
        <f t="shared" si="139"/>
        <v>3</v>
      </c>
      <c r="I493" s="76" t="str">
        <f>VLOOKUP(H493,'Lookup Values'!$C$2:$D$13,2,FALSE)</f>
        <v>MAR</v>
      </c>
      <c r="J493" s="76">
        <f t="shared" si="140"/>
        <v>16</v>
      </c>
      <c r="K493" s="76">
        <f t="shared" si="141"/>
        <v>6</v>
      </c>
      <c r="L493" s="76" t="str">
        <f>VLOOKUP(K493,'Lookup Values'!$F$2:$G$8,2,FALSE)</f>
        <v>Friday</v>
      </c>
      <c r="M493" s="3">
        <v>39159</v>
      </c>
      <c r="N493" s="78">
        <f t="shared" si="134"/>
        <v>2</v>
      </c>
      <c r="O493" s="11">
        <v>0.24956194917674379</v>
      </c>
      <c r="P493" s="94">
        <f t="shared" si="142"/>
        <v>5</v>
      </c>
      <c r="Q493" s="94">
        <f t="shared" si="143"/>
        <v>59</v>
      </c>
      <c r="R493" s="94">
        <f t="shared" si="144"/>
        <v>22</v>
      </c>
      <c r="S493" s="94" t="str">
        <f>VLOOKUP(O493,'Lookup Values'!$I$2:$L$8,4,TRUE)</f>
        <v>Early Morning</v>
      </c>
      <c r="T493" t="s">
        <v>158</v>
      </c>
      <c r="U493" t="s">
        <v>161</v>
      </c>
      <c r="V493" t="str">
        <f t="shared" si="145"/>
        <v>Income: Gift Received</v>
      </c>
      <c r="W493" t="s">
        <v>164</v>
      </c>
      <c r="X493" t="s">
        <v>91</v>
      </c>
      <c r="Y493" s="1">
        <v>456</v>
      </c>
      <c r="Z493" s="1" t="str">
        <f t="shared" si="146"/>
        <v>Income: $456.00</v>
      </c>
      <c r="AA493" s="1">
        <f>IF(Y493="","",ROUND(Y493*'Lookup Values'!$A$2,2))</f>
        <v>40.47</v>
      </c>
      <c r="AB493" s="12" t="str">
        <f t="shared" si="147"/>
        <v>Income</v>
      </c>
      <c r="AC493" s="2" t="s">
        <v>479</v>
      </c>
      <c r="AD493" s="3">
        <f t="shared" si="148"/>
        <v>39157</v>
      </c>
      <c r="AE493" s="93" t="str">
        <f t="shared" si="149"/>
        <v>NO</v>
      </c>
      <c r="AF493" s="2" t="str">
        <f t="shared" si="150"/>
        <v>NO</v>
      </c>
      <c r="AG493" t="str">
        <f t="shared" si="151"/>
        <v>Late Transaction</v>
      </c>
    </row>
    <row r="494" spans="1:33" x14ac:dyDescent="0.25">
      <c r="A494" s="2">
        <v>493</v>
      </c>
      <c r="B494" s="3" t="str">
        <f t="shared" si="133"/>
        <v>110713-SH-EXP</v>
      </c>
      <c r="C494" s="3">
        <v>40737</v>
      </c>
      <c r="D494" s="3">
        <f t="shared" si="135"/>
        <v>40751</v>
      </c>
      <c r="E494" s="3">
        <f t="shared" si="136"/>
        <v>40799</v>
      </c>
      <c r="F494" s="3">
        <f t="shared" si="137"/>
        <v>40755</v>
      </c>
      <c r="G494" s="76">
        <f t="shared" si="138"/>
        <v>2011</v>
      </c>
      <c r="H494" s="76">
        <f t="shared" si="139"/>
        <v>7</v>
      </c>
      <c r="I494" s="76" t="str">
        <f>VLOOKUP(H494,'Lookup Values'!$C$2:$D$13,2,FALSE)</f>
        <v>JUL</v>
      </c>
      <c r="J494" s="76">
        <f t="shared" si="140"/>
        <v>13</v>
      </c>
      <c r="K494" s="76">
        <f t="shared" si="141"/>
        <v>4</v>
      </c>
      <c r="L494" s="76" t="str">
        <f>VLOOKUP(K494,'Lookup Values'!$F$2:$G$8,2,FALSE)</f>
        <v>Wednesday</v>
      </c>
      <c r="M494" s="3">
        <v>40745</v>
      </c>
      <c r="N494" s="78">
        <f t="shared" si="134"/>
        <v>8</v>
      </c>
      <c r="O494" s="11">
        <v>0.70205344367893208</v>
      </c>
      <c r="P494" s="94">
        <f t="shared" si="142"/>
        <v>16</v>
      </c>
      <c r="Q494" s="94">
        <f t="shared" si="143"/>
        <v>50</v>
      </c>
      <c r="R494" s="94">
        <f t="shared" si="144"/>
        <v>57</v>
      </c>
      <c r="S494" s="94" t="str">
        <f>VLOOKUP(O494,'Lookup Values'!$I$2:$L$8,4,TRUE)</f>
        <v>Afternoon</v>
      </c>
      <c r="T494" t="s">
        <v>83</v>
      </c>
      <c r="U494" t="s">
        <v>103</v>
      </c>
      <c r="V494" t="str">
        <f t="shared" si="145"/>
        <v>Shopping: Clothing</v>
      </c>
      <c r="W494" t="s">
        <v>102</v>
      </c>
      <c r="X494" t="s">
        <v>78</v>
      </c>
      <c r="Y494" s="1">
        <v>374</v>
      </c>
      <c r="Z494" s="1" t="str">
        <f t="shared" si="146"/>
        <v>Shopping: $374.00</v>
      </c>
      <c r="AA494" s="1">
        <f>IF(Y494="","",ROUND(Y494*'Lookup Values'!$A$2,2))</f>
        <v>33.19</v>
      </c>
      <c r="AB494" s="12" t="str">
        <f t="shared" si="147"/>
        <v>Expense</v>
      </c>
      <c r="AC494" s="2" t="s">
        <v>319</v>
      </c>
      <c r="AD494" s="3">
        <f t="shared" si="148"/>
        <v>40737</v>
      </c>
      <c r="AE494" s="93" t="str">
        <f t="shared" si="149"/>
        <v>NO</v>
      </c>
      <c r="AF494" s="2" t="str">
        <f t="shared" si="150"/>
        <v>NO</v>
      </c>
      <c r="AG494" t="str">
        <f t="shared" si="151"/>
        <v>CRAP Transaction</v>
      </c>
    </row>
    <row r="495" spans="1:33" x14ac:dyDescent="0.25">
      <c r="A495" s="2">
        <v>494</v>
      </c>
      <c r="B495" s="3" t="str">
        <f t="shared" si="133"/>
        <v>080210-SH-AMA</v>
      </c>
      <c r="C495" s="3">
        <v>39488</v>
      </c>
      <c r="D495" s="3">
        <f t="shared" si="135"/>
        <v>39500</v>
      </c>
      <c r="E495" s="3">
        <f t="shared" si="136"/>
        <v>39548</v>
      </c>
      <c r="F495" s="3">
        <f t="shared" si="137"/>
        <v>39507</v>
      </c>
      <c r="G495" s="76">
        <f t="shared" si="138"/>
        <v>2008</v>
      </c>
      <c r="H495" s="76">
        <f t="shared" si="139"/>
        <v>2</v>
      </c>
      <c r="I495" s="76" t="str">
        <f>VLOOKUP(H495,'Lookup Values'!$C$2:$D$13,2,FALSE)</f>
        <v>FEB</v>
      </c>
      <c r="J495" s="76">
        <f t="shared" si="140"/>
        <v>10</v>
      </c>
      <c r="K495" s="76">
        <f t="shared" si="141"/>
        <v>1</v>
      </c>
      <c r="L495" s="76" t="str">
        <f>VLOOKUP(K495,'Lookup Values'!$F$2:$G$8,2,FALSE)</f>
        <v>Sunday</v>
      </c>
      <c r="M495" s="3">
        <v>39490</v>
      </c>
      <c r="N495" s="78">
        <f t="shared" si="134"/>
        <v>2</v>
      </c>
      <c r="O495" s="11">
        <v>9.0351989659071097E-2</v>
      </c>
      <c r="P495" s="94">
        <f t="shared" si="142"/>
        <v>2</v>
      </c>
      <c r="Q495" s="94">
        <f t="shared" si="143"/>
        <v>10</v>
      </c>
      <c r="R495" s="94">
        <f t="shared" si="144"/>
        <v>6</v>
      </c>
      <c r="S495" s="94" t="str">
        <f>VLOOKUP(O495,'Lookup Values'!$I$2:$L$8,4,TRUE)</f>
        <v>Dead of Night</v>
      </c>
      <c r="T495" t="s">
        <v>83</v>
      </c>
      <c r="U495" t="s">
        <v>84</v>
      </c>
      <c r="V495" t="str">
        <f t="shared" si="145"/>
        <v>Shopping: Electronics</v>
      </c>
      <c r="W495" t="s">
        <v>82</v>
      </c>
      <c r="X495" t="s">
        <v>78</v>
      </c>
      <c r="Y495" s="1">
        <v>254</v>
      </c>
      <c r="Z495" s="1" t="str">
        <f t="shared" si="146"/>
        <v>Shopping: $254.00</v>
      </c>
      <c r="AA495" s="1">
        <f>IF(Y495="","",ROUND(Y495*'Lookup Values'!$A$2,2))</f>
        <v>22.54</v>
      </c>
      <c r="AB495" s="12" t="str">
        <f t="shared" si="147"/>
        <v>Expense</v>
      </c>
      <c r="AC495" s="2" t="s">
        <v>603</v>
      </c>
      <c r="AD495" s="3">
        <f t="shared" si="148"/>
        <v>39488</v>
      </c>
      <c r="AE495" s="93" t="str">
        <f t="shared" si="149"/>
        <v>YES</v>
      </c>
      <c r="AF495" s="2" t="str">
        <f t="shared" si="150"/>
        <v>NO</v>
      </c>
      <c r="AG495" t="str">
        <f t="shared" si="151"/>
        <v>Awesome Transaction</v>
      </c>
    </row>
    <row r="496" spans="1:33" x14ac:dyDescent="0.25">
      <c r="A496" s="2">
        <v>495</v>
      </c>
      <c r="B496" s="3" t="str">
        <f t="shared" si="133"/>
        <v>100607-SH-AMA</v>
      </c>
      <c r="C496" s="3">
        <v>40336</v>
      </c>
      <c r="D496" s="3">
        <f t="shared" si="135"/>
        <v>40350</v>
      </c>
      <c r="E496" s="3">
        <f t="shared" si="136"/>
        <v>40397</v>
      </c>
      <c r="F496" s="3">
        <f t="shared" si="137"/>
        <v>40359</v>
      </c>
      <c r="G496" s="76">
        <f t="shared" si="138"/>
        <v>2010</v>
      </c>
      <c r="H496" s="76">
        <f t="shared" si="139"/>
        <v>6</v>
      </c>
      <c r="I496" s="76" t="str">
        <f>VLOOKUP(H496,'Lookup Values'!$C$2:$D$13,2,FALSE)</f>
        <v>JUN</v>
      </c>
      <c r="J496" s="76">
        <f t="shared" si="140"/>
        <v>7</v>
      </c>
      <c r="K496" s="76">
        <f t="shared" si="141"/>
        <v>2</v>
      </c>
      <c r="L496" s="76" t="str">
        <f>VLOOKUP(K496,'Lookup Values'!$F$2:$G$8,2,FALSE)</f>
        <v>Monday</v>
      </c>
      <c r="M496" s="3">
        <v>40342</v>
      </c>
      <c r="N496" s="78">
        <f t="shared" si="134"/>
        <v>6</v>
      </c>
      <c r="O496" s="11">
        <v>0.15512502327554067</v>
      </c>
      <c r="P496" s="94">
        <f t="shared" si="142"/>
        <v>3</v>
      </c>
      <c r="Q496" s="94">
        <f t="shared" si="143"/>
        <v>43</v>
      </c>
      <c r="R496" s="94">
        <f t="shared" si="144"/>
        <v>23</v>
      </c>
      <c r="S496" s="94" t="str">
        <f>VLOOKUP(O496,'Lookup Values'!$I$2:$L$8,4,TRUE)</f>
        <v>Dead of Night</v>
      </c>
      <c r="T496" t="s">
        <v>83</v>
      </c>
      <c r="U496" t="s">
        <v>84</v>
      </c>
      <c r="V496" t="str">
        <f t="shared" si="145"/>
        <v>Shopping: Electronics</v>
      </c>
      <c r="W496" t="s">
        <v>82</v>
      </c>
      <c r="X496" t="s">
        <v>78</v>
      </c>
      <c r="Y496" s="1">
        <v>258</v>
      </c>
      <c r="Z496" s="1" t="str">
        <f t="shared" si="146"/>
        <v>Shopping: $258.00</v>
      </c>
      <c r="AA496" s="1">
        <f>IF(Y496="","",ROUND(Y496*'Lookup Values'!$A$2,2))</f>
        <v>22.9</v>
      </c>
      <c r="AB496" s="12" t="str">
        <f t="shared" si="147"/>
        <v>Expense</v>
      </c>
      <c r="AC496" s="2" t="s">
        <v>604</v>
      </c>
      <c r="AD496" s="3">
        <f t="shared" si="148"/>
        <v>40336</v>
      </c>
      <c r="AE496" s="93" t="str">
        <f t="shared" si="149"/>
        <v>YES</v>
      </c>
      <c r="AF496" s="2" t="str">
        <f t="shared" si="150"/>
        <v>NO</v>
      </c>
      <c r="AG496" t="str">
        <f t="shared" si="151"/>
        <v>Late Transaction</v>
      </c>
    </row>
    <row r="497" spans="1:33" x14ac:dyDescent="0.25">
      <c r="A497" s="2">
        <v>496</v>
      </c>
      <c r="B497" s="3" t="str">
        <f t="shared" si="133"/>
        <v>090124-ED-ANT</v>
      </c>
      <c r="C497" s="3">
        <v>39837</v>
      </c>
      <c r="D497" s="3">
        <f t="shared" si="135"/>
        <v>39850</v>
      </c>
      <c r="E497" s="3">
        <f t="shared" si="136"/>
        <v>39896</v>
      </c>
      <c r="F497" s="3">
        <f t="shared" si="137"/>
        <v>39844</v>
      </c>
      <c r="G497" s="76">
        <f t="shared" si="138"/>
        <v>2009</v>
      </c>
      <c r="H497" s="76">
        <f t="shared" si="139"/>
        <v>1</v>
      </c>
      <c r="I497" s="76" t="str">
        <f>VLOOKUP(H497,'Lookup Values'!$C$2:$D$13,2,FALSE)</f>
        <v>JAN</v>
      </c>
      <c r="J497" s="76">
        <f t="shared" si="140"/>
        <v>24</v>
      </c>
      <c r="K497" s="76">
        <f t="shared" si="141"/>
        <v>7</v>
      </c>
      <c r="L497" s="76" t="str">
        <f>VLOOKUP(K497,'Lookup Values'!$F$2:$G$8,2,FALSE)</f>
        <v>Saturday</v>
      </c>
      <c r="M497" s="3">
        <v>39844</v>
      </c>
      <c r="N497" s="78">
        <f t="shared" si="134"/>
        <v>7</v>
      </c>
      <c r="O497" s="11">
        <v>0.32591563516266964</v>
      </c>
      <c r="P497" s="94">
        <f t="shared" si="142"/>
        <v>7</v>
      </c>
      <c r="Q497" s="94">
        <f t="shared" si="143"/>
        <v>49</v>
      </c>
      <c r="R497" s="94">
        <f t="shared" si="144"/>
        <v>19</v>
      </c>
      <c r="S497" s="94" t="str">
        <f>VLOOKUP(O497,'Lookup Values'!$I$2:$L$8,4,TRUE)</f>
        <v>Morning</v>
      </c>
      <c r="T497" t="s">
        <v>86</v>
      </c>
      <c r="U497" t="s">
        <v>87</v>
      </c>
      <c r="V497" t="str">
        <f t="shared" si="145"/>
        <v>Education: Tango Lessons</v>
      </c>
      <c r="W497" t="s">
        <v>85</v>
      </c>
      <c r="X497" t="s">
        <v>78</v>
      </c>
      <c r="Y497" s="1">
        <v>195</v>
      </c>
      <c r="Z497" s="1" t="str">
        <f t="shared" si="146"/>
        <v>Education: $195.00</v>
      </c>
      <c r="AA497" s="1">
        <f>IF(Y497="","",ROUND(Y497*'Lookup Values'!$A$2,2))</f>
        <v>17.309999999999999</v>
      </c>
      <c r="AB497" s="12" t="str">
        <f t="shared" si="147"/>
        <v>Expense</v>
      </c>
      <c r="AC497" s="2" t="s">
        <v>553</v>
      </c>
      <c r="AD497" s="3">
        <f t="shared" si="148"/>
        <v>39837</v>
      </c>
      <c r="AE497" s="93" t="str">
        <f t="shared" si="149"/>
        <v>NO</v>
      </c>
      <c r="AF497" s="2" t="str">
        <f t="shared" si="150"/>
        <v>NO</v>
      </c>
      <c r="AG497" t="str">
        <f t="shared" si="151"/>
        <v>Late Transaction</v>
      </c>
    </row>
    <row r="498" spans="1:33" x14ac:dyDescent="0.25">
      <c r="A498" s="2">
        <v>497</v>
      </c>
      <c r="B498" s="3" t="str">
        <f t="shared" si="133"/>
        <v>070420-ED-ANT</v>
      </c>
      <c r="C498" s="3">
        <v>39192</v>
      </c>
      <c r="D498" s="3">
        <f t="shared" si="135"/>
        <v>39206</v>
      </c>
      <c r="E498" s="3">
        <f t="shared" si="136"/>
        <v>39253</v>
      </c>
      <c r="F498" s="3">
        <f t="shared" si="137"/>
        <v>39202</v>
      </c>
      <c r="G498" s="76">
        <f t="shared" si="138"/>
        <v>2007</v>
      </c>
      <c r="H498" s="76">
        <f t="shared" si="139"/>
        <v>4</v>
      </c>
      <c r="I498" s="76" t="str">
        <f>VLOOKUP(H498,'Lookup Values'!$C$2:$D$13,2,FALSE)</f>
        <v>APR</v>
      </c>
      <c r="J498" s="76">
        <f t="shared" si="140"/>
        <v>20</v>
      </c>
      <c r="K498" s="76">
        <f t="shared" si="141"/>
        <v>6</v>
      </c>
      <c r="L498" s="76" t="str">
        <f>VLOOKUP(K498,'Lookup Values'!$F$2:$G$8,2,FALSE)</f>
        <v>Friday</v>
      </c>
      <c r="M498" s="3">
        <v>39199</v>
      </c>
      <c r="N498" s="78">
        <f t="shared" si="134"/>
        <v>7</v>
      </c>
      <c r="O498" s="11">
        <v>0.30091238068163251</v>
      </c>
      <c r="P498" s="94">
        <f t="shared" si="142"/>
        <v>7</v>
      </c>
      <c r="Q498" s="94">
        <f t="shared" si="143"/>
        <v>13</v>
      </c>
      <c r="R498" s="94">
        <f t="shared" si="144"/>
        <v>19</v>
      </c>
      <c r="S498" s="94" t="str">
        <f>VLOOKUP(O498,'Lookup Values'!$I$2:$L$8,4,TRUE)</f>
        <v>Morning</v>
      </c>
      <c r="T498" t="s">
        <v>86</v>
      </c>
      <c r="U498" t="s">
        <v>87</v>
      </c>
      <c r="V498" t="str">
        <f t="shared" si="145"/>
        <v>Education: Tango Lessons</v>
      </c>
      <c r="W498" t="s">
        <v>85</v>
      </c>
      <c r="X498" t="s">
        <v>88</v>
      </c>
      <c r="Y498" s="1">
        <v>461</v>
      </c>
      <c r="Z498" s="1" t="str">
        <f t="shared" si="146"/>
        <v>Education: $461.00</v>
      </c>
      <c r="AA498" s="1">
        <f>IF(Y498="","",ROUND(Y498*'Lookup Values'!$A$2,2))</f>
        <v>40.909999999999997</v>
      </c>
      <c r="AB498" s="12" t="str">
        <f t="shared" si="147"/>
        <v>Expense</v>
      </c>
      <c r="AC498" s="2" t="s">
        <v>605</v>
      </c>
      <c r="AD498" s="3">
        <f t="shared" si="148"/>
        <v>39192</v>
      </c>
      <c r="AE498" s="93" t="str">
        <f t="shared" si="149"/>
        <v>NO</v>
      </c>
      <c r="AF498" s="2" t="str">
        <f t="shared" si="150"/>
        <v>NO</v>
      </c>
      <c r="AG498" t="str">
        <f t="shared" si="151"/>
        <v>Late Transaction</v>
      </c>
    </row>
    <row r="499" spans="1:33" x14ac:dyDescent="0.25">
      <c r="A499" s="2">
        <v>498</v>
      </c>
      <c r="B499" s="3" t="str">
        <f t="shared" si="133"/>
        <v>070405-SH-AMA</v>
      </c>
      <c r="C499" s="3">
        <v>39177</v>
      </c>
      <c r="D499" s="3">
        <f t="shared" si="135"/>
        <v>39191</v>
      </c>
      <c r="E499" s="3">
        <f t="shared" si="136"/>
        <v>39238</v>
      </c>
      <c r="F499" s="3">
        <f t="shared" si="137"/>
        <v>39202</v>
      </c>
      <c r="G499" s="76">
        <f t="shared" si="138"/>
        <v>2007</v>
      </c>
      <c r="H499" s="76">
        <f t="shared" si="139"/>
        <v>4</v>
      </c>
      <c r="I499" s="76" t="str">
        <f>VLOOKUP(H499,'Lookup Values'!$C$2:$D$13,2,FALSE)</f>
        <v>APR</v>
      </c>
      <c r="J499" s="76">
        <f t="shared" si="140"/>
        <v>5</v>
      </c>
      <c r="K499" s="76">
        <f t="shared" si="141"/>
        <v>5</v>
      </c>
      <c r="L499" s="76" t="str">
        <f>VLOOKUP(K499,'Lookup Values'!$F$2:$G$8,2,FALSE)</f>
        <v>Thursday</v>
      </c>
      <c r="M499" s="3">
        <v>39183</v>
      </c>
      <c r="N499" s="78">
        <f t="shared" si="134"/>
        <v>6</v>
      </c>
      <c r="O499" s="11">
        <v>0.79537679222730617</v>
      </c>
      <c r="P499" s="94">
        <f t="shared" si="142"/>
        <v>19</v>
      </c>
      <c r="Q499" s="94">
        <f t="shared" si="143"/>
        <v>5</v>
      </c>
      <c r="R499" s="94">
        <f t="shared" si="144"/>
        <v>21</v>
      </c>
      <c r="S499" s="94" t="str">
        <f>VLOOKUP(O499,'Lookup Values'!$I$2:$L$8,4,TRUE)</f>
        <v>Evening</v>
      </c>
      <c r="T499" t="s">
        <v>83</v>
      </c>
      <c r="U499" t="s">
        <v>84</v>
      </c>
      <c r="V499" t="str">
        <f t="shared" si="145"/>
        <v>Shopping: Electronics</v>
      </c>
      <c r="W499" t="s">
        <v>82</v>
      </c>
      <c r="X499" t="s">
        <v>91</v>
      </c>
      <c r="Y499" s="1">
        <v>497</v>
      </c>
      <c r="Z499" s="1" t="str">
        <f t="shared" si="146"/>
        <v>Shopping: $497.00</v>
      </c>
      <c r="AA499" s="1">
        <f>IF(Y499="","",ROUND(Y499*'Lookup Values'!$A$2,2))</f>
        <v>44.11</v>
      </c>
      <c r="AB499" s="12" t="str">
        <f t="shared" si="147"/>
        <v>Expense</v>
      </c>
      <c r="AC499" s="2" t="s">
        <v>606</v>
      </c>
      <c r="AD499" s="3">
        <f t="shared" si="148"/>
        <v>39177</v>
      </c>
      <c r="AE499" s="93" t="str">
        <f t="shared" si="149"/>
        <v>YES</v>
      </c>
      <c r="AF499" s="2" t="str">
        <f t="shared" si="150"/>
        <v>YES</v>
      </c>
      <c r="AG499" t="str">
        <f t="shared" si="151"/>
        <v>Awesome Transaction</v>
      </c>
    </row>
    <row r="500" spans="1:33" x14ac:dyDescent="0.25">
      <c r="A500" s="2">
        <v>499</v>
      </c>
      <c r="B500" s="3" t="str">
        <f t="shared" si="133"/>
        <v>110611-SH-EXP</v>
      </c>
      <c r="C500" s="3">
        <v>40705</v>
      </c>
      <c r="D500" s="3">
        <f t="shared" si="135"/>
        <v>40718</v>
      </c>
      <c r="E500" s="3">
        <f t="shared" si="136"/>
        <v>40766</v>
      </c>
      <c r="F500" s="3">
        <f t="shared" si="137"/>
        <v>40724</v>
      </c>
      <c r="G500" s="76">
        <f t="shared" si="138"/>
        <v>2011</v>
      </c>
      <c r="H500" s="76">
        <f t="shared" si="139"/>
        <v>6</v>
      </c>
      <c r="I500" s="76" t="str">
        <f>VLOOKUP(H500,'Lookup Values'!$C$2:$D$13,2,FALSE)</f>
        <v>JUN</v>
      </c>
      <c r="J500" s="76">
        <f t="shared" si="140"/>
        <v>11</v>
      </c>
      <c r="K500" s="76">
        <f t="shared" si="141"/>
        <v>7</v>
      </c>
      <c r="L500" s="76" t="str">
        <f>VLOOKUP(K500,'Lookup Values'!$F$2:$G$8,2,FALSE)</f>
        <v>Saturday</v>
      </c>
      <c r="M500" s="3">
        <v>40708</v>
      </c>
      <c r="N500" s="78">
        <f t="shared" si="134"/>
        <v>3</v>
      </c>
      <c r="O500" s="11">
        <v>0.68765256415350406</v>
      </c>
      <c r="P500" s="94">
        <f t="shared" si="142"/>
        <v>16</v>
      </c>
      <c r="Q500" s="94">
        <f t="shared" si="143"/>
        <v>30</v>
      </c>
      <c r="R500" s="94">
        <f t="shared" si="144"/>
        <v>13</v>
      </c>
      <c r="S500" s="94" t="str">
        <f>VLOOKUP(O500,'Lookup Values'!$I$2:$L$8,4,TRUE)</f>
        <v>Afternoon</v>
      </c>
      <c r="T500" t="s">
        <v>83</v>
      </c>
      <c r="U500" t="s">
        <v>103</v>
      </c>
      <c r="V500" t="str">
        <f t="shared" si="145"/>
        <v>Shopping: Clothing</v>
      </c>
      <c r="W500" t="s">
        <v>102</v>
      </c>
      <c r="X500" t="s">
        <v>88</v>
      </c>
      <c r="Y500" s="1">
        <v>163</v>
      </c>
      <c r="Z500" s="1" t="str">
        <f t="shared" si="146"/>
        <v>Shopping: $163.00</v>
      </c>
      <c r="AA500" s="1">
        <f>IF(Y500="","",ROUND(Y500*'Lookup Values'!$A$2,2))</f>
        <v>14.47</v>
      </c>
      <c r="AB500" s="12" t="str">
        <f t="shared" si="147"/>
        <v>Expense</v>
      </c>
      <c r="AC500" s="2" t="s">
        <v>607</v>
      </c>
      <c r="AD500" s="3">
        <f t="shared" si="148"/>
        <v>40705</v>
      </c>
      <c r="AE500" s="93" t="str">
        <f t="shared" si="149"/>
        <v>NO</v>
      </c>
      <c r="AF500" s="2" t="str">
        <f t="shared" si="150"/>
        <v>NO</v>
      </c>
      <c r="AG500" t="str">
        <f t="shared" si="151"/>
        <v>CRAP Transaction</v>
      </c>
    </row>
    <row r="501" spans="1:33" x14ac:dyDescent="0.25">
      <c r="A501" s="2">
        <v>500</v>
      </c>
      <c r="B501" s="3" t="str">
        <f t="shared" si="133"/>
        <v>120719-EN-FAN</v>
      </c>
      <c r="C501" s="3">
        <v>41109</v>
      </c>
      <c r="D501" s="3">
        <f t="shared" si="135"/>
        <v>41123</v>
      </c>
      <c r="E501" s="3">
        <f t="shared" si="136"/>
        <v>41171</v>
      </c>
      <c r="F501" s="3">
        <f t="shared" si="137"/>
        <v>41121</v>
      </c>
      <c r="G501" s="76">
        <f t="shared" si="138"/>
        <v>2012</v>
      </c>
      <c r="H501" s="76">
        <f t="shared" si="139"/>
        <v>7</v>
      </c>
      <c r="I501" s="76" t="str">
        <f>VLOOKUP(H501,'Lookup Values'!$C$2:$D$13,2,FALSE)</f>
        <v>JUL</v>
      </c>
      <c r="J501" s="76">
        <f t="shared" si="140"/>
        <v>19</v>
      </c>
      <c r="K501" s="76">
        <f t="shared" si="141"/>
        <v>5</v>
      </c>
      <c r="L501" s="76" t="str">
        <f>VLOOKUP(K501,'Lookup Values'!$F$2:$G$8,2,FALSE)</f>
        <v>Thursday</v>
      </c>
      <c r="M501" s="3">
        <v>41114</v>
      </c>
      <c r="N501" s="78">
        <f t="shared" si="134"/>
        <v>5</v>
      </c>
      <c r="O501" s="11">
        <v>0.38735749384868801</v>
      </c>
      <c r="P501" s="94">
        <f t="shared" si="142"/>
        <v>9</v>
      </c>
      <c r="Q501" s="94">
        <f t="shared" si="143"/>
        <v>17</v>
      </c>
      <c r="R501" s="94">
        <f t="shared" si="144"/>
        <v>48</v>
      </c>
      <c r="S501" s="94" t="str">
        <f>VLOOKUP(O501,'Lookup Values'!$I$2:$L$8,4,TRUE)</f>
        <v>Morning</v>
      </c>
      <c r="T501" t="s">
        <v>76</v>
      </c>
      <c r="U501" t="s">
        <v>90</v>
      </c>
      <c r="V501" t="str">
        <f t="shared" si="145"/>
        <v>Entertainment: Movies</v>
      </c>
      <c r="W501" t="s">
        <v>89</v>
      </c>
      <c r="X501" t="s">
        <v>91</v>
      </c>
      <c r="Y501" s="1">
        <v>125</v>
      </c>
      <c r="Z501" s="1" t="str">
        <f t="shared" si="146"/>
        <v>Entertainment: $125.00</v>
      </c>
      <c r="AA501" s="1">
        <f>IF(Y501="","",ROUND(Y501*'Lookup Values'!$A$2,2))</f>
        <v>11.09</v>
      </c>
      <c r="AB501" s="12" t="str">
        <f t="shared" si="147"/>
        <v>Expense</v>
      </c>
      <c r="AC501" s="2" t="s">
        <v>421</v>
      </c>
      <c r="AD501" s="3">
        <f t="shared" si="148"/>
        <v>41109</v>
      </c>
      <c r="AE501" s="93" t="str">
        <f t="shared" si="149"/>
        <v>NO</v>
      </c>
      <c r="AF501" s="2" t="str">
        <f t="shared" si="150"/>
        <v>NO</v>
      </c>
      <c r="AG501" t="str">
        <f t="shared" si="151"/>
        <v>CRAP Transaction</v>
      </c>
    </row>
    <row r="502" spans="1:33" x14ac:dyDescent="0.25">
      <c r="A502" s="2">
        <v>501</v>
      </c>
      <c r="B502" s="3" t="str">
        <f t="shared" si="133"/>
        <v>110127-FO-CIT</v>
      </c>
      <c r="C502" s="3">
        <v>40570</v>
      </c>
      <c r="D502" s="3">
        <f t="shared" si="135"/>
        <v>40584</v>
      </c>
      <c r="E502" s="3">
        <f t="shared" si="136"/>
        <v>40629</v>
      </c>
      <c r="F502" s="3">
        <f t="shared" si="137"/>
        <v>40574</v>
      </c>
      <c r="G502" s="76">
        <f t="shared" si="138"/>
        <v>2011</v>
      </c>
      <c r="H502" s="76">
        <f t="shared" si="139"/>
        <v>1</v>
      </c>
      <c r="I502" s="76" t="str">
        <f>VLOOKUP(H502,'Lookup Values'!$C$2:$D$13,2,FALSE)</f>
        <v>JAN</v>
      </c>
      <c r="J502" s="76">
        <f t="shared" si="140"/>
        <v>27</v>
      </c>
      <c r="K502" s="76">
        <f t="shared" si="141"/>
        <v>5</v>
      </c>
      <c r="L502" s="76" t="str">
        <f>VLOOKUP(K502,'Lookup Values'!$F$2:$G$8,2,FALSE)</f>
        <v>Thursday</v>
      </c>
      <c r="M502" s="3">
        <v>40575</v>
      </c>
      <c r="N502" s="78">
        <f t="shared" si="134"/>
        <v>5</v>
      </c>
      <c r="O502" s="11">
        <v>0.8932729054029408</v>
      </c>
      <c r="P502" s="94">
        <f t="shared" si="142"/>
        <v>21</v>
      </c>
      <c r="Q502" s="94">
        <f t="shared" si="143"/>
        <v>26</v>
      </c>
      <c r="R502" s="94">
        <f t="shared" si="144"/>
        <v>19</v>
      </c>
      <c r="S502" s="94" t="str">
        <f>VLOOKUP(O502,'Lookup Values'!$I$2:$L$8,4,TRUE)</f>
        <v>Late Evening</v>
      </c>
      <c r="T502" t="s">
        <v>80</v>
      </c>
      <c r="U502" t="s">
        <v>105</v>
      </c>
      <c r="V502" t="str">
        <f t="shared" si="145"/>
        <v>Food: Coffee</v>
      </c>
      <c r="W502" t="s">
        <v>104</v>
      </c>
      <c r="X502" t="s">
        <v>88</v>
      </c>
      <c r="Y502" s="1">
        <v>153</v>
      </c>
      <c r="Z502" s="1" t="str">
        <f t="shared" si="146"/>
        <v>Food: $153.00</v>
      </c>
      <c r="AA502" s="1">
        <f>IF(Y502="","",ROUND(Y502*'Lookup Values'!$A$2,2))</f>
        <v>13.58</v>
      </c>
      <c r="AB502" s="12" t="str">
        <f t="shared" si="147"/>
        <v>Expense</v>
      </c>
      <c r="AC502" s="2" t="s">
        <v>608</v>
      </c>
      <c r="AD502" s="3">
        <f t="shared" si="148"/>
        <v>40570</v>
      </c>
      <c r="AE502" s="93" t="str">
        <f t="shared" si="149"/>
        <v>NO</v>
      </c>
      <c r="AF502" s="2" t="str">
        <f t="shared" si="150"/>
        <v>NO</v>
      </c>
      <c r="AG502" t="str">
        <f t="shared" si="151"/>
        <v>CRAP Transaction</v>
      </c>
    </row>
    <row r="503" spans="1:33" x14ac:dyDescent="0.25">
      <c r="A503" s="2">
        <v>502</v>
      </c>
      <c r="B503" s="3" t="str">
        <f t="shared" si="133"/>
        <v>110626-FO-TRA</v>
      </c>
      <c r="C503" s="3">
        <v>40720</v>
      </c>
      <c r="D503" s="3">
        <f t="shared" si="135"/>
        <v>40732</v>
      </c>
      <c r="E503" s="3">
        <f t="shared" si="136"/>
        <v>40781</v>
      </c>
      <c r="F503" s="3">
        <f t="shared" si="137"/>
        <v>40724</v>
      </c>
      <c r="G503" s="76">
        <f t="shared" si="138"/>
        <v>2011</v>
      </c>
      <c r="H503" s="76">
        <f t="shared" si="139"/>
        <v>6</v>
      </c>
      <c r="I503" s="76" t="str">
        <f>VLOOKUP(H503,'Lookup Values'!$C$2:$D$13,2,FALSE)</f>
        <v>JUN</v>
      </c>
      <c r="J503" s="76">
        <f t="shared" si="140"/>
        <v>26</v>
      </c>
      <c r="K503" s="76">
        <f t="shared" si="141"/>
        <v>1</v>
      </c>
      <c r="L503" s="76" t="str">
        <f>VLOOKUP(K503,'Lookup Values'!$F$2:$G$8,2,FALSE)</f>
        <v>Sunday</v>
      </c>
      <c r="M503" s="3">
        <v>40723</v>
      </c>
      <c r="N503" s="78">
        <f t="shared" si="134"/>
        <v>3</v>
      </c>
      <c r="O503" s="11">
        <v>0.9035506681853237</v>
      </c>
      <c r="P503" s="94">
        <f t="shared" si="142"/>
        <v>21</v>
      </c>
      <c r="Q503" s="94">
        <f t="shared" si="143"/>
        <v>41</v>
      </c>
      <c r="R503" s="94">
        <f t="shared" si="144"/>
        <v>7</v>
      </c>
      <c r="S503" s="94" t="str">
        <f>VLOOKUP(O503,'Lookup Values'!$I$2:$L$8,4,TRUE)</f>
        <v>Late Evening</v>
      </c>
      <c r="T503" t="s">
        <v>80</v>
      </c>
      <c r="U503" t="s">
        <v>93</v>
      </c>
      <c r="V503" t="str">
        <f t="shared" si="145"/>
        <v>Food: Groceries</v>
      </c>
      <c r="W503" t="s">
        <v>92</v>
      </c>
      <c r="X503" t="s">
        <v>91</v>
      </c>
      <c r="Y503" s="1">
        <v>129</v>
      </c>
      <c r="Z503" s="1" t="str">
        <f t="shared" si="146"/>
        <v>Food: $129.00</v>
      </c>
      <c r="AA503" s="1">
        <f>IF(Y503="","",ROUND(Y503*'Lookup Values'!$A$2,2))</f>
        <v>11.45</v>
      </c>
      <c r="AB503" s="12" t="str">
        <f t="shared" si="147"/>
        <v>Expense</v>
      </c>
      <c r="AC503" s="2" t="s">
        <v>339</v>
      </c>
      <c r="AD503" s="3">
        <f t="shared" si="148"/>
        <v>40720</v>
      </c>
      <c r="AE503" s="93" t="str">
        <f t="shared" si="149"/>
        <v>NO</v>
      </c>
      <c r="AF503" s="2" t="str">
        <f t="shared" si="150"/>
        <v>NO</v>
      </c>
      <c r="AG503" t="str">
        <f t="shared" si="151"/>
        <v>CRAP Transaction</v>
      </c>
    </row>
    <row r="504" spans="1:33" x14ac:dyDescent="0.25">
      <c r="A504" s="2">
        <v>503</v>
      </c>
      <c r="B504" s="3" t="str">
        <f t="shared" si="133"/>
        <v>100506-EN-FAN</v>
      </c>
      <c r="C504" s="3">
        <v>40304</v>
      </c>
      <c r="D504" s="3">
        <f t="shared" si="135"/>
        <v>40318</v>
      </c>
      <c r="E504" s="3">
        <f t="shared" si="136"/>
        <v>40365</v>
      </c>
      <c r="F504" s="3">
        <f t="shared" si="137"/>
        <v>40329</v>
      </c>
      <c r="G504" s="76">
        <f t="shared" si="138"/>
        <v>2010</v>
      </c>
      <c r="H504" s="76">
        <f t="shared" si="139"/>
        <v>5</v>
      </c>
      <c r="I504" s="76" t="str">
        <f>VLOOKUP(H504,'Lookup Values'!$C$2:$D$13,2,FALSE)</f>
        <v>MAY</v>
      </c>
      <c r="J504" s="76">
        <f t="shared" si="140"/>
        <v>6</v>
      </c>
      <c r="K504" s="76">
        <f t="shared" si="141"/>
        <v>5</v>
      </c>
      <c r="L504" s="76" t="str">
        <f>VLOOKUP(K504,'Lookup Values'!$F$2:$G$8,2,FALSE)</f>
        <v>Thursday</v>
      </c>
      <c r="M504" s="3">
        <v>40305</v>
      </c>
      <c r="N504" s="78">
        <f t="shared" si="134"/>
        <v>1</v>
      </c>
      <c r="O504" s="11">
        <v>0.78615607459933334</v>
      </c>
      <c r="P504" s="94">
        <f t="shared" si="142"/>
        <v>18</v>
      </c>
      <c r="Q504" s="94">
        <f t="shared" si="143"/>
        <v>52</v>
      </c>
      <c r="R504" s="94">
        <f t="shared" si="144"/>
        <v>4</v>
      </c>
      <c r="S504" s="94" t="str">
        <f>VLOOKUP(O504,'Lookup Values'!$I$2:$L$8,4,TRUE)</f>
        <v>Evening</v>
      </c>
      <c r="T504" t="s">
        <v>76</v>
      </c>
      <c r="U504" t="s">
        <v>90</v>
      </c>
      <c r="V504" t="str">
        <f t="shared" si="145"/>
        <v>Entertainment: Movies</v>
      </c>
      <c r="W504" t="s">
        <v>89</v>
      </c>
      <c r="X504" t="s">
        <v>88</v>
      </c>
      <c r="Y504" s="1">
        <v>466</v>
      </c>
      <c r="Z504" s="1" t="str">
        <f t="shared" si="146"/>
        <v>Entertainment: $466.00</v>
      </c>
      <c r="AA504" s="1">
        <f>IF(Y504="","",ROUND(Y504*'Lookup Values'!$A$2,2))</f>
        <v>41.36</v>
      </c>
      <c r="AB504" s="12" t="str">
        <f t="shared" si="147"/>
        <v>Expense</v>
      </c>
      <c r="AC504" s="2" t="s">
        <v>609</v>
      </c>
      <c r="AD504" s="3">
        <f t="shared" si="148"/>
        <v>40304</v>
      </c>
      <c r="AE504" s="93" t="str">
        <f t="shared" si="149"/>
        <v>NO</v>
      </c>
      <c r="AF504" s="2" t="str">
        <f t="shared" si="150"/>
        <v>NO</v>
      </c>
      <c r="AG504" t="str">
        <f t="shared" si="151"/>
        <v>Late Transaction</v>
      </c>
    </row>
    <row r="505" spans="1:33" x14ac:dyDescent="0.25">
      <c r="A505" s="2">
        <v>504</v>
      </c>
      <c r="B505" s="3" t="str">
        <f t="shared" si="133"/>
        <v>110328-HE-FRE</v>
      </c>
      <c r="C505" s="3">
        <v>40630</v>
      </c>
      <c r="D505" s="3">
        <f t="shared" si="135"/>
        <v>40644</v>
      </c>
      <c r="E505" s="3">
        <f t="shared" si="136"/>
        <v>40691</v>
      </c>
      <c r="F505" s="3">
        <f t="shared" si="137"/>
        <v>40633</v>
      </c>
      <c r="G505" s="76">
        <f t="shared" si="138"/>
        <v>2011</v>
      </c>
      <c r="H505" s="76">
        <f t="shared" si="139"/>
        <v>3</v>
      </c>
      <c r="I505" s="76" t="str">
        <f>VLOOKUP(H505,'Lookup Values'!$C$2:$D$13,2,FALSE)</f>
        <v>MAR</v>
      </c>
      <c r="J505" s="76">
        <f t="shared" si="140"/>
        <v>28</v>
      </c>
      <c r="K505" s="76">
        <f t="shared" si="141"/>
        <v>2</v>
      </c>
      <c r="L505" s="76" t="str">
        <f>VLOOKUP(K505,'Lookup Values'!$F$2:$G$8,2,FALSE)</f>
        <v>Monday</v>
      </c>
      <c r="M505" s="3">
        <v>40634</v>
      </c>
      <c r="N505" s="78">
        <f t="shared" si="134"/>
        <v>4</v>
      </c>
      <c r="O505" s="11">
        <v>0.8046280384332507</v>
      </c>
      <c r="P505" s="94">
        <f t="shared" si="142"/>
        <v>19</v>
      </c>
      <c r="Q505" s="94">
        <f t="shared" si="143"/>
        <v>18</v>
      </c>
      <c r="R505" s="94">
        <f t="shared" si="144"/>
        <v>40</v>
      </c>
      <c r="S505" s="94" t="str">
        <f>VLOOKUP(O505,'Lookup Values'!$I$2:$L$8,4,TRUE)</f>
        <v>Evening</v>
      </c>
      <c r="T505" t="s">
        <v>107</v>
      </c>
      <c r="U505" t="s">
        <v>108</v>
      </c>
      <c r="V505" t="str">
        <f t="shared" si="145"/>
        <v>Health: Insurance Premium</v>
      </c>
      <c r="W505" t="s">
        <v>106</v>
      </c>
      <c r="X505" t="s">
        <v>78</v>
      </c>
      <c r="Y505" s="1">
        <v>120</v>
      </c>
      <c r="Z505" s="1" t="str">
        <f t="shared" si="146"/>
        <v>Health: $120.00</v>
      </c>
      <c r="AA505" s="1">
        <f>IF(Y505="","",ROUND(Y505*'Lookup Values'!$A$2,2))</f>
        <v>10.65</v>
      </c>
      <c r="AB505" s="12" t="str">
        <f t="shared" si="147"/>
        <v>Expense</v>
      </c>
      <c r="AC505" s="2" t="s">
        <v>610</v>
      </c>
      <c r="AD505" s="3">
        <f t="shared" si="148"/>
        <v>40630</v>
      </c>
      <c r="AE505" s="93" t="str">
        <f t="shared" si="149"/>
        <v>NO</v>
      </c>
      <c r="AF505" s="2" t="str">
        <f t="shared" si="150"/>
        <v>NO</v>
      </c>
      <c r="AG505" t="str">
        <f t="shared" si="151"/>
        <v>CRAP Transaction</v>
      </c>
    </row>
    <row r="506" spans="1:33" x14ac:dyDescent="0.25">
      <c r="A506" s="2">
        <v>505</v>
      </c>
      <c r="B506" s="3" t="str">
        <f t="shared" si="133"/>
        <v>080905-EN-FAN</v>
      </c>
      <c r="C506" s="3">
        <v>39696</v>
      </c>
      <c r="D506" s="3">
        <f t="shared" si="135"/>
        <v>39710</v>
      </c>
      <c r="E506" s="3">
        <f t="shared" si="136"/>
        <v>39757</v>
      </c>
      <c r="F506" s="3">
        <f t="shared" si="137"/>
        <v>39721</v>
      </c>
      <c r="G506" s="76">
        <f t="shared" si="138"/>
        <v>2008</v>
      </c>
      <c r="H506" s="76">
        <f t="shared" si="139"/>
        <v>9</v>
      </c>
      <c r="I506" s="76" t="str">
        <f>VLOOKUP(H506,'Lookup Values'!$C$2:$D$13,2,FALSE)</f>
        <v>SEP</v>
      </c>
      <c r="J506" s="76">
        <f t="shared" si="140"/>
        <v>5</v>
      </c>
      <c r="K506" s="76">
        <f t="shared" si="141"/>
        <v>6</v>
      </c>
      <c r="L506" s="76" t="str">
        <f>VLOOKUP(K506,'Lookup Values'!$F$2:$G$8,2,FALSE)</f>
        <v>Friday</v>
      </c>
      <c r="M506" s="3">
        <v>39702</v>
      </c>
      <c r="N506" s="78">
        <f t="shared" si="134"/>
        <v>6</v>
      </c>
      <c r="O506" s="11">
        <v>0.88928561624839375</v>
      </c>
      <c r="P506" s="94">
        <f t="shared" si="142"/>
        <v>21</v>
      </c>
      <c r="Q506" s="94">
        <f t="shared" si="143"/>
        <v>20</v>
      </c>
      <c r="R506" s="94">
        <f t="shared" si="144"/>
        <v>34</v>
      </c>
      <c r="S506" s="94" t="str">
        <f>VLOOKUP(O506,'Lookup Values'!$I$2:$L$8,4,TRUE)</f>
        <v>Late Evening</v>
      </c>
      <c r="T506" t="s">
        <v>76</v>
      </c>
      <c r="U506" t="s">
        <v>90</v>
      </c>
      <c r="V506" t="str">
        <f t="shared" si="145"/>
        <v>Entertainment: Movies</v>
      </c>
      <c r="W506" t="s">
        <v>89</v>
      </c>
      <c r="X506" t="s">
        <v>78</v>
      </c>
      <c r="Y506" s="1">
        <v>244</v>
      </c>
      <c r="Z506" s="1" t="str">
        <f t="shared" si="146"/>
        <v>Entertainment: $244.00</v>
      </c>
      <c r="AA506" s="1">
        <f>IF(Y506="","",ROUND(Y506*'Lookup Values'!$A$2,2))</f>
        <v>21.66</v>
      </c>
      <c r="AB506" s="12" t="str">
        <f t="shared" si="147"/>
        <v>Expense</v>
      </c>
      <c r="AC506" s="2" t="s">
        <v>611</v>
      </c>
      <c r="AD506" s="3">
        <f t="shared" si="148"/>
        <v>39696</v>
      </c>
      <c r="AE506" s="93" t="str">
        <f t="shared" si="149"/>
        <v>NO</v>
      </c>
      <c r="AF506" s="2" t="str">
        <f t="shared" si="150"/>
        <v>NO</v>
      </c>
      <c r="AG506" t="str">
        <f t="shared" si="151"/>
        <v>Awesome Transaction</v>
      </c>
    </row>
    <row r="507" spans="1:33" x14ac:dyDescent="0.25">
      <c r="A507" s="2">
        <v>506</v>
      </c>
      <c r="B507" s="3" t="str">
        <f t="shared" si="133"/>
        <v>100218-IN-AUN</v>
      </c>
      <c r="C507" s="3">
        <v>40227</v>
      </c>
      <c r="D507" s="3">
        <f t="shared" si="135"/>
        <v>40241</v>
      </c>
      <c r="E507" s="3">
        <f t="shared" si="136"/>
        <v>40286</v>
      </c>
      <c r="F507" s="3">
        <f t="shared" si="137"/>
        <v>40237</v>
      </c>
      <c r="G507" s="76">
        <f t="shared" si="138"/>
        <v>2010</v>
      </c>
      <c r="H507" s="76">
        <f t="shared" si="139"/>
        <v>2</v>
      </c>
      <c r="I507" s="76" t="str">
        <f>VLOOKUP(H507,'Lookup Values'!$C$2:$D$13,2,FALSE)</f>
        <v>FEB</v>
      </c>
      <c r="J507" s="76">
        <f t="shared" si="140"/>
        <v>18</v>
      </c>
      <c r="K507" s="76">
        <f t="shared" si="141"/>
        <v>5</v>
      </c>
      <c r="L507" s="76" t="str">
        <f>VLOOKUP(K507,'Lookup Values'!$F$2:$G$8,2,FALSE)</f>
        <v>Thursday</v>
      </c>
      <c r="M507" s="3">
        <v>40235</v>
      </c>
      <c r="N507" s="78">
        <f t="shared" si="134"/>
        <v>8</v>
      </c>
      <c r="O507" s="11">
        <v>0.63908119186953505</v>
      </c>
      <c r="P507" s="94">
        <f t="shared" si="142"/>
        <v>15</v>
      </c>
      <c r="Q507" s="94">
        <f t="shared" si="143"/>
        <v>20</v>
      </c>
      <c r="R507" s="94">
        <f t="shared" si="144"/>
        <v>17</v>
      </c>
      <c r="S507" s="94" t="str">
        <f>VLOOKUP(O507,'Lookup Values'!$I$2:$L$8,4,TRUE)</f>
        <v>Afternoon</v>
      </c>
      <c r="T507" t="s">
        <v>158</v>
      </c>
      <c r="U507" t="s">
        <v>161</v>
      </c>
      <c r="V507" t="str">
        <f t="shared" si="145"/>
        <v>Income: Gift Received</v>
      </c>
      <c r="W507" t="s">
        <v>164</v>
      </c>
      <c r="X507" t="s">
        <v>91</v>
      </c>
      <c r="Y507" s="1">
        <v>39</v>
      </c>
      <c r="Z507" s="1" t="str">
        <f t="shared" si="146"/>
        <v>Income: $39.00</v>
      </c>
      <c r="AA507" s="1">
        <f>IF(Y507="","",ROUND(Y507*'Lookup Values'!$A$2,2))</f>
        <v>3.46</v>
      </c>
      <c r="AB507" s="12" t="str">
        <f t="shared" si="147"/>
        <v>Income</v>
      </c>
      <c r="AC507" s="2" t="s">
        <v>331</v>
      </c>
      <c r="AD507" s="3">
        <f t="shared" si="148"/>
        <v>40227</v>
      </c>
      <c r="AE507" s="93" t="str">
        <f t="shared" si="149"/>
        <v>NO</v>
      </c>
      <c r="AF507" s="2" t="str">
        <f t="shared" si="150"/>
        <v>NO</v>
      </c>
      <c r="AG507" t="str">
        <f t="shared" si="151"/>
        <v>Late Transaction</v>
      </c>
    </row>
    <row r="508" spans="1:33" x14ac:dyDescent="0.25">
      <c r="A508" s="2">
        <v>507</v>
      </c>
      <c r="B508" s="3" t="str">
        <f t="shared" si="133"/>
        <v>100618-SH-EXP</v>
      </c>
      <c r="C508" s="3">
        <v>40347</v>
      </c>
      <c r="D508" s="3">
        <f t="shared" si="135"/>
        <v>40361</v>
      </c>
      <c r="E508" s="3">
        <f t="shared" si="136"/>
        <v>40408</v>
      </c>
      <c r="F508" s="3">
        <f t="shared" si="137"/>
        <v>40359</v>
      </c>
      <c r="G508" s="76">
        <f t="shared" si="138"/>
        <v>2010</v>
      </c>
      <c r="H508" s="76">
        <f t="shared" si="139"/>
        <v>6</v>
      </c>
      <c r="I508" s="76" t="str">
        <f>VLOOKUP(H508,'Lookup Values'!$C$2:$D$13,2,FALSE)</f>
        <v>JUN</v>
      </c>
      <c r="J508" s="76">
        <f t="shared" si="140"/>
        <v>18</v>
      </c>
      <c r="K508" s="76">
        <f t="shared" si="141"/>
        <v>6</v>
      </c>
      <c r="L508" s="76" t="str">
        <f>VLOOKUP(K508,'Lookup Values'!$F$2:$G$8,2,FALSE)</f>
        <v>Friday</v>
      </c>
      <c r="M508" s="3">
        <v>40350</v>
      </c>
      <c r="N508" s="78">
        <f t="shared" si="134"/>
        <v>3</v>
      </c>
      <c r="O508" s="11">
        <v>0.33979860262736783</v>
      </c>
      <c r="P508" s="94">
        <f t="shared" si="142"/>
        <v>8</v>
      </c>
      <c r="Q508" s="94">
        <f t="shared" si="143"/>
        <v>9</v>
      </c>
      <c r="R508" s="94">
        <f t="shared" si="144"/>
        <v>19</v>
      </c>
      <c r="S508" s="94" t="str">
        <f>VLOOKUP(O508,'Lookup Values'!$I$2:$L$8,4,TRUE)</f>
        <v>Morning</v>
      </c>
      <c r="T508" t="s">
        <v>83</v>
      </c>
      <c r="U508" t="s">
        <v>103</v>
      </c>
      <c r="V508" t="str">
        <f t="shared" si="145"/>
        <v>Shopping: Clothing</v>
      </c>
      <c r="W508" t="s">
        <v>102</v>
      </c>
      <c r="X508" t="s">
        <v>91</v>
      </c>
      <c r="Y508" s="1">
        <v>193</v>
      </c>
      <c r="Z508" s="1" t="str">
        <f t="shared" si="146"/>
        <v>Shopping: $193.00</v>
      </c>
      <c r="AA508" s="1">
        <f>IF(Y508="","",ROUND(Y508*'Lookup Values'!$A$2,2))</f>
        <v>17.13</v>
      </c>
      <c r="AB508" s="12" t="str">
        <f t="shared" si="147"/>
        <v>Expense</v>
      </c>
      <c r="AC508" s="2" t="s">
        <v>612</v>
      </c>
      <c r="AD508" s="3">
        <f t="shared" si="148"/>
        <v>40347</v>
      </c>
      <c r="AE508" s="93" t="str">
        <f t="shared" si="149"/>
        <v>NO</v>
      </c>
      <c r="AF508" s="2" t="str">
        <f t="shared" si="150"/>
        <v>NO</v>
      </c>
      <c r="AG508" t="str">
        <f t="shared" si="151"/>
        <v>Late Transaction</v>
      </c>
    </row>
    <row r="509" spans="1:33" x14ac:dyDescent="0.25">
      <c r="A509" s="2">
        <v>508</v>
      </c>
      <c r="B509" s="3" t="str">
        <f t="shared" si="133"/>
        <v>090504-ED-SKI</v>
      </c>
      <c r="C509" s="3">
        <v>39937</v>
      </c>
      <c r="D509" s="3">
        <f t="shared" si="135"/>
        <v>39951</v>
      </c>
      <c r="E509" s="3">
        <f t="shared" si="136"/>
        <v>39998</v>
      </c>
      <c r="F509" s="3">
        <f t="shared" si="137"/>
        <v>39964</v>
      </c>
      <c r="G509" s="76">
        <f t="shared" si="138"/>
        <v>2009</v>
      </c>
      <c r="H509" s="76">
        <f t="shared" si="139"/>
        <v>5</v>
      </c>
      <c r="I509" s="76" t="str">
        <f>VLOOKUP(H509,'Lookup Values'!$C$2:$D$13,2,FALSE)</f>
        <v>MAY</v>
      </c>
      <c r="J509" s="76">
        <f t="shared" si="140"/>
        <v>4</v>
      </c>
      <c r="K509" s="76">
        <f t="shared" si="141"/>
        <v>2</v>
      </c>
      <c r="L509" s="76" t="str">
        <f>VLOOKUP(K509,'Lookup Values'!$F$2:$G$8,2,FALSE)</f>
        <v>Monday</v>
      </c>
      <c r="M509" s="3">
        <v>39941</v>
      </c>
      <c r="N509" s="78">
        <f t="shared" si="134"/>
        <v>4</v>
      </c>
      <c r="O509" s="11">
        <v>0.98026334178851715</v>
      </c>
      <c r="P509" s="94">
        <f t="shared" si="142"/>
        <v>23</v>
      </c>
      <c r="Q509" s="94">
        <f t="shared" si="143"/>
        <v>31</v>
      </c>
      <c r="R509" s="94">
        <f t="shared" si="144"/>
        <v>35</v>
      </c>
      <c r="S509" s="94" t="str">
        <f>VLOOKUP(O509,'Lookup Values'!$I$2:$L$8,4,TRUE)</f>
        <v>Late Evening</v>
      </c>
      <c r="T509" t="s">
        <v>86</v>
      </c>
      <c r="U509" t="s">
        <v>98</v>
      </c>
      <c r="V509" t="str">
        <f t="shared" si="145"/>
        <v>Education: Professional Development</v>
      </c>
      <c r="W509" t="s">
        <v>97</v>
      </c>
      <c r="X509" t="s">
        <v>91</v>
      </c>
      <c r="Y509" s="1">
        <v>258</v>
      </c>
      <c r="Z509" s="1" t="str">
        <f t="shared" si="146"/>
        <v>Education: $258.00</v>
      </c>
      <c r="AA509" s="1">
        <f>IF(Y509="","",ROUND(Y509*'Lookup Values'!$A$2,2))</f>
        <v>22.9</v>
      </c>
      <c r="AB509" s="12" t="str">
        <f t="shared" si="147"/>
        <v>Expense</v>
      </c>
      <c r="AC509" s="2" t="s">
        <v>613</v>
      </c>
      <c r="AD509" s="3">
        <f t="shared" si="148"/>
        <v>39937</v>
      </c>
      <c r="AE509" s="93" t="str">
        <f t="shared" si="149"/>
        <v>YES</v>
      </c>
      <c r="AF509" s="2" t="str">
        <f t="shared" si="150"/>
        <v>NO</v>
      </c>
      <c r="AG509" t="str">
        <f t="shared" si="151"/>
        <v>Late Transaction</v>
      </c>
    </row>
    <row r="510" spans="1:33" x14ac:dyDescent="0.25">
      <c r="A510" s="2">
        <v>509</v>
      </c>
      <c r="B510" s="3" t="str">
        <f t="shared" si="133"/>
        <v>120815-HE-FRE</v>
      </c>
      <c r="C510" s="3">
        <v>41136</v>
      </c>
      <c r="D510" s="3">
        <f t="shared" si="135"/>
        <v>41150</v>
      </c>
      <c r="E510" s="3">
        <f t="shared" si="136"/>
        <v>41197</v>
      </c>
      <c r="F510" s="3">
        <f t="shared" si="137"/>
        <v>41152</v>
      </c>
      <c r="G510" s="76">
        <f t="shared" si="138"/>
        <v>2012</v>
      </c>
      <c r="H510" s="76">
        <f t="shared" si="139"/>
        <v>8</v>
      </c>
      <c r="I510" s="76" t="str">
        <f>VLOOKUP(H510,'Lookup Values'!$C$2:$D$13,2,FALSE)</f>
        <v>AUG</v>
      </c>
      <c r="J510" s="76">
        <f t="shared" si="140"/>
        <v>15</v>
      </c>
      <c r="K510" s="76">
        <f t="shared" si="141"/>
        <v>4</v>
      </c>
      <c r="L510" s="76" t="str">
        <f>VLOOKUP(K510,'Lookup Values'!$F$2:$G$8,2,FALSE)</f>
        <v>Wednesday</v>
      </c>
      <c r="M510" s="3">
        <v>41145</v>
      </c>
      <c r="N510" s="78">
        <f t="shared" si="134"/>
        <v>9</v>
      </c>
      <c r="O510" s="11">
        <v>0.12259524803770172</v>
      </c>
      <c r="P510" s="94">
        <f t="shared" si="142"/>
        <v>2</v>
      </c>
      <c r="Q510" s="94">
        <f t="shared" si="143"/>
        <v>56</v>
      </c>
      <c r="R510" s="94">
        <f t="shared" si="144"/>
        <v>32</v>
      </c>
      <c r="S510" s="94" t="str">
        <f>VLOOKUP(O510,'Lookup Values'!$I$2:$L$8,4,TRUE)</f>
        <v>Dead of Night</v>
      </c>
      <c r="T510" t="s">
        <v>107</v>
      </c>
      <c r="U510" t="s">
        <v>108</v>
      </c>
      <c r="V510" t="str">
        <f t="shared" si="145"/>
        <v>Health: Insurance Premium</v>
      </c>
      <c r="W510" t="s">
        <v>106</v>
      </c>
      <c r="X510" t="s">
        <v>78</v>
      </c>
      <c r="Y510" s="1">
        <v>77</v>
      </c>
      <c r="Z510" s="1" t="str">
        <f t="shared" si="146"/>
        <v>Health: $77.00</v>
      </c>
      <c r="AA510" s="1">
        <f>IF(Y510="","",ROUND(Y510*'Lookup Values'!$A$2,2))</f>
        <v>6.83</v>
      </c>
      <c r="AB510" s="12" t="str">
        <f t="shared" si="147"/>
        <v>Expense</v>
      </c>
      <c r="AC510" s="2" t="s">
        <v>614</v>
      </c>
      <c r="AD510" s="3">
        <f t="shared" si="148"/>
        <v>41136</v>
      </c>
      <c r="AE510" s="93" t="str">
        <f t="shared" si="149"/>
        <v>NO</v>
      </c>
      <c r="AF510" s="2" t="str">
        <f t="shared" si="150"/>
        <v>NO</v>
      </c>
      <c r="AG510" t="str">
        <f t="shared" si="151"/>
        <v>CRAP Transaction</v>
      </c>
    </row>
    <row r="511" spans="1:33" x14ac:dyDescent="0.25">
      <c r="A511" s="2">
        <v>510</v>
      </c>
      <c r="B511" s="3" t="str">
        <f t="shared" si="133"/>
        <v>120130-TR-MTA</v>
      </c>
      <c r="C511" s="3">
        <v>40938</v>
      </c>
      <c r="D511" s="3">
        <f t="shared" si="135"/>
        <v>40952</v>
      </c>
      <c r="E511" s="3">
        <f t="shared" si="136"/>
        <v>40998</v>
      </c>
      <c r="F511" s="3">
        <f t="shared" si="137"/>
        <v>40939</v>
      </c>
      <c r="G511" s="76">
        <f t="shared" si="138"/>
        <v>2012</v>
      </c>
      <c r="H511" s="76">
        <f t="shared" si="139"/>
        <v>1</v>
      </c>
      <c r="I511" s="76" t="str">
        <f>VLOOKUP(H511,'Lookup Values'!$C$2:$D$13,2,FALSE)</f>
        <v>JAN</v>
      </c>
      <c r="J511" s="76">
        <f t="shared" si="140"/>
        <v>30</v>
      </c>
      <c r="K511" s="76">
        <f t="shared" si="141"/>
        <v>2</v>
      </c>
      <c r="L511" s="76" t="str">
        <f>VLOOKUP(K511,'Lookup Values'!$F$2:$G$8,2,FALSE)</f>
        <v>Monday</v>
      </c>
      <c r="M511" s="3">
        <v>40945</v>
      </c>
      <c r="N511" s="78">
        <f t="shared" si="134"/>
        <v>7</v>
      </c>
      <c r="O511" s="11">
        <v>0.72315933732866422</v>
      </c>
      <c r="P511" s="94">
        <f t="shared" si="142"/>
        <v>17</v>
      </c>
      <c r="Q511" s="94">
        <f t="shared" si="143"/>
        <v>21</v>
      </c>
      <c r="R511" s="94">
        <f t="shared" si="144"/>
        <v>21</v>
      </c>
      <c r="S511" s="94" t="str">
        <f>VLOOKUP(O511,'Lookup Values'!$I$2:$L$8,4,TRUE)</f>
        <v>Evening</v>
      </c>
      <c r="T511" t="s">
        <v>95</v>
      </c>
      <c r="U511" t="s">
        <v>96</v>
      </c>
      <c r="V511" t="str">
        <f t="shared" si="145"/>
        <v>Transportation: Subway</v>
      </c>
      <c r="W511" t="s">
        <v>94</v>
      </c>
      <c r="X511" t="s">
        <v>91</v>
      </c>
      <c r="Y511" s="1">
        <v>79</v>
      </c>
      <c r="Z511" s="1" t="str">
        <f t="shared" si="146"/>
        <v>Transportation: $79.00</v>
      </c>
      <c r="AA511" s="1">
        <f>IF(Y511="","",ROUND(Y511*'Lookup Values'!$A$2,2))</f>
        <v>7.01</v>
      </c>
      <c r="AB511" s="12" t="str">
        <f t="shared" si="147"/>
        <v>Expense</v>
      </c>
      <c r="AC511" s="2" t="s">
        <v>615</v>
      </c>
      <c r="AD511" s="3">
        <f t="shared" si="148"/>
        <v>40938</v>
      </c>
      <c r="AE511" s="93" t="str">
        <f t="shared" si="149"/>
        <v>YES</v>
      </c>
      <c r="AF511" s="2" t="str">
        <f t="shared" si="150"/>
        <v>NO</v>
      </c>
      <c r="AG511" t="str">
        <f t="shared" si="151"/>
        <v>CRAP Transaction</v>
      </c>
    </row>
    <row r="512" spans="1:33" x14ac:dyDescent="0.25">
      <c r="A512" s="2">
        <v>511</v>
      </c>
      <c r="B512" s="3" t="str">
        <f t="shared" si="133"/>
        <v>100307-FO-CIT</v>
      </c>
      <c r="C512" s="3">
        <v>40244</v>
      </c>
      <c r="D512" s="3">
        <f t="shared" si="135"/>
        <v>40256</v>
      </c>
      <c r="E512" s="3">
        <f t="shared" si="136"/>
        <v>40305</v>
      </c>
      <c r="F512" s="3">
        <f t="shared" si="137"/>
        <v>40268</v>
      </c>
      <c r="G512" s="76">
        <f t="shared" si="138"/>
        <v>2010</v>
      </c>
      <c r="H512" s="76">
        <f t="shared" si="139"/>
        <v>3</v>
      </c>
      <c r="I512" s="76" t="str">
        <f>VLOOKUP(H512,'Lookup Values'!$C$2:$D$13,2,FALSE)</f>
        <v>MAR</v>
      </c>
      <c r="J512" s="76">
        <f t="shared" si="140"/>
        <v>7</v>
      </c>
      <c r="K512" s="76">
        <f t="shared" si="141"/>
        <v>1</v>
      </c>
      <c r="L512" s="76" t="str">
        <f>VLOOKUP(K512,'Lookup Values'!$F$2:$G$8,2,FALSE)</f>
        <v>Sunday</v>
      </c>
      <c r="M512" s="3">
        <v>40254</v>
      </c>
      <c r="N512" s="78">
        <f t="shared" si="134"/>
        <v>10</v>
      </c>
      <c r="O512" s="11">
        <v>9.544999957953304E-2</v>
      </c>
      <c r="P512" s="94">
        <f t="shared" si="142"/>
        <v>2</v>
      </c>
      <c r="Q512" s="94">
        <f t="shared" si="143"/>
        <v>17</v>
      </c>
      <c r="R512" s="94">
        <f t="shared" si="144"/>
        <v>27</v>
      </c>
      <c r="S512" s="94" t="str">
        <f>VLOOKUP(O512,'Lookup Values'!$I$2:$L$8,4,TRUE)</f>
        <v>Dead of Night</v>
      </c>
      <c r="T512" t="s">
        <v>80</v>
      </c>
      <c r="U512" t="s">
        <v>105</v>
      </c>
      <c r="V512" t="str">
        <f t="shared" si="145"/>
        <v>Food: Coffee</v>
      </c>
      <c r="W512" t="s">
        <v>104</v>
      </c>
      <c r="X512" t="s">
        <v>91</v>
      </c>
      <c r="Y512" s="1">
        <v>479</v>
      </c>
      <c r="Z512" s="1" t="str">
        <f t="shared" si="146"/>
        <v>Food: $479.00</v>
      </c>
      <c r="AA512" s="1">
        <f>IF(Y512="","",ROUND(Y512*'Lookup Values'!$A$2,2))</f>
        <v>42.51</v>
      </c>
      <c r="AB512" s="12" t="str">
        <f t="shared" si="147"/>
        <v>Expense</v>
      </c>
      <c r="AC512" s="2" t="s">
        <v>616</v>
      </c>
      <c r="AD512" s="3">
        <f t="shared" si="148"/>
        <v>40244</v>
      </c>
      <c r="AE512" s="93" t="str">
        <f t="shared" si="149"/>
        <v>NO</v>
      </c>
      <c r="AF512" s="2" t="str">
        <f t="shared" si="150"/>
        <v>NO</v>
      </c>
      <c r="AG512" t="str">
        <f t="shared" si="151"/>
        <v>Late Transaction</v>
      </c>
    </row>
    <row r="513" spans="1:33" x14ac:dyDescent="0.25">
      <c r="A513" s="2">
        <v>512</v>
      </c>
      <c r="B513" s="3" t="str">
        <f t="shared" si="133"/>
        <v>070305-ED-ANT</v>
      </c>
      <c r="C513" s="3">
        <v>39146</v>
      </c>
      <c r="D513" s="3">
        <f t="shared" si="135"/>
        <v>39160</v>
      </c>
      <c r="E513" s="3">
        <f t="shared" si="136"/>
        <v>39207</v>
      </c>
      <c r="F513" s="3">
        <f t="shared" si="137"/>
        <v>39172</v>
      </c>
      <c r="G513" s="76">
        <f t="shared" si="138"/>
        <v>2007</v>
      </c>
      <c r="H513" s="76">
        <f t="shared" si="139"/>
        <v>3</v>
      </c>
      <c r="I513" s="76" t="str">
        <f>VLOOKUP(H513,'Lookup Values'!$C$2:$D$13,2,FALSE)</f>
        <v>MAR</v>
      </c>
      <c r="J513" s="76">
        <f t="shared" si="140"/>
        <v>5</v>
      </c>
      <c r="K513" s="76">
        <f t="shared" si="141"/>
        <v>2</v>
      </c>
      <c r="L513" s="76" t="str">
        <f>VLOOKUP(K513,'Lookup Values'!$F$2:$G$8,2,FALSE)</f>
        <v>Monday</v>
      </c>
      <c r="M513" s="3">
        <v>39155</v>
      </c>
      <c r="N513" s="78">
        <f t="shared" si="134"/>
        <v>9</v>
      </c>
      <c r="O513" s="11">
        <v>0.18691368268523822</v>
      </c>
      <c r="P513" s="94">
        <f t="shared" si="142"/>
        <v>4</v>
      </c>
      <c r="Q513" s="94">
        <f t="shared" si="143"/>
        <v>29</v>
      </c>
      <c r="R513" s="94">
        <f t="shared" si="144"/>
        <v>9</v>
      </c>
      <c r="S513" s="94" t="str">
        <f>VLOOKUP(O513,'Lookup Values'!$I$2:$L$8,4,TRUE)</f>
        <v>Early Morning</v>
      </c>
      <c r="T513" t="s">
        <v>86</v>
      </c>
      <c r="U513" t="s">
        <v>87</v>
      </c>
      <c r="V513" t="str">
        <f t="shared" si="145"/>
        <v>Education: Tango Lessons</v>
      </c>
      <c r="W513" t="s">
        <v>85</v>
      </c>
      <c r="X513" t="s">
        <v>91</v>
      </c>
      <c r="Y513" s="1">
        <v>325</v>
      </c>
      <c r="Z513" s="1" t="str">
        <f t="shared" si="146"/>
        <v>Education: $325.00</v>
      </c>
      <c r="AA513" s="1">
        <f>IF(Y513="","",ROUND(Y513*'Lookup Values'!$A$2,2))</f>
        <v>28.84</v>
      </c>
      <c r="AB513" s="12" t="str">
        <f t="shared" si="147"/>
        <v>Expense</v>
      </c>
      <c r="AC513" s="2" t="s">
        <v>617</v>
      </c>
      <c r="AD513" s="3">
        <f t="shared" si="148"/>
        <v>39146</v>
      </c>
      <c r="AE513" s="93" t="str">
        <f t="shared" si="149"/>
        <v>NO</v>
      </c>
      <c r="AF513" s="2" t="str">
        <f t="shared" si="150"/>
        <v>NO</v>
      </c>
      <c r="AG513" t="str">
        <f t="shared" si="151"/>
        <v>Late Transaction</v>
      </c>
    </row>
    <row r="514" spans="1:33" x14ac:dyDescent="0.25">
      <c r="A514" s="2">
        <v>513</v>
      </c>
      <c r="B514" s="3" t="str">
        <f t="shared" ref="B514:B577" si="152">TEXT(C514,"yymmdd") &amp; "-" &amp; UPPER(LEFT(T514,2)) &amp; "-" &amp; UPPER(LEFT(W514,3))</f>
        <v>100928-ED-ANT</v>
      </c>
      <c r="C514" s="3">
        <v>40449</v>
      </c>
      <c r="D514" s="3">
        <f t="shared" si="135"/>
        <v>40463</v>
      </c>
      <c r="E514" s="3">
        <f t="shared" si="136"/>
        <v>40510</v>
      </c>
      <c r="F514" s="3">
        <f t="shared" si="137"/>
        <v>40451</v>
      </c>
      <c r="G514" s="76">
        <f t="shared" si="138"/>
        <v>2010</v>
      </c>
      <c r="H514" s="76">
        <f t="shared" si="139"/>
        <v>9</v>
      </c>
      <c r="I514" s="76" t="str">
        <f>VLOOKUP(H514,'Lookup Values'!$C$2:$D$13,2,FALSE)</f>
        <v>SEP</v>
      </c>
      <c r="J514" s="76">
        <f t="shared" si="140"/>
        <v>28</v>
      </c>
      <c r="K514" s="76">
        <f t="shared" si="141"/>
        <v>3</v>
      </c>
      <c r="L514" s="76" t="str">
        <f>VLOOKUP(K514,'Lookup Values'!$F$2:$G$8,2,FALSE)</f>
        <v>Tuesday</v>
      </c>
      <c r="M514" s="3">
        <v>40457</v>
      </c>
      <c r="N514" s="78">
        <f t="shared" ref="N514:N577" si="153">M514-C514</f>
        <v>8</v>
      </c>
      <c r="O514" s="11">
        <v>0.97149647661733707</v>
      </c>
      <c r="P514" s="94">
        <f t="shared" si="142"/>
        <v>23</v>
      </c>
      <c r="Q514" s="94">
        <f t="shared" si="143"/>
        <v>18</v>
      </c>
      <c r="R514" s="94">
        <f t="shared" si="144"/>
        <v>57</v>
      </c>
      <c r="S514" s="94" t="str">
        <f>VLOOKUP(O514,'Lookup Values'!$I$2:$L$8,4,TRUE)</f>
        <v>Late Evening</v>
      </c>
      <c r="T514" t="s">
        <v>86</v>
      </c>
      <c r="U514" t="s">
        <v>87</v>
      </c>
      <c r="V514" t="str">
        <f t="shared" si="145"/>
        <v>Education: Tango Lessons</v>
      </c>
      <c r="W514" t="s">
        <v>85</v>
      </c>
      <c r="X514" t="s">
        <v>91</v>
      </c>
      <c r="Y514" s="1">
        <v>278</v>
      </c>
      <c r="Z514" s="1" t="str">
        <f t="shared" si="146"/>
        <v>Education: $278.00</v>
      </c>
      <c r="AA514" s="1">
        <f>IF(Y514="","",ROUND(Y514*'Lookup Values'!$A$2,2))</f>
        <v>24.67</v>
      </c>
      <c r="AB514" s="12" t="str">
        <f t="shared" si="147"/>
        <v>Expense</v>
      </c>
      <c r="AC514" s="2" t="s">
        <v>618</v>
      </c>
      <c r="AD514" s="3">
        <f t="shared" si="148"/>
        <v>40449</v>
      </c>
      <c r="AE514" s="93" t="str">
        <f t="shared" si="149"/>
        <v>NO</v>
      </c>
      <c r="AF514" s="2" t="str">
        <f t="shared" si="150"/>
        <v>NO</v>
      </c>
      <c r="AG514" t="str">
        <f t="shared" si="151"/>
        <v>Late Transaction</v>
      </c>
    </row>
    <row r="515" spans="1:33" x14ac:dyDescent="0.25">
      <c r="A515" s="2">
        <v>514</v>
      </c>
      <c r="B515" s="3" t="str">
        <f t="shared" si="152"/>
        <v>081212-EN-MOE</v>
      </c>
      <c r="C515" s="3">
        <v>39794</v>
      </c>
      <c r="D515" s="3">
        <f t="shared" ref="D515:D578" si="154">WORKDAY(C515,10)</f>
        <v>39808</v>
      </c>
      <c r="E515" s="3">
        <f t="shared" ref="E515:E578" si="155">EDATE(C515,2)</f>
        <v>39856</v>
      </c>
      <c r="F515" s="3">
        <f t="shared" ref="F515:F578" si="156">EOMONTH(C515,0)</f>
        <v>39813</v>
      </c>
      <c r="G515" s="76">
        <f t="shared" ref="G515:G578" si="157">YEAR(C515)</f>
        <v>2008</v>
      </c>
      <c r="H515" s="76">
        <f t="shared" ref="H515:H578" si="158">MONTH(C515)</f>
        <v>12</v>
      </c>
      <c r="I515" s="76" t="str">
        <f>VLOOKUP(H515,'Lookup Values'!$C$2:$D$13,2,FALSE)</f>
        <v>DEC</v>
      </c>
      <c r="J515" s="76">
        <f t="shared" ref="J515:J578" si="159">DAY(C515)</f>
        <v>12</v>
      </c>
      <c r="K515" s="76">
        <f t="shared" ref="K515:K578" si="160">WEEKDAY(C515)</f>
        <v>6</v>
      </c>
      <c r="L515" s="76" t="str">
        <f>VLOOKUP(K515,'Lookup Values'!$F$2:$G$8,2,FALSE)</f>
        <v>Friday</v>
      </c>
      <c r="M515" s="3">
        <v>39798</v>
      </c>
      <c r="N515" s="78">
        <f t="shared" si="153"/>
        <v>4</v>
      </c>
      <c r="O515" s="11">
        <v>0.65727191285159725</v>
      </c>
      <c r="P515" s="94">
        <f t="shared" ref="P515:P578" si="161">HOUR(O515)</f>
        <v>15</v>
      </c>
      <c r="Q515" s="94">
        <f t="shared" ref="Q515:Q578" si="162">MINUTE(O515)</f>
        <v>46</v>
      </c>
      <c r="R515" s="94">
        <f t="shared" ref="R515:R578" si="163">SECOND(O515)</f>
        <v>28</v>
      </c>
      <c r="S515" s="94" t="str">
        <f>VLOOKUP(O515,'Lookup Values'!$I$2:$L$8,4,TRUE)</f>
        <v>Afternoon</v>
      </c>
      <c r="T515" t="s">
        <v>76</v>
      </c>
      <c r="U515" t="s">
        <v>77</v>
      </c>
      <c r="V515" t="str">
        <f t="shared" ref="V515:V578" si="164">T515 &amp; ": " &amp; U515</f>
        <v>Entertainment: Alcohol</v>
      </c>
      <c r="W515" t="s">
        <v>75</v>
      </c>
      <c r="X515" t="s">
        <v>88</v>
      </c>
      <c r="Y515" s="1">
        <v>111</v>
      </c>
      <c r="Z515" s="1" t="str">
        <f t="shared" ref="Z515:Z578" si="165">T515 &amp; ": " &amp; TEXT(Y515,"$#,###.00")</f>
        <v>Entertainment: $111.00</v>
      </c>
      <c r="AA515" s="1">
        <f>IF(Y515="","",ROUND(Y515*'Lookup Values'!$A$2,2))</f>
        <v>9.85</v>
      </c>
      <c r="AB515" s="12" t="str">
        <f t="shared" ref="AB515:AB578" si="166">IF(T515="Income","Income","Expense")</f>
        <v>Expense</v>
      </c>
      <c r="AC515" s="2" t="s">
        <v>619</v>
      </c>
      <c r="AD515" s="3">
        <f t="shared" ref="AD515:AD578" si="167">VALUE(SUBSTITUTE(AC515,".","/"))</f>
        <v>39794</v>
      </c>
      <c r="AE515" s="93" t="str">
        <f t="shared" ref="AE515:AE578" si="168">IF(OR(T515="Transportation",U515="Professional Development",U515="Electronics"),"YES","NO")</f>
        <v>NO</v>
      </c>
      <c r="AF515" s="2" t="str">
        <f t="shared" ref="AF515:AF578" si="169">IF(AND(AE515="YES",Y515&gt;=400),"YES","NO")</f>
        <v>NO</v>
      </c>
      <c r="AG515" t="str">
        <f t="shared" ref="AG515:AG578" si="170">IF(AND(AND(G515&gt;=2007,G515&lt;=2009),OR(W515&lt;&gt;"MTA",W515&lt;&gt;"Fandango"),OR(T515="Food",T515="Shopping",T515="Entertainment")),"Awesome Transaction",IF(AND(G515&lt;=2010,U515&lt;&gt;"Alcohol"),"Late Transaction",IF(G515=2006,"Early Transaction","CRAP Transaction")))</f>
        <v>Awesome Transaction</v>
      </c>
    </row>
    <row r="516" spans="1:33" x14ac:dyDescent="0.25">
      <c r="A516" s="2">
        <v>515</v>
      </c>
      <c r="B516" s="3" t="str">
        <f t="shared" si="152"/>
        <v>090320-SH-EXP</v>
      </c>
      <c r="C516" s="3">
        <v>39892</v>
      </c>
      <c r="D516" s="3">
        <f t="shared" si="154"/>
        <v>39906</v>
      </c>
      <c r="E516" s="3">
        <f t="shared" si="155"/>
        <v>39953</v>
      </c>
      <c r="F516" s="3">
        <f t="shared" si="156"/>
        <v>39903</v>
      </c>
      <c r="G516" s="76">
        <f t="shared" si="157"/>
        <v>2009</v>
      </c>
      <c r="H516" s="76">
        <f t="shared" si="158"/>
        <v>3</v>
      </c>
      <c r="I516" s="76" t="str">
        <f>VLOOKUP(H516,'Lookup Values'!$C$2:$D$13,2,FALSE)</f>
        <v>MAR</v>
      </c>
      <c r="J516" s="76">
        <f t="shared" si="159"/>
        <v>20</v>
      </c>
      <c r="K516" s="76">
        <f t="shared" si="160"/>
        <v>6</v>
      </c>
      <c r="L516" s="76" t="str">
        <f>VLOOKUP(K516,'Lookup Values'!$F$2:$G$8,2,FALSE)</f>
        <v>Friday</v>
      </c>
      <c r="M516" s="3">
        <v>39895</v>
      </c>
      <c r="N516" s="78">
        <f t="shared" si="153"/>
        <v>3</v>
      </c>
      <c r="O516" s="11">
        <v>0.50980660295225677</v>
      </c>
      <c r="P516" s="94">
        <f t="shared" si="161"/>
        <v>12</v>
      </c>
      <c r="Q516" s="94">
        <f t="shared" si="162"/>
        <v>14</v>
      </c>
      <c r="R516" s="94">
        <f t="shared" si="163"/>
        <v>7</v>
      </c>
      <c r="S516" s="94" t="str">
        <f>VLOOKUP(O516,'Lookup Values'!$I$2:$L$8,4,TRUE)</f>
        <v>Afternoon</v>
      </c>
      <c r="T516" t="s">
        <v>83</v>
      </c>
      <c r="U516" t="s">
        <v>103</v>
      </c>
      <c r="V516" t="str">
        <f t="shared" si="164"/>
        <v>Shopping: Clothing</v>
      </c>
      <c r="W516" t="s">
        <v>102</v>
      </c>
      <c r="X516" t="s">
        <v>78</v>
      </c>
      <c r="Y516" s="1">
        <v>209</v>
      </c>
      <c r="Z516" s="1" t="str">
        <f t="shared" si="165"/>
        <v>Shopping: $209.00</v>
      </c>
      <c r="AA516" s="1">
        <f>IF(Y516="","",ROUND(Y516*'Lookup Values'!$A$2,2))</f>
        <v>18.55</v>
      </c>
      <c r="AB516" s="12" t="str">
        <f t="shared" si="166"/>
        <v>Expense</v>
      </c>
      <c r="AC516" s="2" t="s">
        <v>620</v>
      </c>
      <c r="AD516" s="3">
        <f t="shared" si="167"/>
        <v>39892</v>
      </c>
      <c r="AE516" s="93" t="str">
        <f t="shared" si="168"/>
        <v>NO</v>
      </c>
      <c r="AF516" s="2" t="str">
        <f t="shared" si="169"/>
        <v>NO</v>
      </c>
      <c r="AG516" t="str">
        <f t="shared" si="170"/>
        <v>Awesome Transaction</v>
      </c>
    </row>
    <row r="517" spans="1:33" x14ac:dyDescent="0.25">
      <c r="A517" s="2">
        <v>516</v>
      </c>
      <c r="B517" s="3" t="str">
        <f t="shared" si="152"/>
        <v>100413-ED-SKI</v>
      </c>
      <c r="C517" s="3">
        <v>40281</v>
      </c>
      <c r="D517" s="3">
        <f t="shared" si="154"/>
        <v>40295</v>
      </c>
      <c r="E517" s="3">
        <f t="shared" si="155"/>
        <v>40342</v>
      </c>
      <c r="F517" s="3">
        <f t="shared" si="156"/>
        <v>40298</v>
      </c>
      <c r="G517" s="76">
        <f t="shared" si="157"/>
        <v>2010</v>
      </c>
      <c r="H517" s="76">
        <f t="shared" si="158"/>
        <v>4</v>
      </c>
      <c r="I517" s="76" t="str">
        <f>VLOOKUP(H517,'Lookup Values'!$C$2:$D$13,2,FALSE)</f>
        <v>APR</v>
      </c>
      <c r="J517" s="76">
        <f t="shared" si="159"/>
        <v>13</v>
      </c>
      <c r="K517" s="76">
        <f t="shared" si="160"/>
        <v>3</v>
      </c>
      <c r="L517" s="76" t="str">
        <f>VLOOKUP(K517,'Lookup Values'!$F$2:$G$8,2,FALSE)</f>
        <v>Tuesday</v>
      </c>
      <c r="M517" s="3">
        <v>40288</v>
      </c>
      <c r="N517" s="78">
        <f t="shared" si="153"/>
        <v>7</v>
      </c>
      <c r="O517" s="11">
        <v>0.54505597512928117</v>
      </c>
      <c r="P517" s="94">
        <f t="shared" si="161"/>
        <v>13</v>
      </c>
      <c r="Q517" s="94">
        <f t="shared" si="162"/>
        <v>4</v>
      </c>
      <c r="R517" s="94">
        <f t="shared" si="163"/>
        <v>53</v>
      </c>
      <c r="S517" s="94" t="str">
        <f>VLOOKUP(O517,'Lookup Values'!$I$2:$L$8,4,TRUE)</f>
        <v>Afternoon</v>
      </c>
      <c r="T517" t="s">
        <v>86</v>
      </c>
      <c r="U517" t="s">
        <v>98</v>
      </c>
      <c r="V517" t="str">
        <f t="shared" si="164"/>
        <v>Education: Professional Development</v>
      </c>
      <c r="W517" t="s">
        <v>97</v>
      </c>
      <c r="X517" t="s">
        <v>91</v>
      </c>
      <c r="Y517" s="1">
        <v>224</v>
      </c>
      <c r="Z517" s="1" t="str">
        <f t="shared" si="165"/>
        <v>Education: $224.00</v>
      </c>
      <c r="AA517" s="1">
        <f>IF(Y517="","",ROUND(Y517*'Lookup Values'!$A$2,2))</f>
        <v>19.88</v>
      </c>
      <c r="AB517" s="12" t="str">
        <f t="shared" si="166"/>
        <v>Expense</v>
      </c>
      <c r="AC517" s="2" t="s">
        <v>193</v>
      </c>
      <c r="AD517" s="3">
        <f t="shared" si="167"/>
        <v>40281</v>
      </c>
      <c r="AE517" s="93" t="str">
        <f t="shared" si="168"/>
        <v>YES</v>
      </c>
      <c r="AF517" s="2" t="str">
        <f t="shared" si="169"/>
        <v>NO</v>
      </c>
      <c r="AG517" t="str">
        <f t="shared" si="170"/>
        <v>Late Transaction</v>
      </c>
    </row>
    <row r="518" spans="1:33" x14ac:dyDescent="0.25">
      <c r="A518" s="2">
        <v>517</v>
      </c>
      <c r="B518" s="3" t="str">
        <f t="shared" si="152"/>
        <v>090913-ED-ANT</v>
      </c>
      <c r="C518" s="3">
        <v>40069</v>
      </c>
      <c r="D518" s="3">
        <f t="shared" si="154"/>
        <v>40081</v>
      </c>
      <c r="E518" s="3">
        <f t="shared" si="155"/>
        <v>40130</v>
      </c>
      <c r="F518" s="3">
        <f t="shared" si="156"/>
        <v>40086</v>
      </c>
      <c r="G518" s="76">
        <f t="shared" si="157"/>
        <v>2009</v>
      </c>
      <c r="H518" s="76">
        <f t="shared" si="158"/>
        <v>9</v>
      </c>
      <c r="I518" s="76" t="str">
        <f>VLOOKUP(H518,'Lookup Values'!$C$2:$D$13,2,FALSE)</f>
        <v>SEP</v>
      </c>
      <c r="J518" s="76">
        <f t="shared" si="159"/>
        <v>13</v>
      </c>
      <c r="K518" s="76">
        <f t="shared" si="160"/>
        <v>1</v>
      </c>
      <c r="L518" s="76" t="str">
        <f>VLOOKUP(K518,'Lookup Values'!$F$2:$G$8,2,FALSE)</f>
        <v>Sunday</v>
      </c>
      <c r="M518" s="3">
        <v>40070</v>
      </c>
      <c r="N518" s="78">
        <f t="shared" si="153"/>
        <v>1</v>
      </c>
      <c r="O518" s="11">
        <v>0.5873044175686053</v>
      </c>
      <c r="P518" s="94">
        <f t="shared" si="161"/>
        <v>14</v>
      </c>
      <c r="Q518" s="94">
        <f t="shared" si="162"/>
        <v>5</v>
      </c>
      <c r="R518" s="94">
        <f t="shared" si="163"/>
        <v>43</v>
      </c>
      <c r="S518" s="94" t="str">
        <f>VLOOKUP(O518,'Lookup Values'!$I$2:$L$8,4,TRUE)</f>
        <v>Afternoon</v>
      </c>
      <c r="T518" t="s">
        <v>86</v>
      </c>
      <c r="U518" t="s">
        <v>87</v>
      </c>
      <c r="V518" t="str">
        <f t="shared" si="164"/>
        <v>Education: Tango Lessons</v>
      </c>
      <c r="W518" t="s">
        <v>85</v>
      </c>
      <c r="X518" t="s">
        <v>88</v>
      </c>
      <c r="Y518" s="1">
        <v>310</v>
      </c>
      <c r="Z518" s="1" t="str">
        <f t="shared" si="165"/>
        <v>Education: $310.00</v>
      </c>
      <c r="AA518" s="1">
        <f>IF(Y518="","",ROUND(Y518*'Lookup Values'!$A$2,2))</f>
        <v>27.51</v>
      </c>
      <c r="AB518" s="12" t="str">
        <f t="shared" si="166"/>
        <v>Expense</v>
      </c>
      <c r="AC518" s="2" t="s">
        <v>416</v>
      </c>
      <c r="AD518" s="3">
        <f t="shared" si="167"/>
        <v>40069</v>
      </c>
      <c r="AE518" s="93" t="str">
        <f t="shared" si="168"/>
        <v>NO</v>
      </c>
      <c r="AF518" s="2" t="str">
        <f t="shared" si="169"/>
        <v>NO</v>
      </c>
      <c r="AG518" t="str">
        <f t="shared" si="170"/>
        <v>Late Transaction</v>
      </c>
    </row>
    <row r="519" spans="1:33" x14ac:dyDescent="0.25">
      <c r="A519" s="2">
        <v>518</v>
      </c>
      <c r="B519" s="3" t="str">
        <f t="shared" si="152"/>
        <v>120613-TR-MTA</v>
      </c>
      <c r="C519" s="3">
        <v>41073</v>
      </c>
      <c r="D519" s="3">
        <f t="shared" si="154"/>
        <v>41087</v>
      </c>
      <c r="E519" s="3">
        <f t="shared" si="155"/>
        <v>41134</v>
      </c>
      <c r="F519" s="3">
        <f t="shared" si="156"/>
        <v>41090</v>
      </c>
      <c r="G519" s="76">
        <f t="shared" si="157"/>
        <v>2012</v>
      </c>
      <c r="H519" s="76">
        <f t="shared" si="158"/>
        <v>6</v>
      </c>
      <c r="I519" s="76" t="str">
        <f>VLOOKUP(H519,'Lookup Values'!$C$2:$D$13,2,FALSE)</f>
        <v>JUN</v>
      </c>
      <c r="J519" s="76">
        <f t="shared" si="159"/>
        <v>13</v>
      </c>
      <c r="K519" s="76">
        <f t="shared" si="160"/>
        <v>4</v>
      </c>
      <c r="L519" s="76" t="str">
        <f>VLOOKUP(K519,'Lookup Values'!$F$2:$G$8,2,FALSE)</f>
        <v>Wednesday</v>
      </c>
      <c r="M519" s="3">
        <v>41075</v>
      </c>
      <c r="N519" s="78">
        <f t="shared" si="153"/>
        <v>2</v>
      </c>
      <c r="O519" s="11">
        <v>0.35299999913697377</v>
      </c>
      <c r="P519" s="94">
        <f t="shared" si="161"/>
        <v>8</v>
      </c>
      <c r="Q519" s="94">
        <f t="shared" si="162"/>
        <v>28</v>
      </c>
      <c r="R519" s="94">
        <f t="shared" si="163"/>
        <v>19</v>
      </c>
      <c r="S519" s="94" t="str">
        <f>VLOOKUP(O519,'Lookup Values'!$I$2:$L$8,4,TRUE)</f>
        <v>Morning</v>
      </c>
      <c r="T519" t="s">
        <v>95</v>
      </c>
      <c r="U519" t="s">
        <v>96</v>
      </c>
      <c r="V519" t="str">
        <f t="shared" si="164"/>
        <v>Transportation: Subway</v>
      </c>
      <c r="W519" t="s">
        <v>94</v>
      </c>
      <c r="X519" t="s">
        <v>78</v>
      </c>
      <c r="Y519" s="1">
        <v>433</v>
      </c>
      <c r="Z519" s="1" t="str">
        <f t="shared" si="165"/>
        <v>Transportation: $433.00</v>
      </c>
      <c r="AA519" s="1">
        <f>IF(Y519="","",ROUND(Y519*'Lookup Values'!$A$2,2))</f>
        <v>38.43</v>
      </c>
      <c r="AB519" s="12" t="str">
        <f t="shared" si="166"/>
        <v>Expense</v>
      </c>
      <c r="AC519" s="2" t="s">
        <v>621</v>
      </c>
      <c r="AD519" s="3">
        <f t="shared" si="167"/>
        <v>41073</v>
      </c>
      <c r="AE519" s="93" t="str">
        <f t="shared" si="168"/>
        <v>YES</v>
      </c>
      <c r="AF519" s="2" t="str">
        <f t="shared" si="169"/>
        <v>YES</v>
      </c>
      <c r="AG519" t="str">
        <f t="shared" si="170"/>
        <v>CRAP Transaction</v>
      </c>
    </row>
    <row r="520" spans="1:33" x14ac:dyDescent="0.25">
      <c r="A520" s="2">
        <v>519</v>
      </c>
      <c r="B520" s="3" t="str">
        <f t="shared" si="152"/>
        <v>110626-TR-MTA</v>
      </c>
      <c r="C520" s="3">
        <v>40720</v>
      </c>
      <c r="D520" s="3">
        <f t="shared" si="154"/>
        <v>40732</v>
      </c>
      <c r="E520" s="3">
        <f t="shared" si="155"/>
        <v>40781</v>
      </c>
      <c r="F520" s="3">
        <f t="shared" si="156"/>
        <v>40724</v>
      </c>
      <c r="G520" s="76">
        <f t="shared" si="157"/>
        <v>2011</v>
      </c>
      <c r="H520" s="76">
        <f t="shared" si="158"/>
        <v>6</v>
      </c>
      <c r="I520" s="76" t="str">
        <f>VLOOKUP(H520,'Lookup Values'!$C$2:$D$13,2,FALSE)</f>
        <v>JUN</v>
      </c>
      <c r="J520" s="76">
        <f t="shared" si="159"/>
        <v>26</v>
      </c>
      <c r="K520" s="76">
        <f t="shared" si="160"/>
        <v>1</v>
      </c>
      <c r="L520" s="76" t="str">
        <f>VLOOKUP(K520,'Lookup Values'!$F$2:$G$8,2,FALSE)</f>
        <v>Sunday</v>
      </c>
      <c r="M520" s="3">
        <v>40726</v>
      </c>
      <c r="N520" s="78">
        <f t="shared" si="153"/>
        <v>6</v>
      </c>
      <c r="O520" s="11">
        <v>0.68872683867938755</v>
      </c>
      <c r="P520" s="94">
        <f t="shared" si="161"/>
        <v>16</v>
      </c>
      <c r="Q520" s="94">
        <f t="shared" si="162"/>
        <v>31</v>
      </c>
      <c r="R520" s="94">
        <f t="shared" si="163"/>
        <v>46</v>
      </c>
      <c r="S520" s="94" t="str">
        <f>VLOOKUP(O520,'Lookup Values'!$I$2:$L$8,4,TRUE)</f>
        <v>Afternoon</v>
      </c>
      <c r="T520" t="s">
        <v>95</v>
      </c>
      <c r="U520" t="s">
        <v>96</v>
      </c>
      <c r="V520" t="str">
        <f t="shared" si="164"/>
        <v>Transportation: Subway</v>
      </c>
      <c r="W520" t="s">
        <v>94</v>
      </c>
      <c r="X520" t="s">
        <v>88</v>
      </c>
      <c r="Y520" s="1">
        <v>461</v>
      </c>
      <c r="Z520" s="1" t="str">
        <f t="shared" si="165"/>
        <v>Transportation: $461.00</v>
      </c>
      <c r="AA520" s="1">
        <f>IF(Y520="","",ROUND(Y520*'Lookup Values'!$A$2,2))</f>
        <v>40.909999999999997</v>
      </c>
      <c r="AB520" s="12" t="str">
        <f t="shared" si="166"/>
        <v>Expense</v>
      </c>
      <c r="AC520" s="2" t="s">
        <v>339</v>
      </c>
      <c r="AD520" s="3">
        <f t="shared" si="167"/>
        <v>40720</v>
      </c>
      <c r="AE520" s="93" t="str">
        <f t="shared" si="168"/>
        <v>YES</v>
      </c>
      <c r="AF520" s="2" t="str">
        <f t="shared" si="169"/>
        <v>YES</v>
      </c>
      <c r="AG520" t="str">
        <f t="shared" si="170"/>
        <v>CRAP Transaction</v>
      </c>
    </row>
    <row r="521" spans="1:33" x14ac:dyDescent="0.25">
      <c r="A521" s="2">
        <v>520</v>
      </c>
      <c r="B521" s="3" t="str">
        <f t="shared" si="152"/>
        <v>110714-EN-MOE</v>
      </c>
      <c r="C521" s="3">
        <v>40738</v>
      </c>
      <c r="D521" s="3">
        <f t="shared" si="154"/>
        <v>40752</v>
      </c>
      <c r="E521" s="3">
        <f t="shared" si="155"/>
        <v>40800</v>
      </c>
      <c r="F521" s="3">
        <f t="shared" si="156"/>
        <v>40755</v>
      </c>
      <c r="G521" s="76">
        <f t="shared" si="157"/>
        <v>2011</v>
      </c>
      <c r="H521" s="76">
        <f t="shared" si="158"/>
        <v>7</v>
      </c>
      <c r="I521" s="76" t="str">
        <f>VLOOKUP(H521,'Lookup Values'!$C$2:$D$13,2,FALSE)</f>
        <v>JUL</v>
      </c>
      <c r="J521" s="76">
        <f t="shared" si="159"/>
        <v>14</v>
      </c>
      <c r="K521" s="76">
        <f t="shared" si="160"/>
        <v>5</v>
      </c>
      <c r="L521" s="76" t="str">
        <f>VLOOKUP(K521,'Lookup Values'!$F$2:$G$8,2,FALSE)</f>
        <v>Thursday</v>
      </c>
      <c r="M521" s="3">
        <v>40744</v>
      </c>
      <c r="N521" s="78">
        <f t="shared" si="153"/>
        <v>6</v>
      </c>
      <c r="O521" s="11">
        <v>0.18043698122143781</v>
      </c>
      <c r="P521" s="94">
        <f t="shared" si="161"/>
        <v>4</v>
      </c>
      <c r="Q521" s="94">
        <f t="shared" si="162"/>
        <v>19</v>
      </c>
      <c r="R521" s="94">
        <f t="shared" si="163"/>
        <v>50</v>
      </c>
      <c r="S521" s="94" t="str">
        <f>VLOOKUP(O521,'Lookup Values'!$I$2:$L$8,4,TRUE)</f>
        <v>Early Morning</v>
      </c>
      <c r="T521" t="s">
        <v>76</v>
      </c>
      <c r="U521" t="s">
        <v>77</v>
      </c>
      <c r="V521" t="str">
        <f t="shared" si="164"/>
        <v>Entertainment: Alcohol</v>
      </c>
      <c r="W521" t="s">
        <v>75</v>
      </c>
      <c r="X521" t="s">
        <v>88</v>
      </c>
      <c r="Y521" s="1">
        <v>441</v>
      </c>
      <c r="Z521" s="1" t="str">
        <f t="shared" si="165"/>
        <v>Entertainment: $441.00</v>
      </c>
      <c r="AA521" s="1">
        <f>IF(Y521="","",ROUND(Y521*'Lookup Values'!$A$2,2))</f>
        <v>39.14</v>
      </c>
      <c r="AB521" s="12" t="str">
        <f t="shared" si="166"/>
        <v>Expense</v>
      </c>
      <c r="AC521" s="2" t="s">
        <v>622</v>
      </c>
      <c r="AD521" s="3">
        <f t="shared" si="167"/>
        <v>40738</v>
      </c>
      <c r="AE521" s="93" t="str">
        <f t="shared" si="168"/>
        <v>NO</v>
      </c>
      <c r="AF521" s="2" t="str">
        <f t="shared" si="169"/>
        <v>NO</v>
      </c>
      <c r="AG521" t="str">
        <f t="shared" si="170"/>
        <v>CRAP Transaction</v>
      </c>
    </row>
    <row r="522" spans="1:33" x14ac:dyDescent="0.25">
      <c r="A522" s="2">
        <v>521</v>
      </c>
      <c r="B522" s="3" t="str">
        <f t="shared" si="152"/>
        <v>070408-IN-AUN</v>
      </c>
      <c r="C522" s="3">
        <v>39180</v>
      </c>
      <c r="D522" s="3">
        <f t="shared" si="154"/>
        <v>39192</v>
      </c>
      <c r="E522" s="3">
        <f t="shared" si="155"/>
        <v>39241</v>
      </c>
      <c r="F522" s="3">
        <f t="shared" si="156"/>
        <v>39202</v>
      </c>
      <c r="G522" s="76">
        <f t="shared" si="157"/>
        <v>2007</v>
      </c>
      <c r="H522" s="76">
        <f t="shared" si="158"/>
        <v>4</v>
      </c>
      <c r="I522" s="76" t="str">
        <f>VLOOKUP(H522,'Lookup Values'!$C$2:$D$13,2,FALSE)</f>
        <v>APR</v>
      </c>
      <c r="J522" s="76">
        <f t="shared" si="159"/>
        <v>8</v>
      </c>
      <c r="K522" s="76">
        <f t="shared" si="160"/>
        <v>1</v>
      </c>
      <c r="L522" s="76" t="str">
        <f>VLOOKUP(K522,'Lookup Values'!$F$2:$G$8,2,FALSE)</f>
        <v>Sunday</v>
      </c>
      <c r="M522" s="3">
        <v>39181</v>
      </c>
      <c r="N522" s="78">
        <f t="shared" si="153"/>
        <v>1</v>
      </c>
      <c r="O522" s="11">
        <v>0.16936075177220866</v>
      </c>
      <c r="P522" s="94">
        <f t="shared" si="161"/>
        <v>4</v>
      </c>
      <c r="Q522" s="94">
        <f t="shared" si="162"/>
        <v>3</v>
      </c>
      <c r="R522" s="94">
        <f t="shared" si="163"/>
        <v>53</v>
      </c>
      <c r="S522" s="94" t="str">
        <f>VLOOKUP(O522,'Lookup Values'!$I$2:$L$8,4,TRUE)</f>
        <v>Early Morning</v>
      </c>
      <c r="T522" t="s">
        <v>158</v>
      </c>
      <c r="U522" t="s">
        <v>161</v>
      </c>
      <c r="V522" t="str">
        <f t="shared" si="164"/>
        <v>Income: Gift Received</v>
      </c>
      <c r="W522" t="s">
        <v>164</v>
      </c>
      <c r="X522" t="s">
        <v>88</v>
      </c>
      <c r="Y522" s="1">
        <v>42</v>
      </c>
      <c r="Z522" s="1" t="str">
        <f t="shared" si="165"/>
        <v>Income: $42.00</v>
      </c>
      <c r="AA522" s="1">
        <f>IF(Y522="","",ROUND(Y522*'Lookup Values'!$A$2,2))</f>
        <v>3.73</v>
      </c>
      <c r="AB522" s="12" t="str">
        <f t="shared" si="166"/>
        <v>Income</v>
      </c>
      <c r="AC522" s="2" t="s">
        <v>623</v>
      </c>
      <c r="AD522" s="3">
        <f t="shared" si="167"/>
        <v>39180</v>
      </c>
      <c r="AE522" s="93" t="str">
        <f t="shared" si="168"/>
        <v>NO</v>
      </c>
      <c r="AF522" s="2" t="str">
        <f t="shared" si="169"/>
        <v>NO</v>
      </c>
      <c r="AG522" t="str">
        <f t="shared" si="170"/>
        <v>Late Transaction</v>
      </c>
    </row>
    <row r="523" spans="1:33" x14ac:dyDescent="0.25">
      <c r="A523" s="2">
        <v>522</v>
      </c>
      <c r="B523" s="3" t="str">
        <f t="shared" si="152"/>
        <v>110707-BI-CON</v>
      </c>
      <c r="C523" s="3">
        <v>40731</v>
      </c>
      <c r="D523" s="3">
        <f t="shared" si="154"/>
        <v>40745</v>
      </c>
      <c r="E523" s="3">
        <f t="shared" si="155"/>
        <v>40793</v>
      </c>
      <c r="F523" s="3">
        <f t="shared" si="156"/>
        <v>40755</v>
      </c>
      <c r="G523" s="76">
        <f t="shared" si="157"/>
        <v>2011</v>
      </c>
      <c r="H523" s="76">
        <f t="shared" si="158"/>
        <v>7</v>
      </c>
      <c r="I523" s="76" t="str">
        <f>VLOOKUP(H523,'Lookup Values'!$C$2:$D$13,2,FALSE)</f>
        <v>JUL</v>
      </c>
      <c r="J523" s="76">
        <f t="shared" si="159"/>
        <v>7</v>
      </c>
      <c r="K523" s="76">
        <f t="shared" si="160"/>
        <v>5</v>
      </c>
      <c r="L523" s="76" t="str">
        <f>VLOOKUP(K523,'Lookup Values'!$F$2:$G$8,2,FALSE)</f>
        <v>Thursday</v>
      </c>
      <c r="M523" s="3">
        <v>40733</v>
      </c>
      <c r="N523" s="78">
        <f t="shared" si="153"/>
        <v>2</v>
      </c>
      <c r="O523" s="11">
        <v>0.2012448118830209</v>
      </c>
      <c r="P523" s="94">
        <f t="shared" si="161"/>
        <v>4</v>
      </c>
      <c r="Q523" s="94">
        <f t="shared" si="162"/>
        <v>49</v>
      </c>
      <c r="R523" s="94">
        <f t="shared" si="163"/>
        <v>48</v>
      </c>
      <c r="S523" s="94" t="str">
        <f>VLOOKUP(O523,'Lookup Values'!$I$2:$L$8,4,TRUE)</f>
        <v>Early Morning</v>
      </c>
      <c r="T523" t="s">
        <v>110</v>
      </c>
      <c r="U523" t="s">
        <v>111</v>
      </c>
      <c r="V523" t="str">
        <f t="shared" si="164"/>
        <v>Bills: Utilities</v>
      </c>
      <c r="W523" t="s">
        <v>109</v>
      </c>
      <c r="X523" t="s">
        <v>88</v>
      </c>
      <c r="Y523" s="1">
        <v>205</v>
      </c>
      <c r="Z523" s="1" t="str">
        <f t="shared" si="165"/>
        <v>Bills: $205.00</v>
      </c>
      <c r="AA523" s="1">
        <f>IF(Y523="","",ROUND(Y523*'Lookup Values'!$A$2,2))</f>
        <v>18.190000000000001</v>
      </c>
      <c r="AB523" s="12" t="str">
        <f t="shared" si="166"/>
        <v>Expense</v>
      </c>
      <c r="AC523" s="2" t="s">
        <v>583</v>
      </c>
      <c r="AD523" s="3">
        <f t="shared" si="167"/>
        <v>40731</v>
      </c>
      <c r="AE523" s="93" t="str">
        <f t="shared" si="168"/>
        <v>NO</v>
      </c>
      <c r="AF523" s="2" t="str">
        <f t="shared" si="169"/>
        <v>NO</v>
      </c>
      <c r="AG523" t="str">
        <f t="shared" si="170"/>
        <v>CRAP Transaction</v>
      </c>
    </row>
    <row r="524" spans="1:33" x14ac:dyDescent="0.25">
      <c r="A524" s="2">
        <v>523</v>
      </c>
      <c r="B524" s="3" t="str">
        <f t="shared" si="152"/>
        <v>080914-HO-BED</v>
      </c>
      <c r="C524" s="3">
        <v>39705</v>
      </c>
      <c r="D524" s="3">
        <f t="shared" si="154"/>
        <v>39717</v>
      </c>
      <c r="E524" s="3">
        <f t="shared" si="155"/>
        <v>39766</v>
      </c>
      <c r="F524" s="3">
        <f t="shared" si="156"/>
        <v>39721</v>
      </c>
      <c r="G524" s="76">
        <f t="shared" si="157"/>
        <v>2008</v>
      </c>
      <c r="H524" s="76">
        <f t="shared" si="158"/>
        <v>9</v>
      </c>
      <c r="I524" s="76" t="str">
        <f>VLOOKUP(H524,'Lookup Values'!$C$2:$D$13,2,FALSE)</f>
        <v>SEP</v>
      </c>
      <c r="J524" s="76">
        <f t="shared" si="159"/>
        <v>14</v>
      </c>
      <c r="K524" s="76">
        <f t="shared" si="160"/>
        <v>1</v>
      </c>
      <c r="L524" s="76" t="str">
        <f>VLOOKUP(K524,'Lookup Values'!$F$2:$G$8,2,FALSE)</f>
        <v>Sunday</v>
      </c>
      <c r="M524" s="3">
        <v>39709</v>
      </c>
      <c r="N524" s="78">
        <f t="shared" si="153"/>
        <v>4</v>
      </c>
      <c r="O524" s="11">
        <v>0.63187502780483418</v>
      </c>
      <c r="P524" s="94">
        <f t="shared" si="161"/>
        <v>15</v>
      </c>
      <c r="Q524" s="94">
        <f t="shared" si="162"/>
        <v>9</v>
      </c>
      <c r="R524" s="94">
        <f t="shared" si="163"/>
        <v>54</v>
      </c>
      <c r="S524" s="94" t="str">
        <f>VLOOKUP(O524,'Lookup Values'!$I$2:$L$8,4,TRUE)</f>
        <v>Afternoon</v>
      </c>
      <c r="T524" t="s">
        <v>100</v>
      </c>
      <c r="U524" t="s">
        <v>101</v>
      </c>
      <c r="V524" t="str">
        <f t="shared" si="164"/>
        <v>Home: Cleaning Supplies</v>
      </c>
      <c r="W524" t="s">
        <v>99</v>
      </c>
      <c r="X524" t="s">
        <v>78</v>
      </c>
      <c r="Y524" s="1">
        <v>69</v>
      </c>
      <c r="Z524" s="1" t="str">
        <f t="shared" si="165"/>
        <v>Home: $69.00</v>
      </c>
      <c r="AA524" s="1">
        <f>IF(Y524="","",ROUND(Y524*'Lookup Values'!$A$2,2))</f>
        <v>6.12</v>
      </c>
      <c r="AB524" s="12" t="str">
        <f t="shared" si="166"/>
        <v>Expense</v>
      </c>
      <c r="AC524" s="2" t="s">
        <v>328</v>
      </c>
      <c r="AD524" s="3">
        <f t="shared" si="167"/>
        <v>39705</v>
      </c>
      <c r="AE524" s="93" t="str">
        <f t="shared" si="168"/>
        <v>NO</v>
      </c>
      <c r="AF524" s="2" t="str">
        <f t="shared" si="169"/>
        <v>NO</v>
      </c>
      <c r="AG524" t="str">
        <f t="shared" si="170"/>
        <v>Late Transaction</v>
      </c>
    </row>
    <row r="525" spans="1:33" x14ac:dyDescent="0.25">
      <c r="A525" s="2">
        <v>524</v>
      </c>
      <c r="B525" s="3" t="str">
        <f t="shared" si="152"/>
        <v>080603-SH-EXP</v>
      </c>
      <c r="C525" s="3">
        <v>39602</v>
      </c>
      <c r="D525" s="3">
        <f t="shared" si="154"/>
        <v>39616</v>
      </c>
      <c r="E525" s="3">
        <f t="shared" si="155"/>
        <v>39663</v>
      </c>
      <c r="F525" s="3">
        <f t="shared" si="156"/>
        <v>39629</v>
      </c>
      <c r="G525" s="76">
        <f t="shared" si="157"/>
        <v>2008</v>
      </c>
      <c r="H525" s="76">
        <f t="shared" si="158"/>
        <v>6</v>
      </c>
      <c r="I525" s="76" t="str">
        <f>VLOOKUP(H525,'Lookup Values'!$C$2:$D$13,2,FALSE)</f>
        <v>JUN</v>
      </c>
      <c r="J525" s="76">
        <f t="shared" si="159"/>
        <v>3</v>
      </c>
      <c r="K525" s="76">
        <f t="shared" si="160"/>
        <v>3</v>
      </c>
      <c r="L525" s="76" t="str">
        <f>VLOOKUP(K525,'Lookup Values'!$F$2:$G$8,2,FALSE)</f>
        <v>Tuesday</v>
      </c>
      <c r="M525" s="3">
        <v>39609</v>
      </c>
      <c r="N525" s="78">
        <f t="shared" si="153"/>
        <v>7</v>
      </c>
      <c r="O525" s="11">
        <v>0.11460037497580033</v>
      </c>
      <c r="P525" s="94">
        <f t="shared" si="161"/>
        <v>2</v>
      </c>
      <c r="Q525" s="94">
        <f t="shared" si="162"/>
        <v>45</v>
      </c>
      <c r="R525" s="94">
        <f t="shared" si="163"/>
        <v>1</v>
      </c>
      <c r="S525" s="94" t="str">
        <f>VLOOKUP(O525,'Lookup Values'!$I$2:$L$8,4,TRUE)</f>
        <v>Dead of Night</v>
      </c>
      <c r="T525" t="s">
        <v>83</v>
      </c>
      <c r="U525" t="s">
        <v>103</v>
      </c>
      <c r="V525" t="str">
        <f t="shared" si="164"/>
        <v>Shopping: Clothing</v>
      </c>
      <c r="W525" t="s">
        <v>102</v>
      </c>
      <c r="X525" t="s">
        <v>78</v>
      </c>
      <c r="Y525" s="1">
        <v>92</v>
      </c>
      <c r="Z525" s="1" t="str">
        <f t="shared" si="165"/>
        <v>Shopping: $92.00</v>
      </c>
      <c r="AA525" s="1">
        <f>IF(Y525="","",ROUND(Y525*'Lookup Values'!$A$2,2))</f>
        <v>8.17</v>
      </c>
      <c r="AB525" s="12" t="str">
        <f t="shared" si="166"/>
        <v>Expense</v>
      </c>
      <c r="AC525" s="2" t="s">
        <v>624</v>
      </c>
      <c r="AD525" s="3">
        <f t="shared" si="167"/>
        <v>39602</v>
      </c>
      <c r="AE525" s="93" t="str">
        <f t="shared" si="168"/>
        <v>NO</v>
      </c>
      <c r="AF525" s="2" t="str">
        <f t="shared" si="169"/>
        <v>NO</v>
      </c>
      <c r="AG525" t="str">
        <f t="shared" si="170"/>
        <v>Awesome Transaction</v>
      </c>
    </row>
    <row r="526" spans="1:33" x14ac:dyDescent="0.25">
      <c r="A526" s="2">
        <v>525</v>
      </c>
      <c r="B526" s="3" t="str">
        <f t="shared" si="152"/>
        <v>110422-ED-ANT</v>
      </c>
      <c r="C526" s="3">
        <v>40655</v>
      </c>
      <c r="D526" s="3">
        <f t="shared" si="154"/>
        <v>40669</v>
      </c>
      <c r="E526" s="3">
        <f t="shared" si="155"/>
        <v>40716</v>
      </c>
      <c r="F526" s="3">
        <f t="shared" si="156"/>
        <v>40663</v>
      </c>
      <c r="G526" s="76">
        <f t="shared" si="157"/>
        <v>2011</v>
      </c>
      <c r="H526" s="76">
        <f t="shared" si="158"/>
        <v>4</v>
      </c>
      <c r="I526" s="76" t="str">
        <f>VLOOKUP(H526,'Lookup Values'!$C$2:$D$13,2,FALSE)</f>
        <v>APR</v>
      </c>
      <c r="J526" s="76">
        <f t="shared" si="159"/>
        <v>22</v>
      </c>
      <c r="K526" s="76">
        <f t="shared" si="160"/>
        <v>6</v>
      </c>
      <c r="L526" s="76" t="str">
        <f>VLOOKUP(K526,'Lookup Values'!$F$2:$G$8,2,FALSE)</f>
        <v>Friday</v>
      </c>
      <c r="M526" s="3">
        <v>40665</v>
      </c>
      <c r="N526" s="78">
        <f t="shared" si="153"/>
        <v>10</v>
      </c>
      <c r="O526" s="11">
        <v>0.54769062772895627</v>
      </c>
      <c r="P526" s="94">
        <f t="shared" si="161"/>
        <v>13</v>
      </c>
      <c r="Q526" s="94">
        <f t="shared" si="162"/>
        <v>8</v>
      </c>
      <c r="R526" s="94">
        <f t="shared" si="163"/>
        <v>40</v>
      </c>
      <c r="S526" s="94" t="str">
        <f>VLOOKUP(O526,'Lookup Values'!$I$2:$L$8,4,TRUE)</f>
        <v>Afternoon</v>
      </c>
      <c r="T526" t="s">
        <v>86</v>
      </c>
      <c r="U526" t="s">
        <v>87</v>
      </c>
      <c r="V526" t="str">
        <f t="shared" si="164"/>
        <v>Education: Tango Lessons</v>
      </c>
      <c r="W526" t="s">
        <v>85</v>
      </c>
      <c r="X526" t="s">
        <v>88</v>
      </c>
      <c r="Y526" s="1">
        <v>242</v>
      </c>
      <c r="Z526" s="1" t="str">
        <f t="shared" si="165"/>
        <v>Education: $242.00</v>
      </c>
      <c r="AA526" s="1">
        <f>IF(Y526="","",ROUND(Y526*'Lookup Values'!$A$2,2))</f>
        <v>21.48</v>
      </c>
      <c r="AB526" s="12" t="str">
        <f t="shared" si="166"/>
        <v>Expense</v>
      </c>
      <c r="AC526" s="2" t="s">
        <v>625</v>
      </c>
      <c r="AD526" s="3">
        <f t="shared" si="167"/>
        <v>40655</v>
      </c>
      <c r="AE526" s="93" t="str">
        <f t="shared" si="168"/>
        <v>NO</v>
      </c>
      <c r="AF526" s="2" t="str">
        <f t="shared" si="169"/>
        <v>NO</v>
      </c>
      <c r="AG526" t="str">
        <f t="shared" si="170"/>
        <v>CRAP Transaction</v>
      </c>
    </row>
    <row r="527" spans="1:33" x14ac:dyDescent="0.25">
      <c r="A527" s="2">
        <v>526</v>
      </c>
      <c r="B527" s="3" t="str">
        <f t="shared" si="152"/>
        <v>100521-FO-TRA</v>
      </c>
      <c r="C527" s="3">
        <v>40319</v>
      </c>
      <c r="D527" s="3">
        <f t="shared" si="154"/>
        <v>40333</v>
      </c>
      <c r="E527" s="3">
        <f t="shared" si="155"/>
        <v>40380</v>
      </c>
      <c r="F527" s="3">
        <f t="shared" si="156"/>
        <v>40329</v>
      </c>
      <c r="G527" s="76">
        <f t="shared" si="157"/>
        <v>2010</v>
      </c>
      <c r="H527" s="76">
        <f t="shared" si="158"/>
        <v>5</v>
      </c>
      <c r="I527" s="76" t="str">
        <f>VLOOKUP(H527,'Lookup Values'!$C$2:$D$13,2,FALSE)</f>
        <v>MAY</v>
      </c>
      <c r="J527" s="76">
        <f t="shared" si="159"/>
        <v>21</v>
      </c>
      <c r="K527" s="76">
        <f t="shared" si="160"/>
        <v>6</v>
      </c>
      <c r="L527" s="76" t="str">
        <f>VLOOKUP(K527,'Lookup Values'!$F$2:$G$8,2,FALSE)</f>
        <v>Friday</v>
      </c>
      <c r="M527" s="3">
        <v>40323</v>
      </c>
      <c r="N527" s="78">
        <f t="shared" si="153"/>
        <v>4</v>
      </c>
      <c r="O527" s="11">
        <v>0.87079245328448085</v>
      </c>
      <c r="P527" s="94">
        <f t="shared" si="161"/>
        <v>20</v>
      </c>
      <c r="Q527" s="94">
        <f t="shared" si="162"/>
        <v>53</v>
      </c>
      <c r="R527" s="94">
        <f t="shared" si="163"/>
        <v>56</v>
      </c>
      <c r="S527" s="94" t="str">
        <f>VLOOKUP(O527,'Lookup Values'!$I$2:$L$8,4,TRUE)</f>
        <v>Evening</v>
      </c>
      <c r="T527" t="s">
        <v>80</v>
      </c>
      <c r="U527" t="s">
        <v>93</v>
      </c>
      <c r="V527" t="str">
        <f t="shared" si="164"/>
        <v>Food: Groceries</v>
      </c>
      <c r="W527" t="s">
        <v>92</v>
      </c>
      <c r="X527" t="s">
        <v>88</v>
      </c>
      <c r="Y527" s="1">
        <v>333</v>
      </c>
      <c r="Z527" s="1" t="str">
        <f t="shared" si="165"/>
        <v>Food: $333.00</v>
      </c>
      <c r="AA527" s="1">
        <f>IF(Y527="","",ROUND(Y527*'Lookup Values'!$A$2,2))</f>
        <v>29.55</v>
      </c>
      <c r="AB527" s="12" t="str">
        <f t="shared" si="166"/>
        <v>Expense</v>
      </c>
      <c r="AC527" s="2" t="s">
        <v>626</v>
      </c>
      <c r="AD527" s="3">
        <f t="shared" si="167"/>
        <v>40319</v>
      </c>
      <c r="AE527" s="93" t="str">
        <f t="shared" si="168"/>
        <v>NO</v>
      </c>
      <c r="AF527" s="2" t="str">
        <f t="shared" si="169"/>
        <v>NO</v>
      </c>
      <c r="AG527" t="str">
        <f t="shared" si="170"/>
        <v>Late Transaction</v>
      </c>
    </row>
    <row r="528" spans="1:33" x14ac:dyDescent="0.25">
      <c r="A528" s="2">
        <v>527</v>
      </c>
      <c r="B528" s="3" t="str">
        <f t="shared" si="152"/>
        <v>101112-EN-FAN</v>
      </c>
      <c r="C528" s="3">
        <v>40494</v>
      </c>
      <c r="D528" s="3">
        <f t="shared" si="154"/>
        <v>40508</v>
      </c>
      <c r="E528" s="3">
        <f t="shared" si="155"/>
        <v>40555</v>
      </c>
      <c r="F528" s="3">
        <f t="shared" si="156"/>
        <v>40512</v>
      </c>
      <c r="G528" s="76">
        <f t="shared" si="157"/>
        <v>2010</v>
      </c>
      <c r="H528" s="76">
        <f t="shared" si="158"/>
        <v>11</v>
      </c>
      <c r="I528" s="76" t="str">
        <f>VLOOKUP(H528,'Lookup Values'!$C$2:$D$13,2,FALSE)</f>
        <v>NOV</v>
      </c>
      <c r="J528" s="76">
        <f t="shared" si="159"/>
        <v>12</v>
      </c>
      <c r="K528" s="76">
        <f t="shared" si="160"/>
        <v>6</v>
      </c>
      <c r="L528" s="76" t="str">
        <f>VLOOKUP(K528,'Lookup Values'!$F$2:$G$8,2,FALSE)</f>
        <v>Friday</v>
      </c>
      <c r="M528" s="3">
        <v>40496</v>
      </c>
      <c r="N528" s="78">
        <f t="shared" si="153"/>
        <v>2</v>
      </c>
      <c r="O528" s="11">
        <v>0.15683331820095847</v>
      </c>
      <c r="P528" s="94">
        <f t="shared" si="161"/>
        <v>3</v>
      </c>
      <c r="Q528" s="94">
        <f t="shared" si="162"/>
        <v>45</v>
      </c>
      <c r="R528" s="94">
        <f t="shared" si="163"/>
        <v>50</v>
      </c>
      <c r="S528" s="94" t="str">
        <f>VLOOKUP(O528,'Lookup Values'!$I$2:$L$8,4,TRUE)</f>
        <v>Dead of Night</v>
      </c>
      <c r="T528" t="s">
        <v>76</v>
      </c>
      <c r="U528" t="s">
        <v>90</v>
      </c>
      <c r="V528" t="str">
        <f t="shared" si="164"/>
        <v>Entertainment: Movies</v>
      </c>
      <c r="W528" t="s">
        <v>89</v>
      </c>
      <c r="X528" t="s">
        <v>78</v>
      </c>
      <c r="Y528" s="1">
        <v>79</v>
      </c>
      <c r="Z528" s="1" t="str">
        <f t="shared" si="165"/>
        <v>Entertainment: $79.00</v>
      </c>
      <c r="AA528" s="1">
        <f>IF(Y528="","",ROUND(Y528*'Lookup Values'!$A$2,2))</f>
        <v>7.01</v>
      </c>
      <c r="AB528" s="12" t="str">
        <f t="shared" si="166"/>
        <v>Expense</v>
      </c>
      <c r="AC528" s="2" t="s">
        <v>627</v>
      </c>
      <c r="AD528" s="3">
        <f t="shared" si="167"/>
        <v>40494</v>
      </c>
      <c r="AE528" s="93" t="str">
        <f t="shared" si="168"/>
        <v>NO</v>
      </c>
      <c r="AF528" s="2" t="str">
        <f t="shared" si="169"/>
        <v>NO</v>
      </c>
      <c r="AG528" t="str">
        <f t="shared" si="170"/>
        <v>Late Transaction</v>
      </c>
    </row>
    <row r="529" spans="1:33" x14ac:dyDescent="0.25">
      <c r="A529" s="2">
        <v>528</v>
      </c>
      <c r="B529" s="3" t="str">
        <f t="shared" si="152"/>
        <v>080325-ED-ANT</v>
      </c>
      <c r="C529" s="3">
        <v>39532</v>
      </c>
      <c r="D529" s="3">
        <f t="shared" si="154"/>
        <v>39546</v>
      </c>
      <c r="E529" s="3">
        <f t="shared" si="155"/>
        <v>39593</v>
      </c>
      <c r="F529" s="3">
        <f t="shared" si="156"/>
        <v>39538</v>
      </c>
      <c r="G529" s="76">
        <f t="shared" si="157"/>
        <v>2008</v>
      </c>
      <c r="H529" s="76">
        <f t="shared" si="158"/>
        <v>3</v>
      </c>
      <c r="I529" s="76" t="str">
        <f>VLOOKUP(H529,'Lookup Values'!$C$2:$D$13,2,FALSE)</f>
        <v>MAR</v>
      </c>
      <c r="J529" s="76">
        <f t="shared" si="159"/>
        <v>25</v>
      </c>
      <c r="K529" s="76">
        <f t="shared" si="160"/>
        <v>3</v>
      </c>
      <c r="L529" s="76" t="str">
        <f>VLOOKUP(K529,'Lookup Values'!$F$2:$G$8,2,FALSE)</f>
        <v>Tuesday</v>
      </c>
      <c r="M529" s="3">
        <v>39538</v>
      </c>
      <c r="N529" s="78">
        <f t="shared" si="153"/>
        <v>6</v>
      </c>
      <c r="O529" s="11">
        <v>0.30391936874412417</v>
      </c>
      <c r="P529" s="94">
        <f t="shared" si="161"/>
        <v>7</v>
      </c>
      <c r="Q529" s="94">
        <f t="shared" si="162"/>
        <v>17</v>
      </c>
      <c r="R529" s="94">
        <f t="shared" si="163"/>
        <v>39</v>
      </c>
      <c r="S529" s="94" t="str">
        <f>VLOOKUP(O529,'Lookup Values'!$I$2:$L$8,4,TRUE)</f>
        <v>Morning</v>
      </c>
      <c r="T529" t="s">
        <v>86</v>
      </c>
      <c r="U529" t="s">
        <v>87</v>
      </c>
      <c r="V529" t="str">
        <f t="shared" si="164"/>
        <v>Education: Tango Lessons</v>
      </c>
      <c r="W529" t="s">
        <v>85</v>
      </c>
      <c r="X529" t="s">
        <v>88</v>
      </c>
      <c r="Y529" s="1">
        <v>91</v>
      </c>
      <c r="Z529" s="1" t="str">
        <f t="shared" si="165"/>
        <v>Education: $91.00</v>
      </c>
      <c r="AA529" s="1">
        <f>IF(Y529="","",ROUND(Y529*'Lookup Values'!$A$2,2))</f>
        <v>8.08</v>
      </c>
      <c r="AB529" s="12" t="str">
        <f t="shared" si="166"/>
        <v>Expense</v>
      </c>
      <c r="AC529" s="2" t="s">
        <v>491</v>
      </c>
      <c r="AD529" s="3">
        <f t="shared" si="167"/>
        <v>39532</v>
      </c>
      <c r="AE529" s="93" t="str">
        <f t="shared" si="168"/>
        <v>NO</v>
      </c>
      <c r="AF529" s="2" t="str">
        <f t="shared" si="169"/>
        <v>NO</v>
      </c>
      <c r="AG529" t="str">
        <f t="shared" si="170"/>
        <v>Late Transaction</v>
      </c>
    </row>
    <row r="530" spans="1:33" x14ac:dyDescent="0.25">
      <c r="A530" s="2">
        <v>529</v>
      </c>
      <c r="B530" s="3" t="str">
        <f t="shared" si="152"/>
        <v>090608-ED-ANT</v>
      </c>
      <c r="C530" s="3">
        <v>39972</v>
      </c>
      <c r="D530" s="3">
        <f t="shared" si="154"/>
        <v>39986</v>
      </c>
      <c r="E530" s="3">
        <f t="shared" si="155"/>
        <v>40033</v>
      </c>
      <c r="F530" s="3">
        <f t="shared" si="156"/>
        <v>39994</v>
      </c>
      <c r="G530" s="76">
        <f t="shared" si="157"/>
        <v>2009</v>
      </c>
      <c r="H530" s="76">
        <f t="shared" si="158"/>
        <v>6</v>
      </c>
      <c r="I530" s="76" t="str">
        <f>VLOOKUP(H530,'Lookup Values'!$C$2:$D$13,2,FALSE)</f>
        <v>JUN</v>
      </c>
      <c r="J530" s="76">
        <f t="shared" si="159"/>
        <v>8</v>
      </c>
      <c r="K530" s="76">
        <f t="shared" si="160"/>
        <v>2</v>
      </c>
      <c r="L530" s="76" t="str">
        <f>VLOOKUP(K530,'Lookup Values'!$F$2:$G$8,2,FALSE)</f>
        <v>Monday</v>
      </c>
      <c r="M530" s="3">
        <v>39979</v>
      </c>
      <c r="N530" s="78">
        <f t="shared" si="153"/>
        <v>7</v>
      </c>
      <c r="O530" s="11">
        <v>0.78478107941862718</v>
      </c>
      <c r="P530" s="94">
        <f t="shared" si="161"/>
        <v>18</v>
      </c>
      <c r="Q530" s="94">
        <f t="shared" si="162"/>
        <v>50</v>
      </c>
      <c r="R530" s="94">
        <f t="shared" si="163"/>
        <v>5</v>
      </c>
      <c r="S530" s="94" t="str">
        <f>VLOOKUP(O530,'Lookup Values'!$I$2:$L$8,4,TRUE)</f>
        <v>Evening</v>
      </c>
      <c r="T530" t="s">
        <v>86</v>
      </c>
      <c r="U530" t="s">
        <v>87</v>
      </c>
      <c r="V530" t="str">
        <f t="shared" si="164"/>
        <v>Education: Tango Lessons</v>
      </c>
      <c r="W530" t="s">
        <v>85</v>
      </c>
      <c r="X530" t="s">
        <v>91</v>
      </c>
      <c r="Y530" s="1">
        <v>497</v>
      </c>
      <c r="Z530" s="1" t="str">
        <f t="shared" si="165"/>
        <v>Education: $497.00</v>
      </c>
      <c r="AA530" s="1">
        <f>IF(Y530="","",ROUND(Y530*'Lookup Values'!$A$2,2))</f>
        <v>44.11</v>
      </c>
      <c r="AB530" s="12" t="str">
        <f t="shared" si="166"/>
        <v>Expense</v>
      </c>
      <c r="AC530" s="2" t="s">
        <v>628</v>
      </c>
      <c r="AD530" s="3">
        <f t="shared" si="167"/>
        <v>39972</v>
      </c>
      <c r="AE530" s="93" t="str">
        <f t="shared" si="168"/>
        <v>NO</v>
      </c>
      <c r="AF530" s="2" t="str">
        <f t="shared" si="169"/>
        <v>NO</v>
      </c>
      <c r="AG530" t="str">
        <f t="shared" si="170"/>
        <v>Late Transaction</v>
      </c>
    </row>
    <row r="531" spans="1:33" x14ac:dyDescent="0.25">
      <c r="A531" s="2">
        <v>530</v>
      </c>
      <c r="B531" s="3" t="str">
        <f t="shared" si="152"/>
        <v>120611-FO-CIT</v>
      </c>
      <c r="C531" s="3">
        <v>41071</v>
      </c>
      <c r="D531" s="3">
        <f t="shared" si="154"/>
        <v>41085</v>
      </c>
      <c r="E531" s="3">
        <f t="shared" si="155"/>
        <v>41132</v>
      </c>
      <c r="F531" s="3">
        <f t="shared" si="156"/>
        <v>41090</v>
      </c>
      <c r="G531" s="76">
        <f t="shared" si="157"/>
        <v>2012</v>
      </c>
      <c r="H531" s="76">
        <f t="shared" si="158"/>
        <v>6</v>
      </c>
      <c r="I531" s="76" t="str">
        <f>VLOOKUP(H531,'Lookup Values'!$C$2:$D$13,2,FALSE)</f>
        <v>JUN</v>
      </c>
      <c r="J531" s="76">
        <f t="shared" si="159"/>
        <v>11</v>
      </c>
      <c r="K531" s="76">
        <f t="shared" si="160"/>
        <v>2</v>
      </c>
      <c r="L531" s="76" t="str">
        <f>VLOOKUP(K531,'Lookup Values'!$F$2:$G$8,2,FALSE)</f>
        <v>Monday</v>
      </c>
      <c r="M531" s="3">
        <v>41075</v>
      </c>
      <c r="N531" s="78">
        <f t="shared" si="153"/>
        <v>4</v>
      </c>
      <c r="O531" s="11">
        <v>0.46805122497576923</v>
      </c>
      <c r="P531" s="94">
        <f t="shared" si="161"/>
        <v>11</v>
      </c>
      <c r="Q531" s="94">
        <f t="shared" si="162"/>
        <v>14</v>
      </c>
      <c r="R531" s="94">
        <f t="shared" si="163"/>
        <v>0</v>
      </c>
      <c r="S531" s="94" t="str">
        <f>VLOOKUP(O531,'Lookup Values'!$I$2:$L$8,4,TRUE)</f>
        <v>Late Morning</v>
      </c>
      <c r="T531" t="s">
        <v>80</v>
      </c>
      <c r="U531" t="s">
        <v>105</v>
      </c>
      <c r="V531" t="str">
        <f t="shared" si="164"/>
        <v>Food: Coffee</v>
      </c>
      <c r="W531" t="s">
        <v>104</v>
      </c>
      <c r="X531" t="s">
        <v>88</v>
      </c>
      <c r="Y531" s="1">
        <v>248</v>
      </c>
      <c r="Z531" s="1" t="str">
        <f t="shared" si="165"/>
        <v>Food: $248.00</v>
      </c>
      <c r="AA531" s="1">
        <f>IF(Y531="","",ROUND(Y531*'Lookup Values'!$A$2,2))</f>
        <v>22.01</v>
      </c>
      <c r="AB531" s="12" t="str">
        <f t="shared" si="166"/>
        <v>Expense</v>
      </c>
      <c r="AC531" s="2" t="s">
        <v>629</v>
      </c>
      <c r="AD531" s="3">
        <f t="shared" si="167"/>
        <v>41071</v>
      </c>
      <c r="AE531" s="93" t="str">
        <f t="shared" si="168"/>
        <v>NO</v>
      </c>
      <c r="AF531" s="2" t="str">
        <f t="shared" si="169"/>
        <v>NO</v>
      </c>
      <c r="AG531" t="str">
        <f t="shared" si="170"/>
        <v>CRAP Transaction</v>
      </c>
    </row>
    <row r="532" spans="1:33" x14ac:dyDescent="0.25">
      <c r="A532" s="2">
        <v>531</v>
      </c>
      <c r="B532" s="3" t="str">
        <f t="shared" si="152"/>
        <v>100525-TR-MTA</v>
      </c>
      <c r="C532" s="3">
        <v>40323</v>
      </c>
      <c r="D532" s="3">
        <f t="shared" si="154"/>
        <v>40337</v>
      </c>
      <c r="E532" s="3">
        <f t="shared" si="155"/>
        <v>40384</v>
      </c>
      <c r="F532" s="3">
        <f t="shared" si="156"/>
        <v>40329</v>
      </c>
      <c r="G532" s="76">
        <f t="shared" si="157"/>
        <v>2010</v>
      </c>
      <c r="H532" s="76">
        <f t="shared" si="158"/>
        <v>5</v>
      </c>
      <c r="I532" s="76" t="str">
        <f>VLOOKUP(H532,'Lookup Values'!$C$2:$D$13,2,FALSE)</f>
        <v>MAY</v>
      </c>
      <c r="J532" s="76">
        <f t="shared" si="159"/>
        <v>25</v>
      </c>
      <c r="K532" s="76">
        <f t="shared" si="160"/>
        <v>3</v>
      </c>
      <c r="L532" s="76" t="str">
        <f>VLOOKUP(K532,'Lookup Values'!$F$2:$G$8,2,FALSE)</f>
        <v>Tuesday</v>
      </c>
      <c r="M532" s="3">
        <v>40326</v>
      </c>
      <c r="N532" s="78">
        <f t="shared" si="153"/>
        <v>3</v>
      </c>
      <c r="O532" s="11">
        <v>0.60437018465310266</v>
      </c>
      <c r="P532" s="94">
        <f t="shared" si="161"/>
        <v>14</v>
      </c>
      <c r="Q532" s="94">
        <f t="shared" si="162"/>
        <v>30</v>
      </c>
      <c r="R532" s="94">
        <f t="shared" si="163"/>
        <v>18</v>
      </c>
      <c r="S532" s="94" t="str">
        <f>VLOOKUP(O532,'Lookup Values'!$I$2:$L$8,4,TRUE)</f>
        <v>Afternoon</v>
      </c>
      <c r="T532" t="s">
        <v>95</v>
      </c>
      <c r="U532" t="s">
        <v>96</v>
      </c>
      <c r="V532" t="str">
        <f t="shared" si="164"/>
        <v>Transportation: Subway</v>
      </c>
      <c r="W532" t="s">
        <v>94</v>
      </c>
      <c r="X532" t="s">
        <v>91</v>
      </c>
      <c r="Y532" s="1">
        <v>86</v>
      </c>
      <c r="Z532" s="1" t="str">
        <f t="shared" si="165"/>
        <v>Transportation: $86.00</v>
      </c>
      <c r="AA532" s="1">
        <f>IF(Y532="","",ROUND(Y532*'Lookup Values'!$A$2,2))</f>
        <v>7.63</v>
      </c>
      <c r="AB532" s="12" t="str">
        <f t="shared" si="166"/>
        <v>Expense</v>
      </c>
      <c r="AC532" s="2" t="s">
        <v>630</v>
      </c>
      <c r="AD532" s="3">
        <f t="shared" si="167"/>
        <v>40323</v>
      </c>
      <c r="AE532" s="93" t="str">
        <f t="shared" si="168"/>
        <v>YES</v>
      </c>
      <c r="AF532" s="2" t="str">
        <f t="shared" si="169"/>
        <v>NO</v>
      </c>
      <c r="AG532" t="str">
        <f t="shared" si="170"/>
        <v>Late Transaction</v>
      </c>
    </row>
    <row r="533" spans="1:33" x14ac:dyDescent="0.25">
      <c r="A533" s="2">
        <v>532</v>
      </c>
      <c r="B533" s="3" t="str">
        <f t="shared" si="152"/>
        <v>120211-HE-FRE</v>
      </c>
      <c r="C533" s="3">
        <v>40950</v>
      </c>
      <c r="D533" s="3">
        <f t="shared" si="154"/>
        <v>40963</v>
      </c>
      <c r="E533" s="3">
        <f t="shared" si="155"/>
        <v>41010</v>
      </c>
      <c r="F533" s="3">
        <f t="shared" si="156"/>
        <v>40968</v>
      </c>
      <c r="G533" s="76">
        <f t="shared" si="157"/>
        <v>2012</v>
      </c>
      <c r="H533" s="76">
        <f t="shared" si="158"/>
        <v>2</v>
      </c>
      <c r="I533" s="76" t="str">
        <f>VLOOKUP(H533,'Lookup Values'!$C$2:$D$13,2,FALSE)</f>
        <v>FEB</v>
      </c>
      <c r="J533" s="76">
        <f t="shared" si="159"/>
        <v>11</v>
      </c>
      <c r="K533" s="76">
        <f t="shared" si="160"/>
        <v>7</v>
      </c>
      <c r="L533" s="76" t="str">
        <f>VLOOKUP(K533,'Lookup Values'!$F$2:$G$8,2,FALSE)</f>
        <v>Saturday</v>
      </c>
      <c r="M533" s="3">
        <v>40957</v>
      </c>
      <c r="N533" s="78">
        <f t="shared" si="153"/>
        <v>7</v>
      </c>
      <c r="O533" s="11">
        <v>0.64674725242928388</v>
      </c>
      <c r="P533" s="94">
        <f t="shared" si="161"/>
        <v>15</v>
      </c>
      <c r="Q533" s="94">
        <f t="shared" si="162"/>
        <v>31</v>
      </c>
      <c r="R533" s="94">
        <f t="shared" si="163"/>
        <v>19</v>
      </c>
      <c r="S533" s="94" t="str">
        <f>VLOOKUP(O533,'Lookup Values'!$I$2:$L$8,4,TRUE)</f>
        <v>Afternoon</v>
      </c>
      <c r="T533" t="s">
        <v>107</v>
      </c>
      <c r="U533" t="s">
        <v>108</v>
      </c>
      <c r="V533" t="str">
        <f t="shared" si="164"/>
        <v>Health: Insurance Premium</v>
      </c>
      <c r="W533" t="s">
        <v>106</v>
      </c>
      <c r="X533" t="s">
        <v>91</v>
      </c>
      <c r="Y533" s="1">
        <v>266</v>
      </c>
      <c r="Z533" s="1" t="str">
        <f t="shared" si="165"/>
        <v>Health: $266.00</v>
      </c>
      <c r="AA533" s="1">
        <f>IF(Y533="","",ROUND(Y533*'Lookup Values'!$A$2,2))</f>
        <v>23.61</v>
      </c>
      <c r="AB533" s="12" t="str">
        <f t="shared" si="166"/>
        <v>Expense</v>
      </c>
      <c r="AC533" s="2" t="s">
        <v>631</v>
      </c>
      <c r="AD533" s="3">
        <f t="shared" si="167"/>
        <v>40950</v>
      </c>
      <c r="AE533" s="93" t="str">
        <f t="shared" si="168"/>
        <v>NO</v>
      </c>
      <c r="AF533" s="2" t="str">
        <f t="shared" si="169"/>
        <v>NO</v>
      </c>
      <c r="AG533" t="str">
        <f t="shared" si="170"/>
        <v>CRAP Transaction</v>
      </c>
    </row>
    <row r="534" spans="1:33" x14ac:dyDescent="0.25">
      <c r="A534" s="2">
        <v>533</v>
      </c>
      <c r="B534" s="3" t="str">
        <f t="shared" si="152"/>
        <v>070421-FO-CIT</v>
      </c>
      <c r="C534" s="3">
        <v>39193</v>
      </c>
      <c r="D534" s="3">
        <f t="shared" si="154"/>
        <v>39206</v>
      </c>
      <c r="E534" s="3">
        <f t="shared" si="155"/>
        <v>39254</v>
      </c>
      <c r="F534" s="3">
        <f t="shared" si="156"/>
        <v>39202</v>
      </c>
      <c r="G534" s="76">
        <f t="shared" si="157"/>
        <v>2007</v>
      </c>
      <c r="H534" s="76">
        <f t="shared" si="158"/>
        <v>4</v>
      </c>
      <c r="I534" s="76" t="str">
        <f>VLOOKUP(H534,'Lookup Values'!$C$2:$D$13,2,FALSE)</f>
        <v>APR</v>
      </c>
      <c r="J534" s="76">
        <f t="shared" si="159"/>
        <v>21</v>
      </c>
      <c r="K534" s="76">
        <f t="shared" si="160"/>
        <v>7</v>
      </c>
      <c r="L534" s="76" t="str">
        <f>VLOOKUP(K534,'Lookup Values'!$F$2:$G$8,2,FALSE)</f>
        <v>Saturday</v>
      </c>
      <c r="M534" s="3">
        <v>39202</v>
      </c>
      <c r="N534" s="78">
        <f t="shared" si="153"/>
        <v>9</v>
      </c>
      <c r="O534" s="11">
        <v>0.13385705658731539</v>
      </c>
      <c r="P534" s="94">
        <f t="shared" si="161"/>
        <v>3</v>
      </c>
      <c r="Q534" s="94">
        <f t="shared" si="162"/>
        <v>12</v>
      </c>
      <c r="R534" s="94">
        <f t="shared" si="163"/>
        <v>45</v>
      </c>
      <c r="S534" s="94" t="str">
        <f>VLOOKUP(O534,'Lookup Values'!$I$2:$L$8,4,TRUE)</f>
        <v>Dead of Night</v>
      </c>
      <c r="T534" t="s">
        <v>80</v>
      </c>
      <c r="U534" t="s">
        <v>105</v>
      </c>
      <c r="V534" t="str">
        <f t="shared" si="164"/>
        <v>Food: Coffee</v>
      </c>
      <c r="W534" t="s">
        <v>104</v>
      </c>
      <c r="X534" t="s">
        <v>78</v>
      </c>
      <c r="Y534" s="1">
        <v>35</v>
      </c>
      <c r="Z534" s="1" t="str">
        <f t="shared" si="165"/>
        <v>Food: $35.00</v>
      </c>
      <c r="AA534" s="1">
        <f>IF(Y534="","",ROUND(Y534*'Lookup Values'!$A$2,2))</f>
        <v>3.11</v>
      </c>
      <c r="AB534" s="12" t="str">
        <f t="shared" si="166"/>
        <v>Expense</v>
      </c>
      <c r="AC534" s="2" t="s">
        <v>632</v>
      </c>
      <c r="AD534" s="3">
        <f t="shared" si="167"/>
        <v>39193</v>
      </c>
      <c r="AE534" s="93" t="str">
        <f t="shared" si="168"/>
        <v>NO</v>
      </c>
      <c r="AF534" s="2" t="str">
        <f t="shared" si="169"/>
        <v>NO</v>
      </c>
      <c r="AG534" t="str">
        <f t="shared" si="170"/>
        <v>Awesome Transaction</v>
      </c>
    </row>
    <row r="535" spans="1:33" x14ac:dyDescent="0.25">
      <c r="A535" s="2">
        <v>534</v>
      </c>
      <c r="B535" s="3" t="str">
        <f t="shared" si="152"/>
        <v>070905-SH-AMA</v>
      </c>
      <c r="C535" s="3">
        <v>39330</v>
      </c>
      <c r="D535" s="3">
        <f t="shared" si="154"/>
        <v>39344</v>
      </c>
      <c r="E535" s="3">
        <f t="shared" si="155"/>
        <v>39391</v>
      </c>
      <c r="F535" s="3">
        <f t="shared" si="156"/>
        <v>39355</v>
      </c>
      <c r="G535" s="76">
        <f t="shared" si="157"/>
        <v>2007</v>
      </c>
      <c r="H535" s="76">
        <f t="shared" si="158"/>
        <v>9</v>
      </c>
      <c r="I535" s="76" t="str">
        <f>VLOOKUP(H535,'Lookup Values'!$C$2:$D$13,2,FALSE)</f>
        <v>SEP</v>
      </c>
      <c r="J535" s="76">
        <f t="shared" si="159"/>
        <v>5</v>
      </c>
      <c r="K535" s="76">
        <f t="shared" si="160"/>
        <v>4</v>
      </c>
      <c r="L535" s="76" t="str">
        <f>VLOOKUP(K535,'Lookup Values'!$F$2:$G$8,2,FALSE)</f>
        <v>Wednesday</v>
      </c>
      <c r="M535" s="3">
        <v>39337</v>
      </c>
      <c r="N535" s="78">
        <f t="shared" si="153"/>
        <v>7</v>
      </c>
      <c r="O535" s="11">
        <v>0.14084637287704205</v>
      </c>
      <c r="P535" s="94">
        <f t="shared" si="161"/>
        <v>3</v>
      </c>
      <c r="Q535" s="94">
        <f t="shared" si="162"/>
        <v>22</v>
      </c>
      <c r="R535" s="94">
        <f t="shared" si="163"/>
        <v>49</v>
      </c>
      <c r="S535" s="94" t="str">
        <f>VLOOKUP(O535,'Lookup Values'!$I$2:$L$8,4,TRUE)</f>
        <v>Dead of Night</v>
      </c>
      <c r="T535" t="s">
        <v>83</v>
      </c>
      <c r="U535" t="s">
        <v>84</v>
      </c>
      <c r="V535" t="str">
        <f t="shared" si="164"/>
        <v>Shopping: Electronics</v>
      </c>
      <c r="W535" t="s">
        <v>82</v>
      </c>
      <c r="X535" t="s">
        <v>91</v>
      </c>
      <c r="Y535" s="1">
        <v>197</v>
      </c>
      <c r="Z535" s="1" t="str">
        <f t="shared" si="165"/>
        <v>Shopping: $197.00</v>
      </c>
      <c r="AA535" s="1">
        <f>IF(Y535="","",ROUND(Y535*'Lookup Values'!$A$2,2))</f>
        <v>17.48</v>
      </c>
      <c r="AB535" s="12" t="str">
        <f t="shared" si="166"/>
        <v>Expense</v>
      </c>
      <c r="AC535" s="2" t="s">
        <v>633</v>
      </c>
      <c r="AD535" s="3">
        <f t="shared" si="167"/>
        <v>39330</v>
      </c>
      <c r="AE535" s="93" t="str">
        <f t="shared" si="168"/>
        <v>YES</v>
      </c>
      <c r="AF535" s="2" t="str">
        <f t="shared" si="169"/>
        <v>NO</v>
      </c>
      <c r="AG535" t="str">
        <f t="shared" si="170"/>
        <v>Awesome Transaction</v>
      </c>
    </row>
    <row r="536" spans="1:33" x14ac:dyDescent="0.25">
      <c r="A536" s="2">
        <v>535</v>
      </c>
      <c r="B536" s="3" t="str">
        <f t="shared" si="152"/>
        <v>070620-IN-EZE</v>
      </c>
      <c r="C536" s="3">
        <v>39253</v>
      </c>
      <c r="D536" s="3">
        <f t="shared" si="154"/>
        <v>39267</v>
      </c>
      <c r="E536" s="3">
        <f t="shared" si="155"/>
        <v>39314</v>
      </c>
      <c r="F536" s="3">
        <f t="shared" si="156"/>
        <v>39263</v>
      </c>
      <c r="G536" s="76">
        <f t="shared" si="157"/>
        <v>2007</v>
      </c>
      <c r="H536" s="76">
        <f t="shared" si="158"/>
        <v>6</v>
      </c>
      <c r="I536" s="76" t="str">
        <f>VLOOKUP(H536,'Lookup Values'!$C$2:$D$13,2,FALSE)</f>
        <v>JUN</v>
      </c>
      <c r="J536" s="76">
        <f t="shared" si="159"/>
        <v>20</v>
      </c>
      <c r="K536" s="76">
        <f t="shared" si="160"/>
        <v>4</v>
      </c>
      <c r="L536" s="76" t="str">
        <f>VLOOKUP(K536,'Lookup Values'!$F$2:$G$8,2,FALSE)</f>
        <v>Wednesday</v>
      </c>
      <c r="M536" s="3">
        <v>39256</v>
      </c>
      <c r="N536" s="78">
        <f t="shared" si="153"/>
        <v>3</v>
      </c>
      <c r="O536" s="11">
        <v>0.37215457150483533</v>
      </c>
      <c r="P536" s="94">
        <f t="shared" si="161"/>
        <v>8</v>
      </c>
      <c r="Q536" s="94">
        <f t="shared" si="162"/>
        <v>55</v>
      </c>
      <c r="R536" s="94">
        <f t="shared" si="163"/>
        <v>54</v>
      </c>
      <c r="S536" s="94" t="str">
        <f>VLOOKUP(O536,'Lookup Values'!$I$2:$L$8,4,TRUE)</f>
        <v>Morning</v>
      </c>
      <c r="T536" t="s">
        <v>158</v>
      </c>
      <c r="U536" t="s">
        <v>159</v>
      </c>
      <c r="V536" t="str">
        <f t="shared" si="164"/>
        <v>Income: Salary</v>
      </c>
      <c r="W536" t="s">
        <v>162</v>
      </c>
      <c r="X536" t="s">
        <v>88</v>
      </c>
      <c r="Y536" s="1">
        <v>361</v>
      </c>
      <c r="Z536" s="1" t="str">
        <f t="shared" si="165"/>
        <v>Income: $361.00</v>
      </c>
      <c r="AA536" s="1">
        <f>IF(Y536="","",ROUND(Y536*'Lookup Values'!$A$2,2))</f>
        <v>32.04</v>
      </c>
      <c r="AB536" s="12" t="str">
        <f t="shared" si="166"/>
        <v>Income</v>
      </c>
      <c r="AC536" s="2" t="s">
        <v>634</v>
      </c>
      <c r="AD536" s="3">
        <f t="shared" si="167"/>
        <v>39253</v>
      </c>
      <c r="AE536" s="93" t="str">
        <f t="shared" si="168"/>
        <v>NO</v>
      </c>
      <c r="AF536" s="2" t="str">
        <f t="shared" si="169"/>
        <v>NO</v>
      </c>
      <c r="AG536" t="str">
        <f t="shared" si="170"/>
        <v>Late Transaction</v>
      </c>
    </row>
    <row r="537" spans="1:33" x14ac:dyDescent="0.25">
      <c r="A537" s="2">
        <v>536</v>
      </c>
      <c r="B537" s="3" t="str">
        <f t="shared" si="152"/>
        <v>100416-FO-CIT</v>
      </c>
      <c r="C537" s="3">
        <v>40284</v>
      </c>
      <c r="D537" s="3">
        <f t="shared" si="154"/>
        <v>40298</v>
      </c>
      <c r="E537" s="3">
        <f t="shared" si="155"/>
        <v>40345</v>
      </c>
      <c r="F537" s="3">
        <f t="shared" si="156"/>
        <v>40298</v>
      </c>
      <c r="G537" s="76">
        <f t="shared" si="157"/>
        <v>2010</v>
      </c>
      <c r="H537" s="76">
        <f t="shared" si="158"/>
        <v>4</v>
      </c>
      <c r="I537" s="76" t="str">
        <f>VLOOKUP(H537,'Lookup Values'!$C$2:$D$13,2,FALSE)</f>
        <v>APR</v>
      </c>
      <c r="J537" s="76">
        <f t="shared" si="159"/>
        <v>16</v>
      </c>
      <c r="K537" s="76">
        <f t="shared" si="160"/>
        <v>6</v>
      </c>
      <c r="L537" s="76" t="str">
        <f>VLOOKUP(K537,'Lookup Values'!$F$2:$G$8,2,FALSE)</f>
        <v>Friday</v>
      </c>
      <c r="M537" s="3">
        <v>40287</v>
      </c>
      <c r="N537" s="78">
        <f t="shared" si="153"/>
        <v>3</v>
      </c>
      <c r="O537" s="11">
        <v>0.31687416770524368</v>
      </c>
      <c r="P537" s="94">
        <f t="shared" si="161"/>
        <v>7</v>
      </c>
      <c r="Q537" s="94">
        <f t="shared" si="162"/>
        <v>36</v>
      </c>
      <c r="R537" s="94">
        <f t="shared" si="163"/>
        <v>18</v>
      </c>
      <c r="S537" s="94" t="str">
        <f>VLOOKUP(O537,'Lookup Values'!$I$2:$L$8,4,TRUE)</f>
        <v>Morning</v>
      </c>
      <c r="T537" t="s">
        <v>80</v>
      </c>
      <c r="U537" t="s">
        <v>105</v>
      </c>
      <c r="V537" t="str">
        <f t="shared" si="164"/>
        <v>Food: Coffee</v>
      </c>
      <c r="W537" t="s">
        <v>104</v>
      </c>
      <c r="X537" t="s">
        <v>91</v>
      </c>
      <c r="Y537" s="1">
        <v>348</v>
      </c>
      <c r="Z537" s="1" t="str">
        <f t="shared" si="165"/>
        <v>Food: $348.00</v>
      </c>
      <c r="AA537" s="1">
        <f>IF(Y537="","",ROUND(Y537*'Lookup Values'!$A$2,2))</f>
        <v>30.89</v>
      </c>
      <c r="AB537" s="12" t="str">
        <f t="shared" si="166"/>
        <v>Expense</v>
      </c>
      <c r="AC537" s="2" t="s">
        <v>635</v>
      </c>
      <c r="AD537" s="3">
        <f t="shared" si="167"/>
        <v>40284</v>
      </c>
      <c r="AE537" s="93" t="str">
        <f t="shared" si="168"/>
        <v>NO</v>
      </c>
      <c r="AF537" s="2" t="str">
        <f t="shared" si="169"/>
        <v>NO</v>
      </c>
      <c r="AG537" t="str">
        <f t="shared" si="170"/>
        <v>Late Transaction</v>
      </c>
    </row>
    <row r="538" spans="1:33" x14ac:dyDescent="0.25">
      <c r="A538" s="2">
        <v>537</v>
      </c>
      <c r="B538" s="3" t="str">
        <f t="shared" si="152"/>
        <v>110830-IN-EZE</v>
      </c>
      <c r="C538" s="3">
        <v>40785</v>
      </c>
      <c r="D538" s="3">
        <f t="shared" si="154"/>
        <v>40799</v>
      </c>
      <c r="E538" s="3">
        <f t="shared" si="155"/>
        <v>40846</v>
      </c>
      <c r="F538" s="3">
        <f t="shared" si="156"/>
        <v>40786</v>
      </c>
      <c r="G538" s="76">
        <f t="shared" si="157"/>
        <v>2011</v>
      </c>
      <c r="H538" s="76">
        <f t="shared" si="158"/>
        <v>8</v>
      </c>
      <c r="I538" s="76" t="str">
        <f>VLOOKUP(H538,'Lookup Values'!$C$2:$D$13,2,FALSE)</f>
        <v>AUG</v>
      </c>
      <c r="J538" s="76">
        <f t="shared" si="159"/>
        <v>30</v>
      </c>
      <c r="K538" s="76">
        <f t="shared" si="160"/>
        <v>3</v>
      </c>
      <c r="L538" s="76" t="str">
        <f>VLOOKUP(K538,'Lookup Values'!$F$2:$G$8,2,FALSE)</f>
        <v>Tuesday</v>
      </c>
      <c r="M538" s="3">
        <v>40787</v>
      </c>
      <c r="N538" s="78">
        <f t="shared" si="153"/>
        <v>2</v>
      </c>
      <c r="O538" s="11">
        <v>0.96503050602479379</v>
      </c>
      <c r="P538" s="94">
        <f t="shared" si="161"/>
        <v>23</v>
      </c>
      <c r="Q538" s="94">
        <f t="shared" si="162"/>
        <v>9</v>
      </c>
      <c r="R538" s="94">
        <f t="shared" si="163"/>
        <v>39</v>
      </c>
      <c r="S538" s="94" t="str">
        <f>VLOOKUP(O538,'Lookup Values'!$I$2:$L$8,4,TRUE)</f>
        <v>Late Evening</v>
      </c>
      <c r="T538" t="s">
        <v>158</v>
      </c>
      <c r="U538" t="s">
        <v>159</v>
      </c>
      <c r="V538" t="str">
        <f t="shared" si="164"/>
        <v>Income: Salary</v>
      </c>
      <c r="W538" t="s">
        <v>162</v>
      </c>
      <c r="X538" t="s">
        <v>88</v>
      </c>
      <c r="Y538" s="1">
        <v>325</v>
      </c>
      <c r="Z538" s="1" t="str">
        <f t="shared" si="165"/>
        <v>Income: $325.00</v>
      </c>
      <c r="AA538" s="1">
        <f>IF(Y538="","",ROUND(Y538*'Lookup Values'!$A$2,2))</f>
        <v>28.84</v>
      </c>
      <c r="AB538" s="12" t="str">
        <f t="shared" si="166"/>
        <v>Income</v>
      </c>
      <c r="AC538" s="2" t="s">
        <v>636</v>
      </c>
      <c r="AD538" s="3">
        <f t="shared" si="167"/>
        <v>40785</v>
      </c>
      <c r="AE538" s="93" t="str">
        <f t="shared" si="168"/>
        <v>NO</v>
      </c>
      <c r="AF538" s="2" t="str">
        <f t="shared" si="169"/>
        <v>NO</v>
      </c>
      <c r="AG538" t="str">
        <f t="shared" si="170"/>
        <v>CRAP Transaction</v>
      </c>
    </row>
    <row r="539" spans="1:33" x14ac:dyDescent="0.25">
      <c r="A539" s="2">
        <v>538</v>
      </c>
      <c r="B539" s="3" t="str">
        <f t="shared" si="152"/>
        <v>120626-IN-EZE</v>
      </c>
      <c r="C539" s="3">
        <v>41086</v>
      </c>
      <c r="D539" s="3">
        <f t="shared" si="154"/>
        <v>41100</v>
      </c>
      <c r="E539" s="3">
        <f t="shared" si="155"/>
        <v>41147</v>
      </c>
      <c r="F539" s="3">
        <f t="shared" si="156"/>
        <v>41090</v>
      </c>
      <c r="G539" s="76">
        <f t="shared" si="157"/>
        <v>2012</v>
      </c>
      <c r="H539" s="76">
        <f t="shared" si="158"/>
        <v>6</v>
      </c>
      <c r="I539" s="76" t="str">
        <f>VLOOKUP(H539,'Lookup Values'!$C$2:$D$13,2,FALSE)</f>
        <v>JUN</v>
      </c>
      <c r="J539" s="76">
        <f t="shared" si="159"/>
        <v>26</v>
      </c>
      <c r="K539" s="76">
        <f t="shared" si="160"/>
        <v>3</v>
      </c>
      <c r="L539" s="76" t="str">
        <f>VLOOKUP(K539,'Lookup Values'!$F$2:$G$8,2,FALSE)</f>
        <v>Tuesday</v>
      </c>
      <c r="M539" s="3">
        <v>41087</v>
      </c>
      <c r="N539" s="78">
        <f t="shared" si="153"/>
        <v>1</v>
      </c>
      <c r="O539" s="11">
        <v>8.9026493561865316E-2</v>
      </c>
      <c r="P539" s="94">
        <f t="shared" si="161"/>
        <v>2</v>
      </c>
      <c r="Q539" s="94">
        <f t="shared" si="162"/>
        <v>8</v>
      </c>
      <c r="R539" s="94">
        <f t="shared" si="163"/>
        <v>12</v>
      </c>
      <c r="S539" s="94" t="str">
        <f>VLOOKUP(O539,'Lookup Values'!$I$2:$L$8,4,TRUE)</f>
        <v>Dead of Night</v>
      </c>
      <c r="T539" t="s">
        <v>158</v>
      </c>
      <c r="U539" t="s">
        <v>159</v>
      </c>
      <c r="V539" t="str">
        <f t="shared" si="164"/>
        <v>Income: Salary</v>
      </c>
      <c r="W539" t="s">
        <v>162</v>
      </c>
      <c r="X539" t="s">
        <v>78</v>
      </c>
      <c r="Y539" s="1">
        <v>133</v>
      </c>
      <c r="Z539" s="1" t="str">
        <f t="shared" si="165"/>
        <v>Income: $133.00</v>
      </c>
      <c r="AA539" s="1">
        <f>IF(Y539="","",ROUND(Y539*'Lookup Values'!$A$2,2))</f>
        <v>11.8</v>
      </c>
      <c r="AB539" s="12" t="str">
        <f t="shared" si="166"/>
        <v>Income</v>
      </c>
      <c r="AC539" s="2" t="s">
        <v>637</v>
      </c>
      <c r="AD539" s="3">
        <f t="shared" si="167"/>
        <v>41086</v>
      </c>
      <c r="AE539" s="93" t="str">
        <f t="shared" si="168"/>
        <v>NO</v>
      </c>
      <c r="AF539" s="2" t="str">
        <f t="shared" si="169"/>
        <v>NO</v>
      </c>
      <c r="AG539" t="str">
        <f t="shared" si="170"/>
        <v>CRAP Transaction</v>
      </c>
    </row>
    <row r="540" spans="1:33" x14ac:dyDescent="0.25">
      <c r="A540" s="2">
        <v>539</v>
      </c>
      <c r="B540" s="3" t="str">
        <f t="shared" si="152"/>
        <v>120312-EN-FAN</v>
      </c>
      <c r="C540" s="3">
        <v>40980</v>
      </c>
      <c r="D540" s="3">
        <f t="shared" si="154"/>
        <v>40994</v>
      </c>
      <c r="E540" s="3">
        <f t="shared" si="155"/>
        <v>41041</v>
      </c>
      <c r="F540" s="3">
        <f t="shared" si="156"/>
        <v>40999</v>
      </c>
      <c r="G540" s="76">
        <f t="shared" si="157"/>
        <v>2012</v>
      </c>
      <c r="H540" s="76">
        <f t="shared" si="158"/>
        <v>3</v>
      </c>
      <c r="I540" s="76" t="str">
        <f>VLOOKUP(H540,'Lookup Values'!$C$2:$D$13,2,FALSE)</f>
        <v>MAR</v>
      </c>
      <c r="J540" s="76">
        <f t="shared" si="159"/>
        <v>12</v>
      </c>
      <c r="K540" s="76">
        <f t="shared" si="160"/>
        <v>2</v>
      </c>
      <c r="L540" s="76" t="str">
        <f>VLOOKUP(K540,'Lookup Values'!$F$2:$G$8,2,FALSE)</f>
        <v>Monday</v>
      </c>
      <c r="M540" s="3">
        <v>40989</v>
      </c>
      <c r="N540" s="78">
        <f t="shared" si="153"/>
        <v>9</v>
      </c>
      <c r="O540" s="11">
        <v>0.12905619807235025</v>
      </c>
      <c r="P540" s="94">
        <f t="shared" si="161"/>
        <v>3</v>
      </c>
      <c r="Q540" s="94">
        <f t="shared" si="162"/>
        <v>5</v>
      </c>
      <c r="R540" s="94">
        <f t="shared" si="163"/>
        <v>50</v>
      </c>
      <c r="S540" s="94" t="str">
        <f>VLOOKUP(O540,'Lookup Values'!$I$2:$L$8,4,TRUE)</f>
        <v>Dead of Night</v>
      </c>
      <c r="T540" t="s">
        <v>76</v>
      </c>
      <c r="U540" t="s">
        <v>90</v>
      </c>
      <c r="V540" t="str">
        <f t="shared" si="164"/>
        <v>Entertainment: Movies</v>
      </c>
      <c r="W540" t="s">
        <v>89</v>
      </c>
      <c r="X540" t="s">
        <v>91</v>
      </c>
      <c r="Y540" s="1">
        <v>152</v>
      </c>
      <c r="Z540" s="1" t="str">
        <f t="shared" si="165"/>
        <v>Entertainment: $152.00</v>
      </c>
      <c r="AA540" s="1">
        <f>IF(Y540="","",ROUND(Y540*'Lookup Values'!$A$2,2))</f>
        <v>13.49</v>
      </c>
      <c r="AB540" s="12" t="str">
        <f t="shared" si="166"/>
        <v>Expense</v>
      </c>
      <c r="AC540" s="2" t="s">
        <v>638</v>
      </c>
      <c r="AD540" s="3">
        <f t="shared" si="167"/>
        <v>40980</v>
      </c>
      <c r="AE540" s="93" t="str">
        <f t="shared" si="168"/>
        <v>NO</v>
      </c>
      <c r="AF540" s="2" t="str">
        <f t="shared" si="169"/>
        <v>NO</v>
      </c>
      <c r="AG540" t="str">
        <f t="shared" si="170"/>
        <v>CRAP Transaction</v>
      </c>
    </row>
    <row r="541" spans="1:33" x14ac:dyDescent="0.25">
      <c r="A541" s="2">
        <v>540</v>
      </c>
      <c r="B541" s="3" t="str">
        <f t="shared" si="152"/>
        <v>110706-SH-EXP</v>
      </c>
      <c r="C541" s="3">
        <v>40730</v>
      </c>
      <c r="D541" s="3">
        <f t="shared" si="154"/>
        <v>40744</v>
      </c>
      <c r="E541" s="3">
        <f t="shared" si="155"/>
        <v>40792</v>
      </c>
      <c r="F541" s="3">
        <f t="shared" si="156"/>
        <v>40755</v>
      </c>
      <c r="G541" s="76">
        <f t="shared" si="157"/>
        <v>2011</v>
      </c>
      <c r="H541" s="76">
        <f t="shared" si="158"/>
        <v>7</v>
      </c>
      <c r="I541" s="76" t="str">
        <f>VLOOKUP(H541,'Lookup Values'!$C$2:$D$13,2,FALSE)</f>
        <v>JUL</v>
      </c>
      <c r="J541" s="76">
        <f t="shared" si="159"/>
        <v>6</v>
      </c>
      <c r="K541" s="76">
        <f t="shared" si="160"/>
        <v>4</v>
      </c>
      <c r="L541" s="76" t="str">
        <f>VLOOKUP(K541,'Lookup Values'!$F$2:$G$8,2,FALSE)</f>
        <v>Wednesday</v>
      </c>
      <c r="M541" s="3">
        <v>40739</v>
      </c>
      <c r="N541" s="78">
        <f t="shared" si="153"/>
        <v>9</v>
      </c>
      <c r="O541" s="11">
        <v>0.3395131432522982</v>
      </c>
      <c r="P541" s="94">
        <f t="shared" si="161"/>
        <v>8</v>
      </c>
      <c r="Q541" s="94">
        <f t="shared" si="162"/>
        <v>8</v>
      </c>
      <c r="R541" s="94">
        <f t="shared" si="163"/>
        <v>54</v>
      </c>
      <c r="S541" s="94" t="str">
        <f>VLOOKUP(O541,'Lookup Values'!$I$2:$L$8,4,TRUE)</f>
        <v>Morning</v>
      </c>
      <c r="T541" t="s">
        <v>83</v>
      </c>
      <c r="U541" t="s">
        <v>103</v>
      </c>
      <c r="V541" t="str">
        <f t="shared" si="164"/>
        <v>Shopping: Clothing</v>
      </c>
      <c r="W541" t="s">
        <v>102</v>
      </c>
      <c r="X541" t="s">
        <v>88</v>
      </c>
      <c r="Y541" s="1">
        <v>276</v>
      </c>
      <c r="Z541" s="1" t="str">
        <f t="shared" si="165"/>
        <v>Shopping: $276.00</v>
      </c>
      <c r="AA541" s="1">
        <f>IF(Y541="","",ROUND(Y541*'Lookup Values'!$A$2,2))</f>
        <v>24.5</v>
      </c>
      <c r="AB541" s="12" t="str">
        <f t="shared" si="166"/>
        <v>Expense</v>
      </c>
      <c r="AC541" s="2" t="s">
        <v>639</v>
      </c>
      <c r="AD541" s="3">
        <f t="shared" si="167"/>
        <v>40730</v>
      </c>
      <c r="AE541" s="93" t="str">
        <f t="shared" si="168"/>
        <v>NO</v>
      </c>
      <c r="AF541" s="2" t="str">
        <f t="shared" si="169"/>
        <v>NO</v>
      </c>
      <c r="AG541" t="str">
        <f t="shared" si="170"/>
        <v>CRAP Transaction</v>
      </c>
    </row>
    <row r="542" spans="1:33" x14ac:dyDescent="0.25">
      <c r="A542" s="2">
        <v>541</v>
      </c>
      <c r="B542" s="3" t="str">
        <f t="shared" si="152"/>
        <v>100209-EN-FAN</v>
      </c>
      <c r="C542" s="3">
        <v>40218</v>
      </c>
      <c r="D542" s="3">
        <f t="shared" si="154"/>
        <v>40232</v>
      </c>
      <c r="E542" s="3">
        <f t="shared" si="155"/>
        <v>40277</v>
      </c>
      <c r="F542" s="3">
        <f t="shared" si="156"/>
        <v>40237</v>
      </c>
      <c r="G542" s="76">
        <f t="shared" si="157"/>
        <v>2010</v>
      </c>
      <c r="H542" s="76">
        <f t="shared" si="158"/>
        <v>2</v>
      </c>
      <c r="I542" s="76" t="str">
        <f>VLOOKUP(H542,'Lookup Values'!$C$2:$D$13,2,FALSE)</f>
        <v>FEB</v>
      </c>
      <c r="J542" s="76">
        <f t="shared" si="159"/>
        <v>9</v>
      </c>
      <c r="K542" s="76">
        <f t="shared" si="160"/>
        <v>3</v>
      </c>
      <c r="L542" s="76" t="str">
        <f>VLOOKUP(K542,'Lookup Values'!$F$2:$G$8,2,FALSE)</f>
        <v>Tuesday</v>
      </c>
      <c r="M542" s="3">
        <v>40227</v>
      </c>
      <c r="N542" s="78">
        <f t="shared" si="153"/>
        <v>9</v>
      </c>
      <c r="O542" s="11">
        <v>0.26963803804439745</v>
      </c>
      <c r="P542" s="94">
        <f t="shared" si="161"/>
        <v>6</v>
      </c>
      <c r="Q542" s="94">
        <f t="shared" si="162"/>
        <v>28</v>
      </c>
      <c r="R542" s="94">
        <f t="shared" si="163"/>
        <v>17</v>
      </c>
      <c r="S542" s="94" t="str">
        <f>VLOOKUP(O542,'Lookup Values'!$I$2:$L$8,4,TRUE)</f>
        <v>Early Morning</v>
      </c>
      <c r="T542" t="s">
        <v>76</v>
      </c>
      <c r="U542" t="s">
        <v>90</v>
      </c>
      <c r="V542" t="str">
        <f t="shared" si="164"/>
        <v>Entertainment: Movies</v>
      </c>
      <c r="W542" t="s">
        <v>89</v>
      </c>
      <c r="X542" t="s">
        <v>91</v>
      </c>
      <c r="Y542" s="1">
        <v>302</v>
      </c>
      <c r="Z542" s="1" t="str">
        <f t="shared" si="165"/>
        <v>Entertainment: $302.00</v>
      </c>
      <c r="AA542" s="1">
        <f>IF(Y542="","",ROUND(Y542*'Lookup Values'!$A$2,2))</f>
        <v>26.8</v>
      </c>
      <c r="AB542" s="12" t="str">
        <f t="shared" si="166"/>
        <v>Expense</v>
      </c>
      <c r="AC542" s="2" t="s">
        <v>640</v>
      </c>
      <c r="AD542" s="3">
        <f t="shared" si="167"/>
        <v>40218</v>
      </c>
      <c r="AE542" s="93" t="str">
        <f t="shared" si="168"/>
        <v>NO</v>
      </c>
      <c r="AF542" s="2" t="str">
        <f t="shared" si="169"/>
        <v>NO</v>
      </c>
      <c r="AG542" t="str">
        <f t="shared" si="170"/>
        <v>Late Transaction</v>
      </c>
    </row>
    <row r="543" spans="1:33" x14ac:dyDescent="0.25">
      <c r="A543" s="2">
        <v>542</v>
      </c>
      <c r="B543" s="3" t="str">
        <f t="shared" si="152"/>
        <v>080725-FO-TRA</v>
      </c>
      <c r="C543" s="3">
        <v>39654</v>
      </c>
      <c r="D543" s="3">
        <f t="shared" si="154"/>
        <v>39668</v>
      </c>
      <c r="E543" s="3">
        <f t="shared" si="155"/>
        <v>39716</v>
      </c>
      <c r="F543" s="3">
        <f t="shared" si="156"/>
        <v>39660</v>
      </c>
      <c r="G543" s="76">
        <f t="shared" si="157"/>
        <v>2008</v>
      </c>
      <c r="H543" s="76">
        <f t="shared" si="158"/>
        <v>7</v>
      </c>
      <c r="I543" s="76" t="str">
        <f>VLOOKUP(H543,'Lookup Values'!$C$2:$D$13,2,FALSE)</f>
        <v>JUL</v>
      </c>
      <c r="J543" s="76">
        <f t="shared" si="159"/>
        <v>25</v>
      </c>
      <c r="K543" s="76">
        <f t="shared" si="160"/>
        <v>6</v>
      </c>
      <c r="L543" s="76" t="str">
        <f>VLOOKUP(K543,'Lookup Values'!$F$2:$G$8,2,FALSE)</f>
        <v>Friday</v>
      </c>
      <c r="M543" s="3">
        <v>39662</v>
      </c>
      <c r="N543" s="78">
        <f t="shared" si="153"/>
        <v>8</v>
      </c>
      <c r="O543" s="11">
        <v>7.100884885059866E-2</v>
      </c>
      <c r="P543" s="94">
        <f t="shared" si="161"/>
        <v>1</v>
      </c>
      <c r="Q543" s="94">
        <f t="shared" si="162"/>
        <v>42</v>
      </c>
      <c r="R543" s="94">
        <f t="shared" si="163"/>
        <v>15</v>
      </c>
      <c r="S543" s="94" t="str">
        <f>VLOOKUP(O543,'Lookup Values'!$I$2:$L$8,4,TRUE)</f>
        <v>Dead of Night</v>
      </c>
      <c r="T543" t="s">
        <v>80</v>
      </c>
      <c r="U543" t="s">
        <v>93</v>
      </c>
      <c r="V543" t="str">
        <f t="shared" si="164"/>
        <v>Food: Groceries</v>
      </c>
      <c r="W543" t="s">
        <v>92</v>
      </c>
      <c r="X543" t="s">
        <v>78</v>
      </c>
      <c r="Y543" s="1">
        <v>442</v>
      </c>
      <c r="Z543" s="1" t="str">
        <f t="shared" si="165"/>
        <v>Food: $442.00</v>
      </c>
      <c r="AA543" s="1">
        <f>IF(Y543="","",ROUND(Y543*'Lookup Values'!$A$2,2))</f>
        <v>39.229999999999997</v>
      </c>
      <c r="AB543" s="12" t="str">
        <f t="shared" si="166"/>
        <v>Expense</v>
      </c>
      <c r="AC543" s="2" t="s">
        <v>641</v>
      </c>
      <c r="AD543" s="3">
        <f t="shared" si="167"/>
        <v>39654</v>
      </c>
      <c r="AE543" s="93" t="str">
        <f t="shared" si="168"/>
        <v>NO</v>
      </c>
      <c r="AF543" s="2" t="str">
        <f t="shared" si="169"/>
        <v>NO</v>
      </c>
      <c r="AG543" t="str">
        <f t="shared" si="170"/>
        <v>Awesome Transaction</v>
      </c>
    </row>
    <row r="544" spans="1:33" x14ac:dyDescent="0.25">
      <c r="A544" s="2">
        <v>543</v>
      </c>
      <c r="B544" s="3" t="str">
        <f t="shared" si="152"/>
        <v>120718-SH-AMA</v>
      </c>
      <c r="C544" s="3">
        <v>41108</v>
      </c>
      <c r="D544" s="3">
        <f t="shared" si="154"/>
        <v>41122</v>
      </c>
      <c r="E544" s="3">
        <f t="shared" si="155"/>
        <v>41170</v>
      </c>
      <c r="F544" s="3">
        <f t="shared" si="156"/>
        <v>41121</v>
      </c>
      <c r="G544" s="76">
        <f t="shared" si="157"/>
        <v>2012</v>
      </c>
      <c r="H544" s="76">
        <f t="shared" si="158"/>
        <v>7</v>
      </c>
      <c r="I544" s="76" t="str">
        <f>VLOOKUP(H544,'Lookup Values'!$C$2:$D$13,2,FALSE)</f>
        <v>JUL</v>
      </c>
      <c r="J544" s="76">
        <f t="shared" si="159"/>
        <v>18</v>
      </c>
      <c r="K544" s="76">
        <f t="shared" si="160"/>
        <v>4</v>
      </c>
      <c r="L544" s="76" t="str">
        <f>VLOOKUP(K544,'Lookup Values'!$F$2:$G$8,2,FALSE)</f>
        <v>Wednesday</v>
      </c>
      <c r="M544" s="3">
        <v>41114</v>
      </c>
      <c r="N544" s="78">
        <f t="shared" si="153"/>
        <v>6</v>
      </c>
      <c r="O544" s="11">
        <v>0.79510030963708345</v>
      </c>
      <c r="P544" s="94">
        <f t="shared" si="161"/>
        <v>19</v>
      </c>
      <c r="Q544" s="94">
        <f t="shared" si="162"/>
        <v>4</v>
      </c>
      <c r="R544" s="94">
        <f t="shared" si="163"/>
        <v>57</v>
      </c>
      <c r="S544" s="94" t="str">
        <f>VLOOKUP(O544,'Lookup Values'!$I$2:$L$8,4,TRUE)</f>
        <v>Evening</v>
      </c>
      <c r="T544" t="s">
        <v>83</v>
      </c>
      <c r="U544" t="s">
        <v>84</v>
      </c>
      <c r="V544" t="str">
        <f t="shared" si="164"/>
        <v>Shopping: Electronics</v>
      </c>
      <c r="W544" t="s">
        <v>82</v>
      </c>
      <c r="X544" t="s">
        <v>91</v>
      </c>
      <c r="Y544" s="1">
        <v>146</v>
      </c>
      <c r="Z544" s="1" t="str">
        <f t="shared" si="165"/>
        <v>Shopping: $146.00</v>
      </c>
      <c r="AA544" s="1">
        <f>IF(Y544="","",ROUND(Y544*'Lookup Values'!$A$2,2))</f>
        <v>12.96</v>
      </c>
      <c r="AB544" s="12" t="str">
        <f t="shared" si="166"/>
        <v>Expense</v>
      </c>
      <c r="AC544" s="2" t="s">
        <v>642</v>
      </c>
      <c r="AD544" s="3">
        <f t="shared" si="167"/>
        <v>41108</v>
      </c>
      <c r="AE544" s="93" t="str">
        <f t="shared" si="168"/>
        <v>YES</v>
      </c>
      <c r="AF544" s="2" t="str">
        <f t="shared" si="169"/>
        <v>NO</v>
      </c>
      <c r="AG544" t="str">
        <f t="shared" si="170"/>
        <v>CRAP Transaction</v>
      </c>
    </row>
    <row r="545" spans="1:33" x14ac:dyDescent="0.25">
      <c r="A545" s="2">
        <v>544</v>
      </c>
      <c r="B545" s="3" t="str">
        <f t="shared" si="152"/>
        <v>071110-ED-SKI</v>
      </c>
      <c r="C545" s="3">
        <v>39396</v>
      </c>
      <c r="D545" s="3">
        <f t="shared" si="154"/>
        <v>39409</v>
      </c>
      <c r="E545" s="3">
        <f t="shared" si="155"/>
        <v>39457</v>
      </c>
      <c r="F545" s="3">
        <f t="shared" si="156"/>
        <v>39416</v>
      </c>
      <c r="G545" s="76">
        <f t="shared" si="157"/>
        <v>2007</v>
      </c>
      <c r="H545" s="76">
        <f t="shared" si="158"/>
        <v>11</v>
      </c>
      <c r="I545" s="76" t="str">
        <f>VLOOKUP(H545,'Lookup Values'!$C$2:$D$13,2,FALSE)</f>
        <v>NOV</v>
      </c>
      <c r="J545" s="76">
        <f t="shared" si="159"/>
        <v>10</v>
      </c>
      <c r="K545" s="76">
        <f t="shared" si="160"/>
        <v>7</v>
      </c>
      <c r="L545" s="76" t="str">
        <f>VLOOKUP(K545,'Lookup Values'!$F$2:$G$8,2,FALSE)</f>
        <v>Saturday</v>
      </c>
      <c r="M545" s="3">
        <v>39406</v>
      </c>
      <c r="N545" s="78">
        <f t="shared" si="153"/>
        <v>10</v>
      </c>
      <c r="O545" s="11">
        <v>0.72462729508941426</v>
      </c>
      <c r="P545" s="94">
        <f t="shared" si="161"/>
        <v>17</v>
      </c>
      <c r="Q545" s="94">
        <f t="shared" si="162"/>
        <v>23</v>
      </c>
      <c r="R545" s="94">
        <f t="shared" si="163"/>
        <v>28</v>
      </c>
      <c r="S545" s="94" t="str">
        <f>VLOOKUP(O545,'Lookup Values'!$I$2:$L$8,4,TRUE)</f>
        <v>Evening</v>
      </c>
      <c r="T545" t="s">
        <v>86</v>
      </c>
      <c r="U545" t="s">
        <v>98</v>
      </c>
      <c r="V545" t="str">
        <f t="shared" si="164"/>
        <v>Education: Professional Development</v>
      </c>
      <c r="W545" t="s">
        <v>97</v>
      </c>
      <c r="X545" t="s">
        <v>88</v>
      </c>
      <c r="Y545" s="1">
        <v>146</v>
      </c>
      <c r="Z545" s="1" t="str">
        <f t="shared" si="165"/>
        <v>Education: $146.00</v>
      </c>
      <c r="AA545" s="1">
        <f>IF(Y545="","",ROUND(Y545*'Lookup Values'!$A$2,2))</f>
        <v>12.96</v>
      </c>
      <c r="AB545" s="12" t="str">
        <f t="shared" si="166"/>
        <v>Expense</v>
      </c>
      <c r="AC545" s="2" t="s">
        <v>298</v>
      </c>
      <c r="AD545" s="3">
        <f t="shared" si="167"/>
        <v>39396</v>
      </c>
      <c r="AE545" s="93" t="str">
        <f t="shared" si="168"/>
        <v>YES</v>
      </c>
      <c r="AF545" s="2" t="str">
        <f t="shared" si="169"/>
        <v>NO</v>
      </c>
      <c r="AG545" t="str">
        <f t="shared" si="170"/>
        <v>Late Transaction</v>
      </c>
    </row>
    <row r="546" spans="1:33" x14ac:dyDescent="0.25">
      <c r="A546" s="2">
        <v>545</v>
      </c>
      <c r="B546" s="3" t="str">
        <f t="shared" si="152"/>
        <v>070116-BI-CON</v>
      </c>
      <c r="C546" s="3">
        <v>39098</v>
      </c>
      <c r="D546" s="3">
        <f t="shared" si="154"/>
        <v>39112</v>
      </c>
      <c r="E546" s="3">
        <f t="shared" si="155"/>
        <v>39157</v>
      </c>
      <c r="F546" s="3">
        <f t="shared" si="156"/>
        <v>39113</v>
      </c>
      <c r="G546" s="76">
        <f t="shared" si="157"/>
        <v>2007</v>
      </c>
      <c r="H546" s="76">
        <f t="shared" si="158"/>
        <v>1</v>
      </c>
      <c r="I546" s="76" t="str">
        <f>VLOOKUP(H546,'Lookup Values'!$C$2:$D$13,2,FALSE)</f>
        <v>JAN</v>
      </c>
      <c r="J546" s="76">
        <f t="shared" si="159"/>
        <v>16</v>
      </c>
      <c r="K546" s="76">
        <f t="shared" si="160"/>
        <v>3</v>
      </c>
      <c r="L546" s="76" t="str">
        <f>VLOOKUP(K546,'Lookup Values'!$F$2:$G$8,2,FALSE)</f>
        <v>Tuesday</v>
      </c>
      <c r="M546" s="3">
        <v>39108</v>
      </c>
      <c r="N546" s="78">
        <f t="shared" si="153"/>
        <v>10</v>
      </c>
      <c r="O546" s="11">
        <v>0.86579185124665992</v>
      </c>
      <c r="P546" s="94">
        <f t="shared" si="161"/>
        <v>20</v>
      </c>
      <c r="Q546" s="94">
        <f t="shared" si="162"/>
        <v>46</v>
      </c>
      <c r="R546" s="94">
        <f t="shared" si="163"/>
        <v>44</v>
      </c>
      <c r="S546" s="94" t="str">
        <f>VLOOKUP(O546,'Lookup Values'!$I$2:$L$8,4,TRUE)</f>
        <v>Evening</v>
      </c>
      <c r="T546" t="s">
        <v>110</v>
      </c>
      <c r="U546" t="s">
        <v>111</v>
      </c>
      <c r="V546" t="str">
        <f t="shared" si="164"/>
        <v>Bills: Utilities</v>
      </c>
      <c r="W546" t="s">
        <v>109</v>
      </c>
      <c r="X546" t="s">
        <v>78</v>
      </c>
      <c r="Y546" s="1">
        <v>441</v>
      </c>
      <c r="Z546" s="1" t="str">
        <f t="shared" si="165"/>
        <v>Bills: $441.00</v>
      </c>
      <c r="AA546" s="1">
        <f>IF(Y546="","",ROUND(Y546*'Lookup Values'!$A$2,2))</f>
        <v>39.14</v>
      </c>
      <c r="AB546" s="12" t="str">
        <f t="shared" si="166"/>
        <v>Expense</v>
      </c>
      <c r="AC546" s="2" t="s">
        <v>643</v>
      </c>
      <c r="AD546" s="3">
        <f t="shared" si="167"/>
        <v>39098</v>
      </c>
      <c r="AE546" s="93" t="str">
        <f t="shared" si="168"/>
        <v>NO</v>
      </c>
      <c r="AF546" s="2" t="str">
        <f t="shared" si="169"/>
        <v>NO</v>
      </c>
      <c r="AG546" t="str">
        <f t="shared" si="170"/>
        <v>Late Transaction</v>
      </c>
    </row>
    <row r="547" spans="1:33" x14ac:dyDescent="0.25">
      <c r="A547" s="2">
        <v>546</v>
      </c>
      <c r="B547" s="3" t="str">
        <f t="shared" si="152"/>
        <v>070623-FO-CIT</v>
      </c>
      <c r="C547" s="3">
        <v>39256</v>
      </c>
      <c r="D547" s="3">
        <f t="shared" si="154"/>
        <v>39269</v>
      </c>
      <c r="E547" s="3">
        <f t="shared" si="155"/>
        <v>39317</v>
      </c>
      <c r="F547" s="3">
        <f t="shared" si="156"/>
        <v>39263</v>
      </c>
      <c r="G547" s="76">
        <f t="shared" si="157"/>
        <v>2007</v>
      </c>
      <c r="H547" s="76">
        <f t="shared" si="158"/>
        <v>6</v>
      </c>
      <c r="I547" s="76" t="str">
        <f>VLOOKUP(H547,'Lookup Values'!$C$2:$D$13,2,FALSE)</f>
        <v>JUN</v>
      </c>
      <c r="J547" s="76">
        <f t="shared" si="159"/>
        <v>23</v>
      </c>
      <c r="K547" s="76">
        <f t="shared" si="160"/>
        <v>7</v>
      </c>
      <c r="L547" s="76" t="str">
        <f>VLOOKUP(K547,'Lookup Values'!$F$2:$G$8,2,FALSE)</f>
        <v>Saturday</v>
      </c>
      <c r="M547" s="3">
        <v>39258</v>
      </c>
      <c r="N547" s="78">
        <f t="shared" si="153"/>
        <v>2</v>
      </c>
      <c r="O547" s="11">
        <v>0.71531443285987639</v>
      </c>
      <c r="P547" s="94">
        <f t="shared" si="161"/>
        <v>17</v>
      </c>
      <c r="Q547" s="94">
        <f t="shared" si="162"/>
        <v>10</v>
      </c>
      <c r="R547" s="94">
        <f t="shared" si="163"/>
        <v>3</v>
      </c>
      <c r="S547" s="94" t="str">
        <f>VLOOKUP(O547,'Lookup Values'!$I$2:$L$8,4,TRUE)</f>
        <v>Evening</v>
      </c>
      <c r="T547" t="s">
        <v>80</v>
      </c>
      <c r="U547" t="s">
        <v>105</v>
      </c>
      <c r="V547" t="str">
        <f t="shared" si="164"/>
        <v>Food: Coffee</v>
      </c>
      <c r="W547" t="s">
        <v>104</v>
      </c>
      <c r="X547" t="s">
        <v>78</v>
      </c>
      <c r="Y547" s="1">
        <v>290</v>
      </c>
      <c r="Z547" s="1" t="str">
        <f t="shared" si="165"/>
        <v>Food: $290.00</v>
      </c>
      <c r="AA547" s="1">
        <f>IF(Y547="","",ROUND(Y547*'Lookup Values'!$A$2,2))</f>
        <v>25.74</v>
      </c>
      <c r="AB547" s="12" t="str">
        <f t="shared" si="166"/>
        <v>Expense</v>
      </c>
      <c r="AC547" s="2" t="s">
        <v>644</v>
      </c>
      <c r="AD547" s="3">
        <f t="shared" si="167"/>
        <v>39256</v>
      </c>
      <c r="AE547" s="93" t="str">
        <f t="shared" si="168"/>
        <v>NO</v>
      </c>
      <c r="AF547" s="2" t="str">
        <f t="shared" si="169"/>
        <v>NO</v>
      </c>
      <c r="AG547" t="str">
        <f t="shared" si="170"/>
        <v>Awesome Transaction</v>
      </c>
    </row>
    <row r="548" spans="1:33" x14ac:dyDescent="0.25">
      <c r="A548" s="2">
        <v>547</v>
      </c>
      <c r="B548" s="3" t="str">
        <f t="shared" si="152"/>
        <v>081217-HE-FRE</v>
      </c>
      <c r="C548" s="3">
        <v>39799</v>
      </c>
      <c r="D548" s="3">
        <f t="shared" si="154"/>
        <v>39813</v>
      </c>
      <c r="E548" s="3">
        <f t="shared" si="155"/>
        <v>39861</v>
      </c>
      <c r="F548" s="3">
        <f t="shared" si="156"/>
        <v>39813</v>
      </c>
      <c r="G548" s="76">
        <f t="shared" si="157"/>
        <v>2008</v>
      </c>
      <c r="H548" s="76">
        <f t="shared" si="158"/>
        <v>12</v>
      </c>
      <c r="I548" s="76" t="str">
        <f>VLOOKUP(H548,'Lookup Values'!$C$2:$D$13,2,FALSE)</f>
        <v>DEC</v>
      </c>
      <c r="J548" s="76">
        <f t="shared" si="159"/>
        <v>17</v>
      </c>
      <c r="K548" s="76">
        <f t="shared" si="160"/>
        <v>4</v>
      </c>
      <c r="L548" s="76" t="str">
        <f>VLOOKUP(K548,'Lookup Values'!$F$2:$G$8,2,FALSE)</f>
        <v>Wednesday</v>
      </c>
      <c r="M548" s="3">
        <v>39808</v>
      </c>
      <c r="N548" s="78">
        <f t="shared" si="153"/>
        <v>9</v>
      </c>
      <c r="O548" s="11">
        <v>0.57671737611262053</v>
      </c>
      <c r="P548" s="94">
        <f t="shared" si="161"/>
        <v>13</v>
      </c>
      <c r="Q548" s="94">
        <f t="shared" si="162"/>
        <v>50</v>
      </c>
      <c r="R548" s="94">
        <f t="shared" si="163"/>
        <v>28</v>
      </c>
      <c r="S548" s="94" t="str">
        <f>VLOOKUP(O548,'Lookup Values'!$I$2:$L$8,4,TRUE)</f>
        <v>Afternoon</v>
      </c>
      <c r="T548" t="s">
        <v>107</v>
      </c>
      <c r="U548" t="s">
        <v>108</v>
      </c>
      <c r="V548" t="str">
        <f t="shared" si="164"/>
        <v>Health: Insurance Premium</v>
      </c>
      <c r="W548" t="s">
        <v>106</v>
      </c>
      <c r="X548" t="s">
        <v>88</v>
      </c>
      <c r="Y548" s="1">
        <v>89</v>
      </c>
      <c r="Z548" s="1" t="str">
        <f t="shared" si="165"/>
        <v>Health: $89.00</v>
      </c>
      <c r="AA548" s="1">
        <f>IF(Y548="","",ROUND(Y548*'Lookup Values'!$A$2,2))</f>
        <v>7.9</v>
      </c>
      <c r="AB548" s="12" t="str">
        <f t="shared" si="166"/>
        <v>Expense</v>
      </c>
      <c r="AC548" s="2" t="s">
        <v>184</v>
      </c>
      <c r="AD548" s="3">
        <f t="shared" si="167"/>
        <v>39799</v>
      </c>
      <c r="AE548" s="93" t="str">
        <f t="shared" si="168"/>
        <v>NO</v>
      </c>
      <c r="AF548" s="2" t="str">
        <f t="shared" si="169"/>
        <v>NO</v>
      </c>
      <c r="AG548" t="str">
        <f t="shared" si="170"/>
        <v>Late Transaction</v>
      </c>
    </row>
    <row r="549" spans="1:33" x14ac:dyDescent="0.25">
      <c r="A549" s="2">
        <v>548</v>
      </c>
      <c r="B549" s="3" t="str">
        <f t="shared" si="152"/>
        <v>090801-BI-CON</v>
      </c>
      <c r="C549" s="3">
        <v>40026</v>
      </c>
      <c r="D549" s="3">
        <f t="shared" si="154"/>
        <v>40039</v>
      </c>
      <c r="E549" s="3">
        <f t="shared" si="155"/>
        <v>40087</v>
      </c>
      <c r="F549" s="3">
        <f t="shared" si="156"/>
        <v>40056</v>
      </c>
      <c r="G549" s="76">
        <f t="shared" si="157"/>
        <v>2009</v>
      </c>
      <c r="H549" s="76">
        <f t="shared" si="158"/>
        <v>8</v>
      </c>
      <c r="I549" s="76" t="str">
        <f>VLOOKUP(H549,'Lookup Values'!$C$2:$D$13,2,FALSE)</f>
        <v>AUG</v>
      </c>
      <c r="J549" s="76">
        <f t="shared" si="159"/>
        <v>1</v>
      </c>
      <c r="K549" s="76">
        <f t="shared" si="160"/>
        <v>7</v>
      </c>
      <c r="L549" s="76" t="str">
        <f>VLOOKUP(K549,'Lookup Values'!$F$2:$G$8,2,FALSE)</f>
        <v>Saturday</v>
      </c>
      <c r="M549" s="3">
        <v>40031</v>
      </c>
      <c r="N549" s="78">
        <f t="shared" si="153"/>
        <v>5</v>
      </c>
      <c r="O549" s="11">
        <v>0.31084195452905017</v>
      </c>
      <c r="P549" s="94">
        <f t="shared" si="161"/>
        <v>7</v>
      </c>
      <c r="Q549" s="94">
        <f t="shared" si="162"/>
        <v>27</v>
      </c>
      <c r="R549" s="94">
        <f t="shared" si="163"/>
        <v>37</v>
      </c>
      <c r="S549" s="94" t="str">
        <f>VLOOKUP(O549,'Lookup Values'!$I$2:$L$8,4,TRUE)</f>
        <v>Morning</v>
      </c>
      <c r="T549" t="s">
        <v>110</v>
      </c>
      <c r="U549" t="s">
        <v>111</v>
      </c>
      <c r="V549" t="str">
        <f t="shared" si="164"/>
        <v>Bills: Utilities</v>
      </c>
      <c r="W549" t="s">
        <v>109</v>
      </c>
      <c r="X549" t="s">
        <v>88</v>
      </c>
      <c r="Y549" s="1">
        <v>191</v>
      </c>
      <c r="Z549" s="1" t="str">
        <f t="shared" si="165"/>
        <v>Bills: $191.00</v>
      </c>
      <c r="AA549" s="1">
        <f>IF(Y549="","",ROUND(Y549*'Lookup Values'!$A$2,2))</f>
        <v>16.95</v>
      </c>
      <c r="AB549" s="12" t="str">
        <f t="shared" si="166"/>
        <v>Expense</v>
      </c>
      <c r="AC549" s="2" t="s">
        <v>645</v>
      </c>
      <c r="AD549" s="3">
        <f t="shared" si="167"/>
        <v>40026</v>
      </c>
      <c r="AE549" s="93" t="str">
        <f t="shared" si="168"/>
        <v>NO</v>
      </c>
      <c r="AF549" s="2" t="str">
        <f t="shared" si="169"/>
        <v>NO</v>
      </c>
      <c r="AG549" t="str">
        <f t="shared" si="170"/>
        <v>Late Transaction</v>
      </c>
    </row>
    <row r="550" spans="1:33" x14ac:dyDescent="0.25">
      <c r="A550" s="2">
        <v>549</v>
      </c>
      <c r="B550" s="3" t="str">
        <f t="shared" si="152"/>
        <v>070115-EN-FAN</v>
      </c>
      <c r="C550" s="3">
        <v>39097</v>
      </c>
      <c r="D550" s="3">
        <f t="shared" si="154"/>
        <v>39111</v>
      </c>
      <c r="E550" s="3">
        <f t="shared" si="155"/>
        <v>39156</v>
      </c>
      <c r="F550" s="3">
        <f t="shared" si="156"/>
        <v>39113</v>
      </c>
      <c r="G550" s="76">
        <f t="shared" si="157"/>
        <v>2007</v>
      </c>
      <c r="H550" s="76">
        <f t="shared" si="158"/>
        <v>1</v>
      </c>
      <c r="I550" s="76" t="str">
        <f>VLOOKUP(H550,'Lookup Values'!$C$2:$D$13,2,FALSE)</f>
        <v>JAN</v>
      </c>
      <c r="J550" s="76">
        <f t="shared" si="159"/>
        <v>15</v>
      </c>
      <c r="K550" s="76">
        <f t="shared" si="160"/>
        <v>2</v>
      </c>
      <c r="L550" s="76" t="str">
        <f>VLOOKUP(K550,'Lookup Values'!$F$2:$G$8,2,FALSE)</f>
        <v>Monday</v>
      </c>
      <c r="M550" s="3">
        <v>39103</v>
      </c>
      <c r="N550" s="78">
        <f t="shared" si="153"/>
        <v>6</v>
      </c>
      <c r="O550" s="11">
        <v>0.57876526038755227</v>
      </c>
      <c r="P550" s="94">
        <f t="shared" si="161"/>
        <v>13</v>
      </c>
      <c r="Q550" s="94">
        <f t="shared" si="162"/>
        <v>53</v>
      </c>
      <c r="R550" s="94">
        <f t="shared" si="163"/>
        <v>25</v>
      </c>
      <c r="S550" s="94" t="str">
        <f>VLOOKUP(O550,'Lookup Values'!$I$2:$L$8,4,TRUE)</f>
        <v>Afternoon</v>
      </c>
      <c r="T550" t="s">
        <v>76</v>
      </c>
      <c r="U550" t="s">
        <v>90</v>
      </c>
      <c r="V550" t="str">
        <f t="shared" si="164"/>
        <v>Entertainment: Movies</v>
      </c>
      <c r="W550" t="s">
        <v>89</v>
      </c>
      <c r="X550" t="s">
        <v>88</v>
      </c>
      <c r="Y550" s="1">
        <v>470</v>
      </c>
      <c r="Z550" s="1" t="str">
        <f t="shared" si="165"/>
        <v>Entertainment: $470.00</v>
      </c>
      <c r="AA550" s="1">
        <f>IF(Y550="","",ROUND(Y550*'Lookup Values'!$A$2,2))</f>
        <v>41.71</v>
      </c>
      <c r="AB550" s="12" t="str">
        <f t="shared" si="166"/>
        <v>Expense</v>
      </c>
      <c r="AC550" s="2" t="s">
        <v>646</v>
      </c>
      <c r="AD550" s="3">
        <f t="shared" si="167"/>
        <v>39097</v>
      </c>
      <c r="AE550" s="93" t="str">
        <f t="shared" si="168"/>
        <v>NO</v>
      </c>
      <c r="AF550" s="2" t="str">
        <f t="shared" si="169"/>
        <v>NO</v>
      </c>
      <c r="AG550" t="str">
        <f t="shared" si="170"/>
        <v>Awesome Transaction</v>
      </c>
    </row>
    <row r="551" spans="1:33" x14ac:dyDescent="0.25">
      <c r="A551" s="2">
        <v>550</v>
      </c>
      <c r="B551" s="3" t="str">
        <f t="shared" si="152"/>
        <v>110131-HE-FRE</v>
      </c>
      <c r="C551" s="3">
        <v>40574</v>
      </c>
      <c r="D551" s="3">
        <f t="shared" si="154"/>
        <v>40588</v>
      </c>
      <c r="E551" s="3">
        <f t="shared" si="155"/>
        <v>40633</v>
      </c>
      <c r="F551" s="3">
        <f t="shared" si="156"/>
        <v>40574</v>
      </c>
      <c r="G551" s="76">
        <f t="shared" si="157"/>
        <v>2011</v>
      </c>
      <c r="H551" s="76">
        <f t="shared" si="158"/>
        <v>1</v>
      </c>
      <c r="I551" s="76" t="str">
        <f>VLOOKUP(H551,'Lookup Values'!$C$2:$D$13,2,FALSE)</f>
        <v>JAN</v>
      </c>
      <c r="J551" s="76">
        <f t="shared" si="159"/>
        <v>31</v>
      </c>
      <c r="K551" s="76">
        <f t="shared" si="160"/>
        <v>2</v>
      </c>
      <c r="L551" s="76" t="str">
        <f>VLOOKUP(K551,'Lookup Values'!$F$2:$G$8,2,FALSE)</f>
        <v>Monday</v>
      </c>
      <c r="M551" s="3">
        <v>40578</v>
      </c>
      <c r="N551" s="78">
        <f t="shared" si="153"/>
        <v>4</v>
      </c>
      <c r="O551" s="11">
        <v>0.85317725991093618</v>
      </c>
      <c r="P551" s="94">
        <f t="shared" si="161"/>
        <v>20</v>
      </c>
      <c r="Q551" s="94">
        <f t="shared" si="162"/>
        <v>28</v>
      </c>
      <c r="R551" s="94">
        <f t="shared" si="163"/>
        <v>35</v>
      </c>
      <c r="S551" s="94" t="str">
        <f>VLOOKUP(O551,'Lookup Values'!$I$2:$L$8,4,TRUE)</f>
        <v>Evening</v>
      </c>
      <c r="T551" t="s">
        <v>107</v>
      </c>
      <c r="U551" t="s">
        <v>108</v>
      </c>
      <c r="V551" t="str">
        <f t="shared" si="164"/>
        <v>Health: Insurance Premium</v>
      </c>
      <c r="W551" t="s">
        <v>106</v>
      </c>
      <c r="X551" t="s">
        <v>78</v>
      </c>
      <c r="Y551" s="1">
        <v>48</v>
      </c>
      <c r="Z551" s="1" t="str">
        <f t="shared" si="165"/>
        <v>Health: $48.00</v>
      </c>
      <c r="AA551" s="1">
        <f>IF(Y551="","",ROUND(Y551*'Lookup Values'!$A$2,2))</f>
        <v>4.26</v>
      </c>
      <c r="AB551" s="12" t="str">
        <f t="shared" si="166"/>
        <v>Expense</v>
      </c>
      <c r="AC551" s="2" t="s">
        <v>647</v>
      </c>
      <c r="AD551" s="3">
        <f t="shared" si="167"/>
        <v>40574</v>
      </c>
      <c r="AE551" s="93" t="str">
        <f t="shared" si="168"/>
        <v>NO</v>
      </c>
      <c r="AF551" s="2" t="str">
        <f t="shared" si="169"/>
        <v>NO</v>
      </c>
      <c r="AG551" t="str">
        <f t="shared" si="170"/>
        <v>CRAP Transaction</v>
      </c>
    </row>
    <row r="552" spans="1:33" x14ac:dyDescent="0.25">
      <c r="A552" s="2">
        <v>551</v>
      </c>
      <c r="B552" s="3" t="str">
        <f t="shared" si="152"/>
        <v>080723-EN-FAN</v>
      </c>
      <c r="C552" s="3">
        <v>39652</v>
      </c>
      <c r="D552" s="3">
        <f t="shared" si="154"/>
        <v>39666</v>
      </c>
      <c r="E552" s="3">
        <f t="shared" si="155"/>
        <v>39714</v>
      </c>
      <c r="F552" s="3">
        <f t="shared" si="156"/>
        <v>39660</v>
      </c>
      <c r="G552" s="76">
        <f t="shared" si="157"/>
        <v>2008</v>
      </c>
      <c r="H552" s="76">
        <f t="shared" si="158"/>
        <v>7</v>
      </c>
      <c r="I552" s="76" t="str">
        <f>VLOOKUP(H552,'Lookup Values'!$C$2:$D$13,2,FALSE)</f>
        <v>JUL</v>
      </c>
      <c r="J552" s="76">
        <f t="shared" si="159"/>
        <v>23</v>
      </c>
      <c r="K552" s="76">
        <f t="shared" si="160"/>
        <v>4</v>
      </c>
      <c r="L552" s="76" t="str">
        <f>VLOOKUP(K552,'Lookup Values'!$F$2:$G$8,2,FALSE)</f>
        <v>Wednesday</v>
      </c>
      <c r="M552" s="3">
        <v>39661</v>
      </c>
      <c r="N552" s="78">
        <f t="shared" si="153"/>
        <v>9</v>
      </c>
      <c r="O552" s="11">
        <v>0.84696740347962907</v>
      </c>
      <c r="P552" s="94">
        <f t="shared" si="161"/>
        <v>20</v>
      </c>
      <c r="Q552" s="94">
        <f t="shared" si="162"/>
        <v>19</v>
      </c>
      <c r="R552" s="94">
        <f t="shared" si="163"/>
        <v>38</v>
      </c>
      <c r="S552" s="94" t="str">
        <f>VLOOKUP(O552,'Lookup Values'!$I$2:$L$8,4,TRUE)</f>
        <v>Evening</v>
      </c>
      <c r="T552" t="s">
        <v>76</v>
      </c>
      <c r="U552" t="s">
        <v>90</v>
      </c>
      <c r="V552" t="str">
        <f t="shared" si="164"/>
        <v>Entertainment: Movies</v>
      </c>
      <c r="W552" t="s">
        <v>89</v>
      </c>
      <c r="X552" t="s">
        <v>78</v>
      </c>
      <c r="Y552" s="1">
        <v>16</v>
      </c>
      <c r="Z552" s="1" t="str">
        <f t="shared" si="165"/>
        <v>Entertainment: $16.00</v>
      </c>
      <c r="AA552" s="1">
        <f>IF(Y552="","",ROUND(Y552*'Lookup Values'!$A$2,2))</f>
        <v>1.42</v>
      </c>
      <c r="AB552" s="12" t="str">
        <f t="shared" si="166"/>
        <v>Expense</v>
      </c>
      <c r="AC552" s="2" t="s">
        <v>409</v>
      </c>
      <c r="AD552" s="3">
        <f t="shared" si="167"/>
        <v>39652</v>
      </c>
      <c r="AE552" s="93" t="str">
        <f t="shared" si="168"/>
        <v>NO</v>
      </c>
      <c r="AF552" s="2" t="str">
        <f t="shared" si="169"/>
        <v>NO</v>
      </c>
      <c r="AG552" t="str">
        <f t="shared" si="170"/>
        <v>Awesome Transaction</v>
      </c>
    </row>
    <row r="553" spans="1:33" x14ac:dyDescent="0.25">
      <c r="A553" s="2">
        <v>552</v>
      </c>
      <c r="B553" s="3" t="str">
        <f t="shared" si="152"/>
        <v>110730-SH-AMA</v>
      </c>
      <c r="C553" s="3">
        <v>40754</v>
      </c>
      <c r="D553" s="3">
        <f t="shared" si="154"/>
        <v>40767</v>
      </c>
      <c r="E553" s="3">
        <f t="shared" si="155"/>
        <v>40816</v>
      </c>
      <c r="F553" s="3">
        <f t="shared" si="156"/>
        <v>40755</v>
      </c>
      <c r="G553" s="76">
        <f t="shared" si="157"/>
        <v>2011</v>
      </c>
      <c r="H553" s="76">
        <f t="shared" si="158"/>
        <v>7</v>
      </c>
      <c r="I553" s="76" t="str">
        <f>VLOOKUP(H553,'Lookup Values'!$C$2:$D$13,2,FALSE)</f>
        <v>JUL</v>
      </c>
      <c r="J553" s="76">
        <f t="shared" si="159"/>
        <v>30</v>
      </c>
      <c r="K553" s="76">
        <f t="shared" si="160"/>
        <v>7</v>
      </c>
      <c r="L553" s="76" t="str">
        <f>VLOOKUP(K553,'Lookup Values'!$F$2:$G$8,2,FALSE)</f>
        <v>Saturday</v>
      </c>
      <c r="M553" s="3">
        <v>40764</v>
      </c>
      <c r="N553" s="78">
        <f t="shared" si="153"/>
        <v>10</v>
      </c>
      <c r="O553" s="11">
        <v>0.96270800211947438</v>
      </c>
      <c r="P553" s="94">
        <f t="shared" si="161"/>
        <v>23</v>
      </c>
      <c r="Q553" s="94">
        <f t="shared" si="162"/>
        <v>6</v>
      </c>
      <c r="R553" s="94">
        <f t="shared" si="163"/>
        <v>18</v>
      </c>
      <c r="S553" s="94" t="str">
        <f>VLOOKUP(O553,'Lookup Values'!$I$2:$L$8,4,TRUE)</f>
        <v>Late Evening</v>
      </c>
      <c r="T553" t="s">
        <v>83</v>
      </c>
      <c r="U553" t="s">
        <v>84</v>
      </c>
      <c r="V553" t="str">
        <f t="shared" si="164"/>
        <v>Shopping: Electronics</v>
      </c>
      <c r="W553" t="s">
        <v>82</v>
      </c>
      <c r="X553" t="s">
        <v>88</v>
      </c>
      <c r="Y553" s="1">
        <v>291</v>
      </c>
      <c r="Z553" s="1" t="str">
        <f t="shared" si="165"/>
        <v>Shopping: $291.00</v>
      </c>
      <c r="AA553" s="1">
        <f>IF(Y553="","",ROUND(Y553*'Lookup Values'!$A$2,2))</f>
        <v>25.83</v>
      </c>
      <c r="AB553" s="12" t="str">
        <f t="shared" si="166"/>
        <v>Expense</v>
      </c>
      <c r="AC553" s="2" t="s">
        <v>648</v>
      </c>
      <c r="AD553" s="3">
        <f t="shared" si="167"/>
        <v>40754</v>
      </c>
      <c r="AE553" s="93" t="str">
        <f t="shared" si="168"/>
        <v>YES</v>
      </c>
      <c r="AF553" s="2" t="str">
        <f t="shared" si="169"/>
        <v>NO</v>
      </c>
      <c r="AG553" t="str">
        <f t="shared" si="170"/>
        <v>CRAP Transaction</v>
      </c>
    </row>
    <row r="554" spans="1:33" x14ac:dyDescent="0.25">
      <c r="A554" s="2">
        <v>553</v>
      </c>
      <c r="B554" s="3" t="str">
        <f t="shared" si="152"/>
        <v>100524-EN-MOE</v>
      </c>
      <c r="C554" s="3">
        <v>40322</v>
      </c>
      <c r="D554" s="3">
        <f t="shared" si="154"/>
        <v>40336</v>
      </c>
      <c r="E554" s="3">
        <f t="shared" si="155"/>
        <v>40383</v>
      </c>
      <c r="F554" s="3">
        <f t="shared" si="156"/>
        <v>40329</v>
      </c>
      <c r="G554" s="76">
        <f t="shared" si="157"/>
        <v>2010</v>
      </c>
      <c r="H554" s="76">
        <f t="shared" si="158"/>
        <v>5</v>
      </c>
      <c r="I554" s="76" t="str">
        <f>VLOOKUP(H554,'Lookup Values'!$C$2:$D$13,2,FALSE)</f>
        <v>MAY</v>
      </c>
      <c r="J554" s="76">
        <f t="shared" si="159"/>
        <v>24</v>
      </c>
      <c r="K554" s="76">
        <f t="shared" si="160"/>
        <v>2</v>
      </c>
      <c r="L554" s="76" t="str">
        <f>VLOOKUP(K554,'Lookup Values'!$F$2:$G$8,2,FALSE)</f>
        <v>Monday</v>
      </c>
      <c r="M554" s="3">
        <v>40324</v>
      </c>
      <c r="N554" s="78">
        <f t="shared" si="153"/>
        <v>2</v>
      </c>
      <c r="O554" s="11">
        <v>0.11933449785896133</v>
      </c>
      <c r="P554" s="94">
        <f t="shared" si="161"/>
        <v>2</v>
      </c>
      <c r="Q554" s="94">
        <f t="shared" si="162"/>
        <v>51</v>
      </c>
      <c r="R554" s="94">
        <f t="shared" si="163"/>
        <v>51</v>
      </c>
      <c r="S554" s="94" t="str">
        <f>VLOOKUP(O554,'Lookup Values'!$I$2:$L$8,4,TRUE)</f>
        <v>Dead of Night</v>
      </c>
      <c r="T554" t="s">
        <v>76</v>
      </c>
      <c r="U554" t="s">
        <v>77</v>
      </c>
      <c r="V554" t="str">
        <f t="shared" si="164"/>
        <v>Entertainment: Alcohol</v>
      </c>
      <c r="W554" t="s">
        <v>75</v>
      </c>
      <c r="X554" t="s">
        <v>88</v>
      </c>
      <c r="Y554" s="1">
        <v>79</v>
      </c>
      <c r="Z554" s="1" t="str">
        <f t="shared" si="165"/>
        <v>Entertainment: $79.00</v>
      </c>
      <c r="AA554" s="1">
        <f>IF(Y554="","",ROUND(Y554*'Lookup Values'!$A$2,2))</f>
        <v>7.01</v>
      </c>
      <c r="AB554" s="12" t="str">
        <f t="shared" si="166"/>
        <v>Expense</v>
      </c>
      <c r="AC554" s="2" t="s">
        <v>649</v>
      </c>
      <c r="AD554" s="3">
        <f t="shared" si="167"/>
        <v>40322</v>
      </c>
      <c r="AE554" s="93" t="str">
        <f t="shared" si="168"/>
        <v>NO</v>
      </c>
      <c r="AF554" s="2" t="str">
        <f t="shared" si="169"/>
        <v>NO</v>
      </c>
      <c r="AG554" t="str">
        <f t="shared" si="170"/>
        <v>CRAP Transaction</v>
      </c>
    </row>
    <row r="555" spans="1:33" x14ac:dyDescent="0.25">
      <c r="A555" s="2">
        <v>554</v>
      </c>
      <c r="B555" s="3" t="str">
        <f t="shared" si="152"/>
        <v>080918-SH-EXP</v>
      </c>
      <c r="C555" s="3">
        <v>39709</v>
      </c>
      <c r="D555" s="3">
        <f t="shared" si="154"/>
        <v>39723</v>
      </c>
      <c r="E555" s="3">
        <f t="shared" si="155"/>
        <v>39770</v>
      </c>
      <c r="F555" s="3">
        <f t="shared" si="156"/>
        <v>39721</v>
      </c>
      <c r="G555" s="76">
        <f t="shared" si="157"/>
        <v>2008</v>
      </c>
      <c r="H555" s="76">
        <f t="shared" si="158"/>
        <v>9</v>
      </c>
      <c r="I555" s="76" t="str">
        <f>VLOOKUP(H555,'Lookup Values'!$C$2:$D$13,2,FALSE)</f>
        <v>SEP</v>
      </c>
      <c r="J555" s="76">
        <f t="shared" si="159"/>
        <v>18</v>
      </c>
      <c r="K555" s="76">
        <f t="shared" si="160"/>
        <v>5</v>
      </c>
      <c r="L555" s="76" t="str">
        <f>VLOOKUP(K555,'Lookup Values'!$F$2:$G$8,2,FALSE)</f>
        <v>Thursday</v>
      </c>
      <c r="M555" s="3">
        <v>39719</v>
      </c>
      <c r="N555" s="78">
        <f t="shared" si="153"/>
        <v>10</v>
      </c>
      <c r="O555" s="11">
        <v>2.7735303124640232E-2</v>
      </c>
      <c r="P555" s="94">
        <f t="shared" si="161"/>
        <v>0</v>
      </c>
      <c r="Q555" s="94">
        <f t="shared" si="162"/>
        <v>39</v>
      </c>
      <c r="R555" s="94">
        <f t="shared" si="163"/>
        <v>56</v>
      </c>
      <c r="S555" s="94" t="str">
        <f>VLOOKUP(O555,'Lookup Values'!$I$2:$L$8,4,TRUE)</f>
        <v>Dead of Night</v>
      </c>
      <c r="T555" t="s">
        <v>83</v>
      </c>
      <c r="U555" t="s">
        <v>103</v>
      </c>
      <c r="V555" t="str">
        <f t="shared" si="164"/>
        <v>Shopping: Clothing</v>
      </c>
      <c r="W555" t="s">
        <v>102</v>
      </c>
      <c r="X555" t="s">
        <v>91</v>
      </c>
      <c r="Y555" s="1">
        <v>248</v>
      </c>
      <c r="Z555" s="1" t="str">
        <f t="shared" si="165"/>
        <v>Shopping: $248.00</v>
      </c>
      <c r="AA555" s="1">
        <f>IF(Y555="","",ROUND(Y555*'Lookup Values'!$A$2,2))</f>
        <v>22.01</v>
      </c>
      <c r="AB555" s="12" t="str">
        <f t="shared" si="166"/>
        <v>Expense</v>
      </c>
      <c r="AC555" s="2" t="s">
        <v>650</v>
      </c>
      <c r="AD555" s="3">
        <f t="shared" si="167"/>
        <v>39709</v>
      </c>
      <c r="AE555" s="93" t="str">
        <f t="shared" si="168"/>
        <v>NO</v>
      </c>
      <c r="AF555" s="2" t="str">
        <f t="shared" si="169"/>
        <v>NO</v>
      </c>
      <c r="AG555" t="str">
        <f t="shared" si="170"/>
        <v>Awesome Transaction</v>
      </c>
    </row>
    <row r="556" spans="1:33" x14ac:dyDescent="0.25">
      <c r="A556" s="2">
        <v>555</v>
      </c>
      <c r="B556" s="3" t="str">
        <f t="shared" si="152"/>
        <v>080101-FO-BAN</v>
      </c>
      <c r="C556" s="3">
        <v>39448</v>
      </c>
      <c r="D556" s="3">
        <f t="shared" si="154"/>
        <v>39462</v>
      </c>
      <c r="E556" s="3">
        <f t="shared" si="155"/>
        <v>39508</v>
      </c>
      <c r="F556" s="3">
        <f t="shared" si="156"/>
        <v>39478</v>
      </c>
      <c r="G556" s="76">
        <f t="shared" si="157"/>
        <v>2008</v>
      </c>
      <c r="H556" s="76">
        <f t="shared" si="158"/>
        <v>1</v>
      </c>
      <c r="I556" s="76" t="str">
        <f>VLOOKUP(H556,'Lookup Values'!$C$2:$D$13,2,FALSE)</f>
        <v>JAN</v>
      </c>
      <c r="J556" s="76">
        <f t="shared" si="159"/>
        <v>1</v>
      </c>
      <c r="K556" s="76">
        <f t="shared" si="160"/>
        <v>3</v>
      </c>
      <c r="L556" s="76" t="str">
        <f>VLOOKUP(K556,'Lookup Values'!$F$2:$G$8,2,FALSE)</f>
        <v>Tuesday</v>
      </c>
      <c r="M556" s="3">
        <v>39450</v>
      </c>
      <c r="N556" s="78">
        <f t="shared" si="153"/>
        <v>2</v>
      </c>
      <c r="O556" s="11">
        <v>0.1825077809304696</v>
      </c>
      <c r="P556" s="94">
        <f t="shared" si="161"/>
        <v>4</v>
      </c>
      <c r="Q556" s="94">
        <f t="shared" si="162"/>
        <v>22</v>
      </c>
      <c r="R556" s="94">
        <f t="shared" si="163"/>
        <v>49</v>
      </c>
      <c r="S556" s="94" t="str">
        <f>VLOOKUP(O556,'Lookup Values'!$I$2:$L$8,4,TRUE)</f>
        <v>Early Morning</v>
      </c>
      <c r="T556" t="s">
        <v>80</v>
      </c>
      <c r="U556" t="s">
        <v>81</v>
      </c>
      <c r="V556" t="str">
        <f t="shared" si="164"/>
        <v>Food: Restaurants</v>
      </c>
      <c r="W556" t="s">
        <v>79</v>
      </c>
      <c r="X556" t="s">
        <v>78</v>
      </c>
      <c r="Y556" s="1">
        <v>447</v>
      </c>
      <c r="Z556" s="1" t="str">
        <f t="shared" si="165"/>
        <v>Food: $447.00</v>
      </c>
      <c r="AA556" s="1">
        <f>IF(Y556="","",ROUND(Y556*'Lookup Values'!$A$2,2))</f>
        <v>39.67</v>
      </c>
      <c r="AB556" s="12" t="str">
        <f t="shared" si="166"/>
        <v>Expense</v>
      </c>
      <c r="AC556" s="2" t="s">
        <v>651</v>
      </c>
      <c r="AD556" s="3">
        <f t="shared" si="167"/>
        <v>39448</v>
      </c>
      <c r="AE556" s="93" t="str">
        <f t="shared" si="168"/>
        <v>NO</v>
      </c>
      <c r="AF556" s="2" t="str">
        <f t="shared" si="169"/>
        <v>NO</v>
      </c>
      <c r="AG556" t="str">
        <f t="shared" si="170"/>
        <v>Awesome Transaction</v>
      </c>
    </row>
    <row r="557" spans="1:33" x14ac:dyDescent="0.25">
      <c r="A557" s="2">
        <v>556</v>
      </c>
      <c r="B557" s="3" t="str">
        <f t="shared" si="152"/>
        <v>090730-ED-SKI</v>
      </c>
      <c r="C557" s="3">
        <v>40024</v>
      </c>
      <c r="D557" s="3">
        <f t="shared" si="154"/>
        <v>40038</v>
      </c>
      <c r="E557" s="3">
        <f t="shared" si="155"/>
        <v>40086</v>
      </c>
      <c r="F557" s="3">
        <f t="shared" si="156"/>
        <v>40025</v>
      </c>
      <c r="G557" s="76">
        <f t="shared" si="157"/>
        <v>2009</v>
      </c>
      <c r="H557" s="76">
        <f t="shared" si="158"/>
        <v>7</v>
      </c>
      <c r="I557" s="76" t="str">
        <f>VLOOKUP(H557,'Lookup Values'!$C$2:$D$13,2,FALSE)</f>
        <v>JUL</v>
      </c>
      <c r="J557" s="76">
        <f t="shared" si="159"/>
        <v>30</v>
      </c>
      <c r="K557" s="76">
        <f t="shared" si="160"/>
        <v>5</v>
      </c>
      <c r="L557" s="76" t="str">
        <f>VLOOKUP(K557,'Lookup Values'!$F$2:$G$8,2,FALSE)</f>
        <v>Thursday</v>
      </c>
      <c r="M557" s="3">
        <v>40027</v>
      </c>
      <c r="N557" s="78">
        <f t="shared" si="153"/>
        <v>3</v>
      </c>
      <c r="O557" s="11">
        <v>0.8246969862169653</v>
      </c>
      <c r="P557" s="94">
        <f t="shared" si="161"/>
        <v>19</v>
      </c>
      <c r="Q557" s="94">
        <f t="shared" si="162"/>
        <v>47</v>
      </c>
      <c r="R557" s="94">
        <f t="shared" si="163"/>
        <v>34</v>
      </c>
      <c r="S557" s="94" t="str">
        <f>VLOOKUP(O557,'Lookup Values'!$I$2:$L$8,4,TRUE)</f>
        <v>Evening</v>
      </c>
      <c r="T557" t="s">
        <v>86</v>
      </c>
      <c r="U557" t="s">
        <v>98</v>
      </c>
      <c r="V557" t="str">
        <f t="shared" si="164"/>
        <v>Education: Professional Development</v>
      </c>
      <c r="W557" t="s">
        <v>97</v>
      </c>
      <c r="X557" t="s">
        <v>88</v>
      </c>
      <c r="Y557" s="1">
        <v>340</v>
      </c>
      <c r="Z557" s="1" t="str">
        <f t="shared" si="165"/>
        <v>Education: $340.00</v>
      </c>
      <c r="AA557" s="1">
        <f>IF(Y557="","",ROUND(Y557*'Lookup Values'!$A$2,2))</f>
        <v>30.18</v>
      </c>
      <c r="AB557" s="12" t="str">
        <f t="shared" si="166"/>
        <v>Expense</v>
      </c>
      <c r="AC557" s="2" t="s">
        <v>652</v>
      </c>
      <c r="AD557" s="3">
        <f t="shared" si="167"/>
        <v>40024</v>
      </c>
      <c r="AE557" s="93" t="str">
        <f t="shared" si="168"/>
        <v>YES</v>
      </c>
      <c r="AF557" s="2" t="str">
        <f t="shared" si="169"/>
        <v>NO</v>
      </c>
      <c r="AG557" t="str">
        <f t="shared" si="170"/>
        <v>Late Transaction</v>
      </c>
    </row>
    <row r="558" spans="1:33" x14ac:dyDescent="0.25">
      <c r="A558" s="2">
        <v>557</v>
      </c>
      <c r="B558" s="3" t="str">
        <f t="shared" si="152"/>
        <v>100917-HO-BED</v>
      </c>
      <c r="C558" s="3">
        <v>40438</v>
      </c>
      <c r="D558" s="3">
        <f t="shared" si="154"/>
        <v>40452</v>
      </c>
      <c r="E558" s="3">
        <f t="shared" si="155"/>
        <v>40499</v>
      </c>
      <c r="F558" s="3">
        <f t="shared" si="156"/>
        <v>40451</v>
      </c>
      <c r="G558" s="76">
        <f t="shared" si="157"/>
        <v>2010</v>
      </c>
      <c r="H558" s="76">
        <f t="shared" si="158"/>
        <v>9</v>
      </c>
      <c r="I558" s="76" t="str">
        <f>VLOOKUP(H558,'Lookup Values'!$C$2:$D$13,2,FALSE)</f>
        <v>SEP</v>
      </c>
      <c r="J558" s="76">
        <f t="shared" si="159"/>
        <v>17</v>
      </c>
      <c r="K558" s="76">
        <f t="shared" si="160"/>
        <v>6</v>
      </c>
      <c r="L558" s="76" t="str">
        <f>VLOOKUP(K558,'Lookup Values'!$F$2:$G$8,2,FALSE)</f>
        <v>Friday</v>
      </c>
      <c r="M558" s="3">
        <v>40447</v>
      </c>
      <c r="N558" s="78">
        <f t="shared" si="153"/>
        <v>9</v>
      </c>
      <c r="O558" s="11">
        <v>0.39539328163029952</v>
      </c>
      <c r="P558" s="94">
        <f t="shared" si="161"/>
        <v>9</v>
      </c>
      <c r="Q558" s="94">
        <f t="shared" si="162"/>
        <v>29</v>
      </c>
      <c r="R558" s="94">
        <f t="shared" si="163"/>
        <v>22</v>
      </c>
      <c r="S558" s="94" t="str">
        <f>VLOOKUP(O558,'Lookup Values'!$I$2:$L$8,4,TRUE)</f>
        <v>Morning</v>
      </c>
      <c r="T558" t="s">
        <v>100</v>
      </c>
      <c r="U558" t="s">
        <v>101</v>
      </c>
      <c r="V558" t="str">
        <f t="shared" si="164"/>
        <v>Home: Cleaning Supplies</v>
      </c>
      <c r="W558" t="s">
        <v>99</v>
      </c>
      <c r="X558" t="s">
        <v>88</v>
      </c>
      <c r="Y558" s="1">
        <v>185</v>
      </c>
      <c r="Z558" s="1" t="str">
        <f t="shared" si="165"/>
        <v>Home: $185.00</v>
      </c>
      <c r="AA558" s="1">
        <f>IF(Y558="","",ROUND(Y558*'Lookup Values'!$A$2,2))</f>
        <v>16.420000000000002</v>
      </c>
      <c r="AB558" s="12" t="str">
        <f t="shared" si="166"/>
        <v>Expense</v>
      </c>
      <c r="AC558" s="2" t="s">
        <v>653</v>
      </c>
      <c r="AD558" s="3">
        <f t="shared" si="167"/>
        <v>40438</v>
      </c>
      <c r="AE558" s="93" t="str">
        <f t="shared" si="168"/>
        <v>NO</v>
      </c>
      <c r="AF558" s="2" t="str">
        <f t="shared" si="169"/>
        <v>NO</v>
      </c>
      <c r="AG558" t="str">
        <f t="shared" si="170"/>
        <v>Late Transaction</v>
      </c>
    </row>
    <row r="559" spans="1:33" x14ac:dyDescent="0.25">
      <c r="A559" s="2">
        <v>558</v>
      </c>
      <c r="B559" s="3" t="str">
        <f t="shared" si="152"/>
        <v>080201-ED-ANT</v>
      </c>
      <c r="C559" s="3">
        <v>39479</v>
      </c>
      <c r="D559" s="3">
        <f t="shared" si="154"/>
        <v>39493</v>
      </c>
      <c r="E559" s="3">
        <f t="shared" si="155"/>
        <v>39539</v>
      </c>
      <c r="F559" s="3">
        <f t="shared" si="156"/>
        <v>39507</v>
      </c>
      <c r="G559" s="76">
        <f t="shared" si="157"/>
        <v>2008</v>
      </c>
      <c r="H559" s="76">
        <f t="shared" si="158"/>
        <v>2</v>
      </c>
      <c r="I559" s="76" t="str">
        <f>VLOOKUP(H559,'Lookup Values'!$C$2:$D$13,2,FALSE)</f>
        <v>FEB</v>
      </c>
      <c r="J559" s="76">
        <f t="shared" si="159"/>
        <v>1</v>
      </c>
      <c r="K559" s="76">
        <f t="shared" si="160"/>
        <v>6</v>
      </c>
      <c r="L559" s="76" t="str">
        <f>VLOOKUP(K559,'Lookup Values'!$F$2:$G$8,2,FALSE)</f>
        <v>Friday</v>
      </c>
      <c r="M559" s="3">
        <v>39487</v>
      </c>
      <c r="N559" s="78">
        <f t="shared" si="153"/>
        <v>8</v>
      </c>
      <c r="O559" s="11">
        <v>0.21047874873200167</v>
      </c>
      <c r="P559" s="94">
        <f t="shared" si="161"/>
        <v>5</v>
      </c>
      <c r="Q559" s="94">
        <f t="shared" si="162"/>
        <v>3</v>
      </c>
      <c r="R559" s="94">
        <f t="shared" si="163"/>
        <v>5</v>
      </c>
      <c r="S559" s="94" t="str">
        <f>VLOOKUP(O559,'Lookup Values'!$I$2:$L$8,4,TRUE)</f>
        <v>Early Morning</v>
      </c>
      <c r="T559" t="s">
        <v>86</v>
      </c>
      <c r="U559" t="s">
        <v>87</v>
      </c>
      <c r="V559" t="str">
        <f t="shared" si="164"/>
        <v>Education: Tango Lessons</v>
      </c>
      <c r="W559" t="s">
        <v>85</v>
      </c>
      <c r="X559" t="s">
        <v>91</v>
      </c>
      <c r="Y559" s="1">
        <v>7</v>
      </c>
      <c r="Z559" s="1" t="str">
        <f t="shared" si="165"/>
        <v>Education: $7.00</v>
      </c>
      <c r="AA559" s="1">
        <f>IF(Y559="","",ROUND(Y559*'Lookup Values'!$A$2,2))</f>
        <v>0.62</v>
      </c>
      <c r="AB559" s="12" t="str">
        <f t="shared" si="166"/>
        <v>Expense</v>
      </c>
      <c r="AC559" s="2" t="s">
        <v>453</v>
      </c>
      <c r="AD559" s="3">
        <f t="shared" si="167"/>
        <v>39479</v>
      </c>
      <c r="AE559" s="93" t="str">
        <f t="shared" si="168"/>
        <v>NO</v>
      </c>
      <c r="AF559" s="2" t="str">
        <f t="shared" si="169"/>
        <v>NO</v>
      </c>
      <c r="AG559" t="str">
        <f t="shared" si="170"/>
        <v>Late Transaction</v>
      </c>
    </row>
    <row r="560" spans="1:33" x14ac:dyDescent="0.25">
      <c r="A560" s="2">
        <v>559</v>
      </c>
      <c r="B560" s="3" t="str">
        <f t="shared" si="152"/>
        <v>120922-HE-FRE</v>
      </c>
      <c r="C560" s="3">
        <v>41174</v>
      </c>
      <c r="D560" s="3">
        <f t="shared" si="154"/>
        <v>41187</v>
      </c>
      <c r="E560" s="3">
        <f t="shared" si="155"/>
        <v>41235</v>
      </c>
      <c r="F560" s="3">
        <f t="shared" si="156"/>
        <v>41182</v>
      </c>
      <c r="G560" s="76">
        <f t="shared" si="157"/>
        <v>2012</v>
      </c>
      <c r="H560" s="76">
        <f t="shared" si="158"/>
        <v>9</v>
      </c>
      <c r="I560" s="76" t="str">
        <f>VLOOKUP(H560,'Lookup Values'!$C$2:$D$13,2,FALSE)</f>
        <v>SEP</v>
      </c>
      <c r="J560" s="76">
        <f t="shared" si="159"/>
        <v>22</v>
      </c>
      <c r="K560" s="76">
        <f t="shared" si="160"/>
        <v>7</v>
      </c>
      <c r="L560" s="76" t="str">
        <f>VLOOKUP(K560,'Lookup Values'!$F$2:$G$8,2,FALSE)</f>
        <v>Saturday</v>
      </c>
      <c r="M560" s="3">
        <v>41176</v>
      </c>
      <c r="N560" s="78">
        <f t="shared" si="153"/>
        <v>2</v>
      </c>
      <c r="O560" s="11">
        <v>0.74385649016284616</v>
      </c>
      <c r="P560" s="94">
        <f t="shared" si="161"/>
        <v>17</v>
      </c>
      <c r="Q560" s="94">
        <f t="shared" si="162"/>
        <v>51</v>
      </c>
      <c r="R560" s="94">
        <f t="shared" si="163"/>
        <v>9</v>
      </c>
      <c r="S560" s="94" t="str">
        <f>VLOOKUP(O560,'Lookup Values'!$I$2:$L$8,4,TRUE)</f>
        <v>Evening</v>
      </c>
      <c r="T560" t="s">
        <v>107</v>
      </c>
      <c r="U560" t="s">
        <v>108</v>
      </c>
      <c r="V560" t="str">
        <f t="shared" si="164"/>
        <v>Health: Insurance Premium</v>
      </c>
      <c r="W560" t="s">
        <v>106</v>
      </c>
      <c r="X560" t="s">
        <v>88</v>
      </c>
      <c r="Y560" s="1">
        <v>214</v>
      </c>
      <c r="Z560" s="1" t="str">
        <f t="shared" si="165"/>
        <v>Health: $214.00</v>
      </c>
      <c r="AA560" s="1">
        <f>IF(Y560="","",ROUND(Y560*'Lookup Values'!$A$2,2))</f>
        <v>18.989999999999998</v>
      </c>
      <c r="AB560" s="12" t="str">
        <f t="shared" si="166"/>
        <v>Expense</v>
      </c>
      <c r="AC560" s="2" t="s">
        <v>654</v>
      </c>
      <c r="AD560" s="3">
        <f t="shared" si="167"/>
        <v>41174</v>
      </c>
      <c r="AE560" s="93" t="str">
        <f t="shared" si="168"/>
        <v>NO</v>
      </c>
      <c r="AF560" s="2" t="str">
        <f t="shared" si="169"/>
        <v>NO</v>
      </c>
      <c r="AG560" t="str">
        <f t="shared" si="170"/>
        <v>CRAP Transaction</v>
      </c>
    </row>
    <row r="561" spans="1:33" x14ac:dyDescent="0.25">
      <c r="A561" s="2">
        <v>560</v>
      </c>
      <c r="B561" s="3" t="str">
        <f t="shared" si="152"/>
        <v>100424-FO-TRA</v>
      </c>
      <c r="C561" s="3">
        <v>40292</v>
      </c>
      <c r="D561" s="3">
        <f t="shared" si="154"/>
        <v>40305</v>
      </c>
      <c r="E561" s="3">
        <f t="shared" si="155"/>
        <v>40353</v>
      </c>
      <c r="F561" s="3">
        <f t="shared" si="156"/>
        <v>40298</v>
      </c>
      <c r="G561" s="76">
        <f t="shared" si="157"/>
        <v>2010</v>
      </c>
      <c r="H561" s="76">
        <f t="shared" si="158"/>
        <v>4</v>
      </c>
      <c r="I561" s="76" t="str">
        <f>VLOOKUP(H561,'Lookup Values'!$C$2:$D$13,2,FALSE)</f>
        <v>APR</v>
      </c>
      <c r="J561" s="76">
        <f t="shared" si="159"/>
        <v>24</v>
      </c>
      <c r="K561" s="76">
        <f t="shared" si="160"/>
        <v>7</v>
      </c>
      <c r="L561" s="76" t="str">
        <f>VLOOKUP(K561,'Lookup Values'!$F$2:$G$8,2,FALSE)</f>
        <v>Saturday</v>
      </c>
      <c r="M561" s="3">
        <v>40293</v>
      </c>
      <c r="N561" s="78">
        <f t="shared" si="153"/>
        <v>1</v>
      </c>
      <c r="O561" s="11">
        <v>0.40162563050247579</v>
      </c>
      <c r="P561" s="94">
        <f t="shared" si="161"/>
        <v>9</v>
      </c>
      <c r="Q561" s="94">
        <f t="shared" si="162"/>
        <v>38</v>
      </c>
      <c r="R561" s="94">
        <f t="shared" si="163"/>
        <v>20</v>
      </c>
      <c r="S561" s="94" t="str">
        <f>VLOOKUP(O561,'Lookup Values'!$I$2:$L$8,4,TRUE)</f>
        <v>Morning</v>
      </c>
      <c r="T561" t="s">
        <v>80</v>
      </c>
      <c r="U561" t="s">
        <v>93</v>
      </c>
      <c r="V561" t="str">
        <f t="shared" si="164"/>
        <v>Food: Groceries</v>
      </c>
      <c r="W561" t="s">
        <v>92</v>
      </c>
      <c r="X561" t="s">
        <v>91</v>
      </c>
      <c r="Y561" s="1">
        <v>107</v>
      </c>
      <c r="Z561" s="1" t="str">
        <f t="shared" si="165"/>
        <v>Food: $107.00</v>
      </c>
      <c r="AA561" s="1">
        <f>IF(Y561="","",ROUND(Y561*'Lookup Values'!$A$2,2))</f>
        <v>9.5</v>
      </c>
      <c r="AB561" s="12" t="str">
        <f t="shared" si="166"/>
        <v>Expense</v>
      </c>
      <c r="AC561" s="2" t="s">
        <v>655</v>
      </c>
      <c r="AD561" s="3">
        <f t="shared" si="167"/>
        <v>40292</v>
      </c>
      <c r="AE561" s="93" t="str">
        <f t="shared" si="168"/>
        <v>NO</v>
      </c>
      <c r="AF561" s="2" t="str">
        <f t="shared" si="169"/>
        <v>NO</v>
      </c>
      <c r="AG561" t="str">
        <f t="shared" si="170"/>
        <v>Late Transaction</v>
      </c>
    </row>
    <row r="562" spans="1:33" x14ac:dyDescent="0.25">
      <c r="A562" s="2">
        <v>561</v>
      </c>
      <c r="B562" s="3" t="str">
        <f t="shared" si="152"/>
        <v>081212-FO-TRA</v>
      </c>
      <c r="C562" s="3">
        <v>39794</v>
      </c>
      <c r="D562" s="3">
        <f t="shared" si="154"/>
        <v>39808</v>
      </c>
      <c r="E562" s="3">
        <f t="shared" si="155"/>
        <v>39856</v>
      </c>
      <c r="F562" s="3">
        <f t="shared" si="156"/>
        <v>39813</v>
      </c>
      <c r="G562" s="76">
        <f t="shared" si="157"/>
        <v>2008</v>
      </c>
      <c r="H562" s="76">
        <f t="shared" si="158"/>
        <v>12</v>
      </c>
      <c r="I562" s="76" t="str">
        <f>VLOOKUP(H562,'Lookup Values'!$C$2:$D$13,2,FALSE)</f>
        <v>DEC</v>
      </c>
      <c r="J562" s="76">
        <f t="shared" si="159"/>
        <v>12</v>
      </c>
      <c r="K562" s="76">
        <f t="shared" si="160"/>
        <v>6</v>
      </c>
      <c r="L562" s="76" t="str">
        <f>VLOOKUP(K562,'Lookup Values'!$F$2:$G$8,2,FALSE)</f>
        <v>Friday</v>
      </c>
      <c r="M562" s="3">
        <v>39802</v>
      </c>
      <c r="N562" s="78">
        <f t="shared" si="153"/>
        <v>8</v>
      </c>
      <c r="O562" s="11">
        <v>0.62091997148658484</v>
      </c>
      <c r="P562" s="94">
        <f t="shared" si="161"/>
        <v>14</v>
      </c>
      <c r="Q562" s="94">
        <f t="shared" si="162"/>
        <v>54</v>
      </c>
      <c r="R562" s="94">
        <f t="shared" si="163"/>
        <v>7</v>
      </c>
      <c r="S562" s="94" t="str">
        <f>VLOOKUP(O562,'Lookup Values'!$I$2:$L$8,4,TRUE)</f>
        <v>Afternoon</v>
      </c>
      <c r="T562" t="s">
        <v>80</v>
      </c>
      <c r="U562" t="s">
        <v>93</v>
      </c>
      <c r="V562" t="str">
        <f t="shared" si="164"/>
        <v>Food: Groceries</v>
      </c>
      <c r="W562" t="s">
        <v>92</v>
      </c>
      <c r="X562" t="s">
        <v>91</v>
      </c>
      <c r="Y562" s="1">
        <v>479</v>
      </c>
      <c r="Z562" s="1" t="str">
        <f t="shared" si="165"/>
        <v>Food: $479.00</v>
      </c>
      <c r="AA562" s="1">
        <f>IF(Y562="","",ROUND(Y562*'Lookup Values'!$A$2,2))</f>
        <v>42.51</v>
      </c>
      <c r="AB562" s="12" t="str">
        <f t="shared" si="166"/>
        <v>Expense</v>
      </c>
      <c r="AC562" s="2" t="s">
        <v>619</v>
      </c>
      <c r="AD562" s="3">
        <f t="shared" si="167"/>
        <v>39794</v>
      </c>
      <c r="AE562" s="93" t="str">
        <f t="shared" si="168"/>
        <v>NO</v>
      </c>
      <c r="AF562" s="2" t="str">
        <f t="shared" si="169"/>
        <v>NO</v>
      </c>
      <c r="AG562" t="str">
        <f t="shared" si="170"/>
        <v>Awesome Transaction</v>
      </c>
    </row>
    <row r="563" spans="1:33" x14ac:dyDescent="0.25">
      <c r="A563" s="2">
        <v>562</v>
      </c>
      <c r="B563" s="3" t="str">
        <f t="shared" si="152"/>
        <v>100803-FO-TRA</v>
      </c>
      <c r="C563" s="3">
        <v>40393</v>
      </c>
      <c r="D563" s="3">
        <f t="shared" si="154"/>
        <v>40407</v>
      </c>
      <c r="E563" s="3">
        <f t="shared" si="155"/>
        <v>40454</v>
      </c>
      <c r="F563" s="3">
        <f t="shared" si="156"/>
        <v>40421</v>
      </c>
      <c r="G563" s="76">
        <f t="shared" si="157"/>
        <v>2010</v>
      </c>
      <c r="H563" s="76">
        <f t="shared" si="158"/>
        <v>8</v>
      </c>
      <c r="I563" s="76" t="str">
        <f>VLOOKUP(H563,'Lookup Values'!$C$2:$D$13,2,FALSE)</f>
        <v>AUG</v>
      </c>
      <c r="J563" s="76">
        <f t="shared" si="159"/>
        <v>3</v>
      </c>
      <c r="K563" s="76">
        <f t="shared" si="160"/>
        <v>3</v>
      </c>
      <c r="L563" s="76" t="str">
        <f>VLOOKUP(K563,'Lookup Values'!$F$2:$G$8,2,FALSE)</f>
        <v>Tuesday</v>
      </c>
      <c r="M563" s="3">
        <v>40399</v>
      </c>
      <c r="N563" s="78">
        <f t="shared" si="153"/>
        <v>6</v>
      </c>
      <c r="O563" s="11">
        <v>0.21369238683507785</v>
      </c>
      <c r="P563" s="94">
        <f t="shared" si="161"/>
        <v>5</v>
      </c>
      <c r="Q563" s="94">
        <f t="shared" si="162"/>
        <v>7</v>
      </c>
      <c r="R563" s="94">
        <f t="shared" si="163"/>
        <v>43</v>
      </c>
      <c r="S563" s="94" t="str">
        <f>VLOOKUP(O563,'Lookup Values'!$I$2:$L$8,4,TRUE)</f>
        <v>Early Morning</v>
      </c>
      <c r="T563" t="s">
        <v>80</v>
      </c>
      <c r="U563" t="s">
        <v>93</v>
      </c>
      <c r="V563" t="str">
        <f t="shared" si="164"/>
        <v>Food: Groceries</v>
      </c>
      <c r="W563" t="s">
        <v>92</v>
      </c>
      <c r="X563" t="s">
        <v>91</v>
      </c>
      <c r="Y563" s="1">
        <v>49</v>
      </c>
      <c r="Z563" s="1" t="str">
        <f t="shared" si="165"/>
        <v>Food: $49.00</v>
      </c>
      <c r="AA563" s="1">
        <f>IF(Y563="","",ROUND(Y563*'Lookup Values'!$A$2,2))</f>
        <v>4.3499999999999996</v>
      </c>
      <c r="AB563" s="12" t="str">
        <f t="shared" si="166"/>
        <v>Expense</v>
      </c>
      <c r="AC563" s="2" t="s">
        <v>656</v>
      </c>
      <c r="AD563" s="3">
        <f t="shared" si="167"/>
        <v>40393</v>
      </c>
      <c r="AE563" s="93" t="str">
        <f t="shared" si="168"/>
        <v>NO</v>
      </c>
      <c r="AF563" s="2" t="str">
        <f t="shared" si="169"/>
        <v>NO</v>
      </c>
      <c r="AG563" t="str">
        <f t="shared" si="170"/>
        <v>Late Transaction</v>
      </c>
    </row>
    <row r="564" spans="1:33" x14ac:dyDescent="0.25">
      <c r="A564" s="2">
        <v>563</v>
      </c>
      <c r="B564" s="3" t="str">
        <f t="shared" si="152"/>
        <v>070202-FO-TRA</v>
      </c>
      <c r="C564" s="3">
        <v>39115</v>
      </c>
      <c r="D564" s="3">
        <f t="shared" si="154"/>
        <v>39129</v>
      </c>
      <c r="E564" s="3">
        <f t="shared" si="155"/>
        <v>39174</v>
      </c>
      <c r="F564" s="3">
        <f t="shared" si="156"/>
        <v>39141</v>
      </c>
      <c r="G564" s="76">
        <f t="shared" si="157"/>
        <v>2007</v>
      </c>
      <c r="H564" s="76">
        <f t="shared" si="158"/>
        <v>2</v>
      </c>
      <c r="I564" s="76" t="str">
        <f>VLOOKUP(H564,'Lookup Values'!$C$2:$D$13,2,FALSE)</f>
        <v>FEB</v>
      </c>
      <c r="J564" s="76">
        <f t="shared" si="159"/>
        <v>2</v>
      </c>
      <c r="K564" s="76">
        <f t="shared" si="160"/>
        <v>6</v>
      </c>
      <c r="L564" s="76" t="str">
        <f>VLOOKUP(K564,'Lookup Values'!$F$2:$G$8,2,FALSE)</f>
        <v>Friday</v>
      </c>
      <c r="M564" s="3">
        <v>39120</v>
      </c>
      <c r="N564" s="78">
        <f t="shared" si="153"/>
        <v>5</v>
      </c>
      <c r="O564" s="11">
        <v>7.7376014005006599E-2</v>
      </c>
      <c r="P564" s="94">
        <f t="shared" si="161"/>
        <v>1</v>
      </c>
      <c r="Q564" s="94">
        <f t="shared" si="162"/>
        <v>51</v>
      </c>
      <c r="R564" s="94">
        <f t="shared" si="163"/>
        <v>25</v>
      </c>
      <c r="S564" s="94" t="str">
        <f>VLOOKUP(O564,'Lookup Values'!$I$2:$L$8,4,TRUE)</f>
        <v>Dead of Night</v>
      </c>
      <c r="T564" t="s">
        <v>80</v>
      </c>
      <c r="U564" t="s">
        <v>93</v>
      </c>
      <c r="V564" t="str">
        <f t="shared" si="164"/>
        <v>Food: Groceries</v>
      </c>
      <c r="W564" t="s">
        <v>92</v>
      </c>
      <c r="X564" t="s">
        <v>78</v>
      </c>
      <c r="Y564" s="1">
        <v>375</v>
      </c>
      <c r="Z564" s="1" t="str">
        <f t="shared" si="165"/>
        <v>Food: $375.00</v>
      </c>
      <c r="AA564" s="1">
        <f>IF(Y564="","",ROUND(Y564*'Lookup Values'!$A$2,2))</f>
        <v>33.28</v>
      </c>
      <c r="AB564" s="12" t="str">
        <f t="shared" si="166"/>
        <v>Expense</v>
      </c>
      <c r="AC564" s="2" t="s">
        <v>395</v>
      </c>
      <c r="AD564" s="3">
        <f t="shared" si="167"/>
        <v>39115</v>
      </c>
      <c r="AE564" s="93" t="str">
        <f t="shared" si="168"/>
        <v>NO</v>
      </c>
      <c r="AF564" s="2" t="str">
        <f t="shared" si="169"/>
        <v>NO</v>
      </c>
      <c r="AG564" t="str">
        <f t="shared" si="170"/>
        <v>Awesome Transaction</v>
      </c>
    </row>
    <row r="565" spans="1:33" x14ac:dyDescent="0.25">
      <c r="A565" s="2">
        <v>564</v>
      </c>
      <c r="B565" s="3" t="str">
        <f t="shared" si="152"/>
        <v>080823-FO-CIT</v>
      </c>
      <c r="C565" s="3">
        <v>39683</v>
      </c>
      <c r="D565" s="3">
        <f t="shared" si="154"/>
        <v>39696</v>
      </c>
      <c r="E565" s="3">
        <f t="shared" si="155"/>
        <v>39744</v>
      </c>
      <c r="F565" s="3">
        <f t="shared" si="156"/>
        <v>39691</v>
      </c>
      <c r="G565" s="76">
        <f t="shared" si="157"/>
        <v>2008</v>
      </c>
      <c r="H565" s="76">
        <f t="shared" si="158"/>
        <v>8</v>
      </c>
      <c r="I565" s="76" t="str">
        <f>VLOOKUP(H565,'Lookup Values'!$C$2:$D$13,2,FALSE)</f>
        <v>AUG</v>
      </c>
      <c r="J565" s="76">
        <f t="shared" si="159"/>
        <v>23</v>
      </c>
      <c r="K565" s="76">
        <f t="shared" si="160"/>
        <v>7</v>
      </c>
      <c r="L565" s="76" t="str">
        <f>VLOOKUP(K565,'Lookup Values'!$F$2:$G$8,2,FALSE)</f>
        <v>Saturday</v>
      </c>
      <c r="M565" s="3">
        <v>39687</v>
      </c>
      <c r="N565" s="78">
        <f t="shared" si="153"/>
        <v>4</v>
      </c>
      <c r="O565" s="11">
        <v>0.64348385655884333</v>
      </c>
      <c r="P565" s="94">
        <f t="shared" si="161"/>
        <v>15</v>
      </c>
      <c r="Q565" s="94">
        <f t="shared" si="162"/>
        <v>26</v>
      </c>
      <c r="R565" s="94">
        <f t="shared" si="163"/>
        <v>37</v>
      </c>
      <c r="S565" s="94" t="str">
        <f>VLOOKUP(O565,'Lookup Values'!$I$2:$L$8,4,TRUE)</f>
        <v>Afternoon</v>
      </c>
      <c r="T565" t="s">
        <v>80</v>
      </c>
      <c r="U565" t="s">
        <v>105</v>
      </c>
      <c r="V565" t="str">
        <f t="shared" si="164"/>
        <v>Food: Coffee</v>
      </c>
      <c r="W565" t="s">
        <v>104</v>
      </c>
      <c r="X565" t="s">
        <v>78</v>
      </c>
      <c r="Y565" s="1">
        <v>349</v>
      </c>
      <c r="Z565" s="1" t="str">
        <f t="shared" si="165"/>
        <v>Food: $349.00</v>
      </c>
      <c r="AA565" s="1">
        <f>IF(Y565="","",ROUND(Y565*'Lookup Values'!$A$2,2))</f>
        <v>30.97</v>
      </c>
      <c r="AB565" s="12" t="str">
        <f t="shared" si="166"/>
        <v>Expense</v>
      </c>
      <c r="AC565" s="2" t="s">
        <v>657</v>
      </c>
      <c r="AD565" s="3">
        <f t="shared" si="167"/>
        <v>39683</v>
      </c>
      <c r="AE565" s="93" t="str">
        <f t="shared" si="168"/>
        <v>NO</v>
      </c>
      <c r="AF565" s="2" t="str">
        <f t="shared" si="169"/>
        <v>NO</v>
      </c>
      <c r="AG565" t="str">
        <f t="shared" si="170"/>
        <v>Awesome Transaction</v>
      </c>
    </row>
    <row r="566" spans="1:33" x14ac:dyDescent="0.25">
      <c r="A566" s="2">
        <v>565</v>
      </c>
      <c r="B566" s="3" t="str">
        <f t="shared" si="152"/>
        <v>120604-IN-AUN</v>
      </c>
      <c r="C566" s="3">
        <v>41064</v>
      </c>
      <c r="D566" s="3">
        <f t="shared" si="154"/>
        <v>41078</v>
      </c>
      <c r="E566" s="3">
        <f t="shared" si="155"/>
        <v>41125</v>
      </c>
      <c r="F566" s="3">
        <f t="shared" si="156"/>
        <v>41090</v>
      </c>
      <c r="G566" s="76">
        <f t="shared" si="157"/>
        <v>2012</v>
      </c>
      <c r="H566" s="76">
        <f t="shared" si="158"/>
        <v>6</v>
      </c>
      <c r="I566" s="76" t="str">
        <f>VLOOKUP(H566,'Lookup Values'!$C$2:$D$13,2,FALSE)</f>
        <v>JUN</v>
      </c>
      <c r="J566" s="76">
        <f t="shared" si="159"/>
        <v>4</v>
      </c>
      <c r="K566" s="76">
        <f t="shared" si="160"/>
        <v>2</v>
      </c>
      <c r="L566" s="76" t="str">
        <f>VLOOKUP(K566,'Lookup Values'!$F$2:$G$8,2,FALSE)</f>
        <v>Monday</v>
      </c>
      <c r="M566" s="3">
        <v>41066</v>
      </c>
      <c r="N566" s="78">
        <f t="shared" si="153"/>
        <v>2</v>
      </c>
      <c r="O566" s="11">
        <v>5.7864121943987934E-3</v>
      </c>
      <c r="P566" s="94">
        <f t="shared" si="161"/>
        <v>0</v>
      </c>
      <c r="Q566" s="94">
        <f t="shared" si="162"/>
        <v>8</v>
      </c>
      <c r="R566" s="94">
        <f t="shared" si="163"/>
        <v>20</v>
      </c>
      <c r="S566" s="94" t="str">
        <f>VLOOKUP(O566,'Lookup Values'!$I$2:$L$8,4,TRUE)</f>
        <v>Dead of Night</v>
      </c>
      <c r="T566" t="s">
        <v>158</v>
      </c>
      <c r="U566" t="s">
        <v>161</v>
      </c>
      <c r="V566" t="str">
        <f t="shared" si="164"/>
        <v>Income: Gift Received</v>
      </c>
      <c r="W566" t="s">
        <v>164</v>
      </c>
      <c r="X566" t="s">
        <v>78</v>
      </c>
      <c r="Y566" s="1">
        <v>310</v>
      </c>
      <c r="Z566" s="1" t="str">
        <f t="shared" si="165"/>
        <v>Income: $310.00</v>
      </c>
      <c r="AA566" s="1">
        <f>IF(Y566="","",ROUND(Y566*'Lookup Values'!$A$2,2))</f>
        <v>27.51</v>
      </c>
      <c r="AB566" s="12" t="str">
        <f t="shared" si="166"/>
        <v>Income</v>
      </c>
      <c r="AC566" s="2" t="s">
        <v>334</v>
      </c>
      <c r="AD566" s="3">
        <f t="shared" si="167"/>
        <v>41064</v>
      </c>
      <c r="AE566" s="93" t="str">
        <f t="shared" si="168"/>
        <v>NO</v>
      </c>
      <c r="AF566" s="2" t="str">
        <f t="shared" si="169"/>
        <v>NO</v>
      </c>
      <c r="AG566" t="str">
        <f t="shared" si="170"/>
        <v>CRAP Transaction</v>
      </c>
    </row>
    <row r="567" spans="1:33" x14ac:dyDescent="0.25">
      <c r="A567" s="2">
        <v>566</v>
      </c>
      <c r="B567" s="3" t="str">
        <f t="shared" si="152"/>
        <v>080512-FO-BAN</v>
      </c>
      <c r="C567" s="3">
        <v>39580</v>
      </c>
      <c r="D567" s="3">
        <f t="shared" si="154"/>
        <v>39594</v>
      </c>
      <c r="E567" s="3">
        <f t="shared" si="155"/>
        <v>39641</v>
      </c>
      <c r="F567" s="3">
        <f t="shared" si="156"/>
        <v>39599</v>
      </c>
      <c r="G567" s="76">
        <f t="shared" si="157"/>
        <v>2008</v>
      </c>
      <c r="H567" s="76">
        <f t="shared" si="158"/>
        <v>5</v>
      </c>
      <c r="I567" s="76" t="str">
        <f>VLOOKUP(H567,'Lookup Values'!$C$2:$D$13,2,FALSE)</f>
        <v>MAY</v>
      </c>
      <c r="J567" s="76">
        <f t="shared" si="159"/>
        <v>12</v>
      </c>
      <c r="K567" s="76">
        <f t="shared" si="160"/>
        <v>2</v>
      </c>
      <c r="L567" s="76" t="str">
        <f>VLOOKUP(K567,'Lookup Values'!$F$2:$G$8,2,FALSE)</f>
        <v>Monday</v>
      </c>
      <c r="M567" s="3">
        <v>39586</v>
      </c>
      <c r="N567" s="78">
        <f t="shared" si="153"/>
        <v>6</v>
      </c>
      <c r="O567" s="11">
        <v>0.20010877427519125</v>
      </c>
      <c r="P567" s="94">
        <f t="shared" si="161"/>
        <v>4</v>
      </c>
      <c r="Q567" s="94">
        <f t="shared" si="162"/>
        <v>48</v>
      </c>
      <c r="R567" s="94">
        <f t="shared" si="163"/>
        <v>9</v>
      </c>
      <c r="S567" s="94" t="str">
        <f>VLOOKUP(O567,'Lookup Values'!$I$2:$L$8,4,TRUE)</f>
        <v>Early Morning</v>
      </c>
      <c r="T567" t="s">
        <v>80</v>
      </c>
      <c r="U567" t="s">
        <v>81</v>
      </c>
      <c r="V567" t="str">
        <f t="shared" si="164"/>
        <v>Food: Restaurants</v>
      </c>
      <c r="W567" t="s">
        <v>79</v>
      </c>
      <c r="X567" t="s">
        <v>88</v>
      </c>
      <c r="Y567" s="1">
        <v>270</v>
      </c>
      <c r="Z567" s="1" t="str">
        <f t="shared" si="165"/>
        <v>Food: $270.00</v>
      </c>
      <c r="AA567" s="1">
        <f>IF(Y567="","",ROUND(Y567*'Lookup Values'!$A$2,2))</f>
        <v>23.96</v>
      </c>
      <c r="AB567" s="12" t="str">
        <f t="shared" si="166"/>
        <v>Expense</v>
      </c>
      <c r="AC567" s="2" t="s">
        <v>213</v>
      </c>
      <c r="AD567" s="3">
        <f t="shared" si="167"/>
        <v>39580</v>
      </c>
      <c r="AE567" s="93" t="str">
        <f t="shared" si="168"/>
        <v>NO</v>
      </c>
      <c r="AF567" s="2" t="str">
        <f t="shared" si="169"/>
        <v>NO</v>
      </c>
      <c r="AG567" t="str">
        <f t="shared" si="170"/>
        <v>Awesome Transaction</v>
      </c>
    </row>
    <row r="568" spans="1:33" x14ac:dyDescent="0.25">
      <c r="A568" s="2">
        <v>567</v>
      </c>
      <c r="B568" s="3" t="str">
        <f t="shared" si="152"/>
        <v>120625-IN-LEG</v>
      </c>
      <c r="C568" s="3">
        <v>41085</v>
      </c>
      <c r="D568" s="3">
        <f t="shared" si="154"/>
        <v>41099</v>
      </c>
      <c r="E568" s="3">
        <f t="shared" si="155"/>
        <v>41146</v>
      </c>
      <c r="F568" s="3">
        <f t="shared" si="156"/>
        <v>41090</v>
      </c>
      <c r="G568" s="76">
        <f t="shared" si="157"/>
        <v>2012</v>
      </c>
      <c r="H568" s="76">
        <f t="shared" si="158"/>
        <v>6</v>
      </c>
      <c r="I568" s="76" t="str">
        <f>VLOOKUP(H568,'Lookup Values'!$C$2:$D$13,2,FALSE)</f>
        <v>JUN</v>
      </c>
      <c r="J568" s="76">
        <f t="shared" si="159"/>
        <v>25</v>
      </c>
      <c r="K568" s="76">
        <f t="shared" si="160"/>
        <v>2</v>
      </c>
      <c r="L568" s="76" t="str">
        <f>VLOOKUP(K568,'Lookup Values'!$F$2:$G$8,2,FALSE)</f>
        <v>Monday</v>
      </c>
      <c r="M568" s="3">
        <v>41091</v>
      </c>
      <c r="N568" s="78">
        <f t="shared" si="153"/>
        <v>6</v>
      </c>
      <c r="O568" s="11">
        <v>0.66053169509453225</v>
      </c>
      <c r="P568" s="94">
        <f t="shared" si="161"/>
        <v>15</v>
      </c>
      <c r="Q568" s="94">
        <f t="shared" si="162"/>
        <v>51</v>
      </c>
      <c r="R568" s="94">
        <f t="shared" si="163"/>
        <v>10</v>
      </c>
      <c r="S568" s="94" t="str">
        <f>VLOOKUP(O568,'Lookup Values'!$I$2:$L$8,4,TRUE)</f>
        <v>Afternoon</v>
      </c>
      <c r="T568" t="s">
        <v>158</v>
      </c>
      <c r="U568" t="s">
        <v>160</v>
      </c>
      <c r="V568" t="str">
        <f t="shared" si="164"/>
        <v>Income: Freelance Project</v>
      </c>
      <c r="W568" t="s">
        <v>163</v>
      </c>
      <c r="X568" t="s">
        <v>88</v>
      </c>
      <c r="Y568" s="1">
        <v>263</v>
      </c>
      <c r="Z568" s="1" t="str">
        <f t="shared" si="165"/>
        <v>Income: $263.00</v>
      </c>
      <c r="AA568" s="1">
        <f>IF(Y568="","",ROUND(Y568*'Lookup Values'!$A$2,2))</f>
        <v>23.34</v>
      </c>
      <c r="AB568" s="12" t="str">
        <f t="shared" si="166"/>
        <v>Income</v>
      </c>
      <c r="AC568" s="2" t="s">
        <v>658</v>
      </c>
      <c r="AD568" s="3">
        <f t="shared" si="167"/>
        <v>41085</v>
      </c>
      <c r="AE568" s="93" t="str">
        <f t="shared" si="168"/>
        <v>NO</v>
      </c>
      <c r="AF568" s="2" t="str">
        <f t="shared" si="169"/>
        <v>NO</v>
      </c>
      <c r="AG568" t="str">
        <f t="shared" si="170"/>
        <v>CRAP Transaction</v>
      </c>
    </row>
    <row r="569" spans="1:33" x14ac:dyDescent="0.25">
      <c r="A569" s="2">
        <v>568</v>
      </c>
      <c r="B569" s="3" t="str">
        <f t="shared" si="152"/>
        <v>080511-SH-EXP</v>
      </c>
      <c r="C569" s="3">
        <v>39579</v>
      </c>
      <c r="D569" s="3">
        <f t="shared" si="154"/>
        <v>39591</v>
      </c>
      <c r="E569" s="3">
        <f t="shared" si="155"/>
        <v>39640</v>
      </c>
      <c r="F569" s="3">
        <f t="shared" si="156"/>
        <v>39599</v>
      </c>
      <c r="G569" s="76">
        <f t="shared" si="157"/>
        <v>2008</v>
      </c>
      <c r="H569" s="76">
        <f t="shared" si="158"/>
        <v>5</v>
      </c>
      <c r="I569" s="76" t="str">
        <f>VLOOKUP(H569,'Lookup Values'!$C$2:$D$13,2,FALSE)</f>
        <v>MAY</v>
      </c>
      <c r="J569" s="76">
        <f t="shared" si="159"/>
        <v>11</v>
      </c>
      <c r="K569" s="76">
        <f t="shared" si="160"/>
        <v>1</v>
      </c>
      <c r="L569" s="76" t="str">
        <f>VLOOKUP(K569,'Lookup Values'!$F$2:$G$8,2,FALSE)</f>
        <v>Sunday</v>
      </c>
      <c r="M569" s="3">
        <v>39587</v>
      </c>
      <c r="N569" s="78">
        <f t="shared" si="153"/>
        <v>8</v>
      </c>
      <c r="O569" s="11">
        <v>0.42929153314739144</v>
      </c>
      <c r="P569" s="94">
        <f t="shared" si="161"/>
        <v>10</v>
      </c>
      <c r="Q569" s="94">
        <f t="shared" si="162"/>
        <v>18</v>
      </c>
      <c r="R569" s="94">
        <f t="shared" si="163"/>
        <v>11</v>
      </c>
      <c r="S569" s="94" t="str">
        <f>VLOOKUP(O569,'Lookup Values'!$I$2:$L$8,4,TRUE)</f>
        <v>Late Morning</v>
      </c>
      <c r="T569" t="s">
        <v>83</v>
      </c>
      <c r="U569" t="s">
        <v>103</v>
      </c>
      <c r="V569" t="str">
        <f t="shared" si="164"/>
        <v>Shopping: Clothing</v>
      </c>
      <c r="W569" t="s">
        <v>102</v>
      </c>
      <c r="X569" t="s">
        <v>78</v>
      </c>
      <c r="Y569" s="1">
        <v>21</v>
      </c>
      <c r="Z569" s="1" t="str">
        <f t="shared" si="165"/>
        <v>Shopping: $21.00</v>
      </c>
      <c r="AA569" s="1">
        <f>IF(Y569="","",ROUND(Y569*'Lookup Values'!$A$2,2))</f>
        <v>1.86</v>
      </c>
      <c r="AB569" s="12" t="str">
        <f t="shared" si="166"/>
        <v>Expense</v>
      </c>
      <c r="AC569" s="2" t="s">
        <v>659</v>
      </c>
      <c r="AD569" s="3">
        <f t="shared" si="167"/>
        <v>39579</v>
      </c>
      <c r="AE569" s="93" t="str">
        <f t="shared" si="168"/>
        <v>NO</v>
      </c>
      <c r="AF569" s="2" t="str">
        <f t="shared" si="169"/>
        <v>NO</v>
      </c>
      <c r="AG569" t="str">
        <f t="shared" si="170"/>
        <v>Awesome Transaction</v>
      </c>
    </row>
    <row r="570" spans="1:33" x14ac:dyDescent="0.25">
      <c r="A570" s="2">
        <v>569</v>
      </c>
      <c r="B570" s="3" t="str">
        <f t="shared" si="152"/>
        <v>090501-SH-EXP</v>
      </c>
      <c r="C570" s="3">
        <v>39934</v>
      </c>
      <c r="D570" s="3">
        <f t="shared" si="154"/>
        <v>39948</v>
      </c>
      <c r="E570" s="3">
        <f t="shared" si="155"/>
        <v>39995</v>
      </c>
      <c r="F570" s="3">
        <f t="shared" si="156"/>
        <v>39964</v>
      </c>
      <c r="G570" s="76">
        <f t="shared" si="157"/>
        <v>2009</v>
      </c>
      <c r="H570" s="76">
        <f t="shared" si="158"/>
        <v>5</v>
      </c>
      <c r="I570" s="76" t="str">
        <f>VLOOKUP(H570,'Lookup Values'!$C$2:$D$13,2,FALSE)</f>
        <v>MAY</v>
      </c>
      <c r="J570" s="76">
        <f t="shared" si="159"/>
        <v>1</v>
      </c>
      <c r="K570" s="76">
        <f t="shared" si="160"/>
        <v>6</v>
      </c>
      <c r="L570" s="76" t="str">
        <f>VLOOKUP(K570,'Lookup Values'!$F$2:$G$8,2,FALSE)</f>
        <v>Friday</v>
      </c>
      <c r="M570" s="3">
        <v>39943</v>
      </c>
      <c r="N570" s="78">
        <f t="shared" si="153"/>
        <v>9</v>
      </c>
      <c r="O570" s="11">
        <v>8.9713219973414526E-2</v>
      </c>
      <c r="P570" s="94">
        <f t="shared" si="161"/>
        <v>2</v>
      </c>
      <c r="Q570" s="94">
        <f t="shared" si="162"/>
        <v>9</v>
      </c>
      <c r="R570" s="94">
        <f t="shared" si="163"/>
        <v>11</v>
      </c>
      <c r="S570" s="94" t="str">
        <f>VLOOKUP(O570,'Lookup Values'!$I$2:$L$8,4,TRUE)</f>
        <v>Dead of Night</v>
      </c>
      <c r="T570" t="s">
        <v>83</v>
      </c>
      <c r="U570" t="s">
        <v>103</v>
      </c>
      <c r="V570" t="str">
        <f t="shared" si="164"/>
        <v>Shopping: Clothing</v>
      </c>
      <c r="W570" t="s">
        <v>102</v>
      </c>
      <c r="X570" t="s">
        <v>78</v>
      </c>
      <c r="Y570" s="1">
        <v>450</v>
      </c>
      <c r="Z570" s="1" t="str">
        <f t="shared" si="165"/>
        <v>Shopping: $450.00</v>
      </c>
      <c r="AA570" s="1">
        <f>IF(Y570="","",ROUND(Y570*'Lookup Values'!$A$2,2))</f>
        <v>39.94</v>
      </c>
      <c r="AB570" s="12" t="str">
        <f t="shared" si="166"/>
        <v>Expense</v>
      </c>
      <c r="AC570" s="2" t="s">
        <v>660</v>
      </c>
      <c r="AD570" s="3">
        <f t="shared" si="167"/>
        <v>39934</v>
      </c>
      <c r="AE570" s="93" t="str">
        <f t="shared" si="168"/>
        <v>NO</v>
      </c>
      <c r="AF570" s="2" t="str">
        <f t="shared" si="169"/>
        <v>NO</v>
      </c>
      <c r="AG570" t="str">
        <f t="shared" si="170"/>
        <v>Awesome Transaction</v>
      </c>
    </row>
    <row r="571" spans="1:33" x14ac:dyDescent="0.25">
      <c r="A571" s="2">
        <v>570</v>
      </c>
      <c r="B571" s="3" t="str">
        <f t="shared" si="152"/>
        <v>100318-IN-LEG</v>
      </c>
      <c r="C571" s="3">
        <v>40255</v>
      </c>
      <c r="D571" s="3">
        <f t="shared" si="154"/>
        <v>40269</v>
      </c>
      <c r="E571" s="3">
        <f t="shared" si="155"/>
        <v>40316</v>
      </c>
      <c r="F571" s="3">
        <f t="shared" si="156"/>
        <v>40268</v>
      </c>
      <c r="G571" s="76">
        <f t="shared" si="157"/>
        <v>2010</v>
      </c>
      <c r="H571" s="76">
        <f t="shared" si="158"/>
        <v>3</v>
      </c>
      <c r="I571" s="76" t="str">
        <f>VLOOKUP(H571,'Lookup Values'!$C$2:$D$13,2,FALSE)</f>
        <v>MAR</v>
      </c>
      <c r="J571" s="76">
        <f t="shared" si="159"/>
        <v>18</v>
      </c>
      <c r="K571" s="76">
        <f t="shared" si="160"/>
        <v>5</v>
      </c>
      <c r="L571" s="76" t="str">
        <f>VLOOKUP(K571,'Lookup Values'!$F$2:$G$8,2,FALSE)</f>
        <v>Thursday</v>
      </c>
      <c r="M571" s="3">
        <v>40261</v>
      </c>
      <c r="N571" s="78">
        <f t="shared" si="153"/>
        <v>6</v>
      </c>
      <c r="O571" s="11">
        <v>0.78471420300979411</v>
      </c>
      <c r="P571" s="94">
        <f t="shared" si="161"/>
        <v>18</v>
      </c>
      <c r="Q571" s="94">
        <f t="shared" si="162"/>
        <v>49</v>
      </c>
      <c r="R571" s="94">
        <f t="shared" si="163"/>
        <v>59</v>
      </c>
      <c r="S571" s="94" t="str">
        <f>VLOOKUP(O571,'Lookup Values'!$I$2:$L$8,4,TRUE)</f>
        <v>Evening</v>
      </c>
      <c r="T571" t="s">
        <v>158</v>
      </c>
      <c r="U571" t="s">
        <v>160</v>
      </c>
      <c r="V571" t="str">
        <f t="shared" si="164"/>
        <v>Income: Freelance Project</v>
      </c>
      <c r="W571" t="s">
        <v>163</v>
      </c>
      <c r="X571" t="s">
        <v>78</v>
      </c>
      <c r="Y571" s="1">
        <v>59</v>
      </c>
      <c r="Z571" s="1" t="str">
        <f t="shared" si="165"/>
        <v>Income: $59.00</v>
      </c>
      <c r="AA571" s="1">
        <f>IF(Y571="","",ROUND(Y571*'Lookup Values'!$A$2,2))</f>
        <v>5.24</v>
      </c>
      <c r="AB571" s="12" t="str">
        <f t="shared" si="166"/>
        <v>Income</v>
      </c>
      <c r="AC571" s="2" t="s">
        <v>598</v>
      </c>
      <c r="AD571" s="3">
        <f t="shared" si="167"/>
        <v>40255</v>
      </c>
      <c r="AE571" s="93" t="str">
        <f t="shared" si="168"/>
        <v>NO</v>
      </c>
      <c r="AF571" s="2" t="str">
        <f t="shared" si="169"/>
        <v>NO</v>
      </c>
      <c r="AG571" t="str">
        <f t="shared" si="170"/>
        <v>Late Transaction</v>
      </c>
    </row>
    <row r="572" spans="1:33" x14ac:dyDescent="0.25">
      <c r="A572" s="2">
        <v>571</v>
      </c>
      <c r="B572" s="3" t="str">
        <f t="shared" si="152"/>
        <v>120619-IN-EZE</v>
      </c>
      <c r="C572" s="3">
        <v>41079</v>
      </c>
      <c r="D572" s="3">
        <f t="shared" si="154"/>
        <v>41093</v>
      </c>
      <c r="E572" s="3">
        <f t="shared" si="155"/>
        <v>41140</v>
      </c>
      <c r="F572" s="3">
        <f t="shared" si="156"/>
        <v>41090</v>
      </c>
      <c r="G572" s="76">
        <f t="shared" si="157"/>
        <v>2012</v>
      </c>
      <c r="H572" s="76">
        <f t="shared" si="158"/>
        <v>6</v>
      </c>
      <c r="I572" s="76" t="str">
        <f>VLOOKUP(H572,'Lookup Values'!$C$2:$D$13,2,FALSE)</f>
        <v>JUN</v>
      </c>
      <c r="J572" s="76">
        <f t="shared" si="159"/>
        <v>19</v>
      </c>
      <c r="K572" s="76">
        <f t="shared" si="160"/>
        <v>3</v>
      </c>
      <c r="L572" s="76" t="str">
        <f>VLOOKUP(K572,'Lookup Values'!$F$2:$G$8,2,FALSE)</f>
        <v>Tuesday</v>
      </c>
      <c r="M572" s="3">
        <v>41087</v>
      </c>
      <c r="N572" s="78">
        <f t="shared" si="153"/>
        <v>8</v>
      </c>
      <c r="O572" s="11">
        <v>0.91628462063995264</v>
      </c>
      <c r="P572" s="94">
        <f t="shared" si="161"/>
        <v>21</v>
      </c>
      <c r="Q572" s="94">
        <f t="shared" si="162"/>
        <v>59</v>
      </c>
      <c r="R572" s="94">
        <f t="shared" si="163"/>
        <v>27</v>
      </c>
      <c r="S572" s="94" t="str">
        <f>VLOOKUP(O572,'Lookup Values'!$I$2:$L$8,4,TRUE)</f>
        <v>Late Evening</v>
      </c>
      <c r="T572" t="s">
        <v>158</v>
      </c>
      <c r="U572" t="s">
        <v>159</v>
      </c>
      <c r="V572" t="str">
        <f t="shared" si="164"/>
        <v>Income: Salary</v>
      </c>
      <c r="W572" t="s">
        <v>162</v>
      </c>
      <c r="X572" t="s">
        <v>78</v>
      </c>
      <c r="Y572" s="1">
        <v>315</v>
      </c>
      <c r="Z572" s="1" t="str">
        <f t="shared" si="165"/>
        <v>Income: $315.00</v>
      </c>
      <c r="AA572" s="1">
        <f>IF(Y572="","",ROUND(Y572*'Lookup Values'!$A$2,2))</f>
        <v>27.96</v>
      </c>
      <c r="AB572" s="12" t="str">
        <f t="shared" si="166"/>
        <v>Income</v>
      </c>
      <c r="AC572" s="2" t="s">
        <v>661</v>
      </c>
      <c r="AD572" s="3">
        <f t="shared" si="167"/>
        <v>41079</v>
      </c>
      <c r="AE572" s="93" t="str">
        <f t="shared" si="168"/>
        <v>NO</v>
      </c>
      <c r="AF572" s="2" t="str">
        <f t="shared" si="169"/>
        <v>NO</v>
      </c>
      <c r="AG572" t="str">
        <f t="shared" si="170"/>
        <v>CRAP Transaction</v>
      </c>
    </row>
    <row r="573" spans="1:33" x14ac:dyDescent="0.25">
      <c r="A573" s="2">
        <v>572</v>
      </c>
      <c r="B573" s="3" t="str">
        <f t="shared" si="152"/>
        <v>080123-HO-BED</v>
      </c>
      <c r="C573" s="3">
        <v>39470</v>
      </c>
      <c r="D573" s="3">
        <f t="shared" si="154"/>
        <v>39484</v>
      </c>
      <c r="E573" s="3">
        <f t="shared" si="155"/>
        <v>39530</v>
      </c>
      <c r="F573" s="3">
        <f t="shared" si="156"/>
        <v>39478</v>
      </c>
      <c r="G573" s="76">
        <f t="shared" si="157"/>
        <v>2008</v>
      </c>
      <c r="H573" s="76">
        <f t="shared" si="158"/>
        <v>1</v>
      </c>
      <c r="I573" s="76" t="str">
        <f>VLOOKUP(H573,'Lookup Values'!$C$2:$D$13,2,FALSE)</f>
        <v>JAN</v>
      </c>
      <c r="J573" s="76">
        <f t="shared" si="159"/>
        <v>23</v>
      </c>
      <c r="K573" s="76">
        <f t="shared" si="160"/>
        <v>4</v>
      </c>
      <c r="L573" s="76" t="str">
        <f>VLOOKUP(K573,'Lookup Values'!$F$2:$G$8,2,FALSE)</f>
        <v>Wednesday</v>
      </c>
      <c r="M573" s="3">
        <v>39472</v>
      </c>
      <c r="N573" s="78">
        <f t="shared" si="153"/>
        <v>2</v>
      </c>
      <c r="O573" s="11">
        <v>0.82667423690297148</v>
      </c>
      <c r="P573" s="94">
        <f t="shared" si="161"/>
        <v>19</v>
      </c>
      <c r="Q573" s="94">
        <f t="shared" si="162"/>
        <v>50</v>
      </c>
      <c r="R573" s="94">
        <f t="shared" si="163"/>
        <v>25</v>
      </c>
      <c r="S573" s="94" t="str">
        <f>VLOOKUP(O573,'Lookup Values'!$I$2:$L$8,4,TRUE)</f>
        <v>Evening</v>
      </c>
      <c r="T573" t="s">
        <v>100</v>
      </c>
      <c r="U573" t="s">
        <v>101</v>
      </c>
      <c r="V573" t="str">
        <f t="shared" si="164"/>
        <v>Home: Cleaning Supplies</v>
      </c>
      <c r="W573" t="s">
        <v>99</v>
      </c>
      <c r="X573" t="s">
        <v>88</v>
      </c>
      <c r="Y573" s="1">
        <v>19</v>
      </c>
      <c r="Z573" s="1" t="str">
        <f t="shared" si="165"/>
        <v>Home: $19.00</v>
      </c>
      <c r="AA573" s="1">
        <f>IF(Y573="","",ROUND(Y573*'Lookup Values'!$A$2,2))</f>
        <v>1.69</v>
      </c>
      <c r="AB573" s="12" t="str">
        <f t="shared" si="166"/>
        <v>Expense</v>
      </c>
      <c r="AC573" s="2" t="s">
        <v>662</v>
      </c>
      <c r="AD573" s="3">
        <f t="shared" si="167"/>
        <v>39470</v>
      </c>
      <c r="AE573" s="93" t="str">
        <f t="shared" si="168"/>
        <v>NO</v>
      </c>
      <c r="AF573" s="2" t="str">
        <f t="shared" si="169"/>
        <v>NO</v>
      </c>
      <c r="AG573" t="str">
        <f t="shared" si="170"/>
        <v>Late Transaction</v>
      </c>
    </row>
    <row r="574" spans="1:33" x14ac:dyDescent="0.25">
      <c r="A574" s="2">
        <v>573</v>
      </c>
      <c r="B574" s="3" t="str">
        <f t="shared" si="152"/>
        <v>070804-TR-MTA</v>
      </c>
      <c r="C574" s="3">
        <v>39298</v>
      </c>
      <c r="D574" s="3">
        <f t="shared" si="154"/>
        <v>39311</v>
      </c>
      <c r="E574" s="3">
        <f t="shared" si="155"/>
        <v>39359</v>
      </c>
      <c r="F574" s="3">
        <f t="shared" si="156"/>
        <v>39325</v>
      </c>
      <c r="G574" s="76">
        <f t="shared" si="157"/>
        <v>2007</v>
      </c>
      <c r="H574" s="76">
        <f t="shared" si="158"/>
        <v>8</v>
      </c>
      <c r="I574" s="76" t="str">
        <f>VLOOKUP(H574,'Lookup Values'!$C$2:$D$13,2,FALSE)</f>
        <v>AUG</v>
      </c>
      <c r="J574" s="76">
        <f t="shared" si="159"/>
        <v>4</v>
      </c>
      <c r="K574" s="76">
        <f t="shared" si="160"/>
        <v>7</v>
      </c>
      <c r="L574" s="76" t="str">
        <f>VLOOKUP(K574,'Lookup Values'!$F$2:$G$8,2,FALSE)</f>
        <v>Saturday</v>
      </c>
      <c r="M574" s="3">
        <v>39299</v>
      </c>
      <c r="N574" s="78">
        <f t="shared" si="153"/>
        <v>1</v>
      </c>
      <c r="O574" s="11">
        <v>0.13530397528251004</v>
      </c>
      <c r="P574" s="94">
        <f t="shared" si="161"/>
        <v>3</v>
      </c>
      <c r="Q574" s="94">
        <f t="shared" si="162"/>
        <v>14</v>
      </c>
      <c r="R574" s="94">
        <f t="shared" si="163"/>
        <v>50</v>
      </c>
      <c r="S574" s="94" t="str">
        <f>VLOOKUP(O574,'Lookup Values'!$I$2:$L$8,4,TRUE)</f>
        <v>Dead of Night</v>
      </c>
      <c r="T574" t="s">
        <v>95</v>
      </c>
      <c r="U574" t="s">
        <v>96</v>
      </c>
      <c r="V574" t="str">
        <f t="shared" si="164"/>
        <v>Transportation: Subway</v>
      </c>
      <c r="W574" t="s">
        <v>94</v>
      </c>
      <c r="X574" t="s">
        <v>88</v>
      </c>
      <c r="Y574" s="1">
        <v>203</v>
      </c>
      <c r="Z574" s="1" t="str">
        <f t="shared" si="165"/>
        <v>Transportation: $203.00</v>
      </c>
      <c r="AA574" s="1">
        <f>IF(Y574="","",ROUND(Y574*'Lookup Values'!$A$2,2))</f>
        <v>18.02</v>
      </c>
      <c r="AB574" s="12" t="str">
        <f t="shared" si="166"/>
        <v>Expense</v>
      </c>
      <c r="AC574" s="2" t="s">
        <v>663</v>
      </c>
      <c r="AD574" s="3">
        <f t="shared" si="167"/>
        <v>39298</v>
      </c>
      <c r="AE574" s="93" t="str">
        <f t="shared" si="168"/>
        <v>YES</v>
      </c>
      <c r="AF574" s="2" t="str">
        <f t="shared" si="169"/>
        <v>NO</v>
      </c>
      <c r="AG574" t="str">
        <f t="shared" si="170"/>
        <v>Late Transaction</v>
      </c>
    </row>
    <row r="575" spans="1:33" x14ac:dyDescent="0.25">
      <c r="A575" s="2">
        <v>574</v>
      </c>
      <c r="B575" s="3" t="str">
        <f t="shared" si="152"/>
        <v>120430-IN-EZE</v>
      </c>
      <c r="C575" s="3">
        <v>41029</v>
      </c>
      <c r="D575" s="3">
        <f t="shared" si="154"/>
        <v>41043</v>
      </c>
      <c r="E575" s="3">
        <f t="shared" si="155"/>
        <v>41090</v>
      </c>
      <c r="F575" s="3">
        <f t="shared" si="156"/>
        <v>41029</v>
      </c>
      <c r="G575" s="76">
        <f t="shared" si="157"/>
        <v>2012</v>
      </c>
      <c r="H575" s="76">
        <f t="shared" si="158"/>
        <v>4</v>
      </c>
      <c r="I575" s="76" t="str">
        <f>VLOOKUP(H575,'Lookup Values'!$C$2:$D$13,2,FALSE)</f>
        <v>APR</v>
      </c>
      <c r="J575" s="76">
        <f t="shared" si="159"/>
        <v>30</v>
      </c>
      <c r="K575" s="76">
        <f t="shared" si="160"/>
        <v>2</v>
      </c>
      <c r="L575" s="76" t="str">
        <f>VLOOKUP(K575,'Lookup Values'!$F$2:$G$8,2,FALSE)</f>
        <v>Monday</v>
      </c>
      <c r="M575" s="3">
        <v>41037</v>
      </c>
      <c r="N575" s="78">
        <f t="shared" si="153"/>
        <v>8</v>
      </c>
      <c r="O575" s="11">
        <v>0.26938422891794689</v>
      </c>
      <c r="P575" s="94">
        <f t="shared" si="161"/>
        <v>6</v>
      </c>
      <c r="Q575" s="94">
        <f t="shared" si="162"/>
        <v>27</v>
      </c>
      <c r="R575" s="94">
        <f t="shared" si="163"/>
        <v>55</v>
      </c>
      <c r="S575" s="94" t="str">
        <f>VLOOKUP(O575,'Lookup Values'!$I$2:$L$8,4,TRUE)</f>
        <v>Early Morning</v>
      </c>
      <c r="T575" t="s">
        <v>158</v>
      </c>
      <c r="U575" t="s">
        <v>159</v>
      </c>
      <c r="V575" t="str">
        <f t="shared" si="164"/>
        <v>Income: Salary</v>
      </c>
      <c r="W575" t="s">
        <v>162</v>
      </c>
      <c r="X575" t="s">
        <v>78</v>
      </c>
      <c r="Y575" s="1">
        <v>48</v>
      </c>
      <c r="Z575" s="1" t="str">
        <f t="shared" si="165"/>
        <v>Income: $48.00</v>
      </c>
      <c r="AA575" s="1">
        <f>IF(Y575="","",ROUND(Y575*'Lookup Values'!$A$2,2))</f>
        <v>4.26</v>
      </c>
      <c r="AB575" s="12" t="str">
        <f t="shared" si="166"/>
        <v>Income</v>
      </c>
      <c r="AC575" s="2" t="s">
        <v>277</v>
      </c>
      <c r="AD575" s="3">
        <f t="shared" si="167"/>
        <v>41029</v>
      </c>
      <c r="AE575" s="93" t="str">
        <f t="shared" si="168"/>
        <v>NO</v>
      </c>
      <c r="AF575" s="2" t="str">
        <f t="shared" si="169"/>
        <v>NO</v>
      </c>
      <c r="AG575" t="str">
        <f t="shared" si="170"/>
        <v>CRAP Transaction</v>
      </c>
    </row>
    <row r="576" spans="1:33" x14ac:dyDescent="0.25">
      <c r="A576" s="2">
        <v>575</v>
      </c>
      <c r="B576" s="3" t="str">
        <f t="shared" si="152"/>
        <v>091005-SH-AMA</v>
      </c>
      <c r="C576" s="3">
        <v>40091</v>
      </c>
      <c r="D576" s="3">
        <f t="shared" si="154"/>
        <v>40105</v>
      </c>
      <c r="E576" s="3">
        <f t="shared" si="155"/>
        <v>40152</v>
      </c>
      <c r="F576" s="3">
        <f t="shared" si="156"/>
        <v>40117</v>
      </c>
      <c r="G576" s="76">
        <f t="shared" si="157"/>
        <v>2009</v>
      </c>
      <c r="H576" s="76">
        <f t="shared" si="158"/>
        <v>10</v>
      </c>
      <c r="I576" s="76" t="str">
        <f>VLOOKUP(H576,'Lookup Values'!$C$2:$D$13,2,FALSE)</f>
        <v>OCT</v>
      </c>
      <c r="J576" s="76">
        <f t="shared" si="159"/>
        <v>5</v>
      </c>
      <c r="K576" s="76">
        <f t="shared" si="160"/>
        <v>2</v>
      </c>
      <c r="L576" s="76" t="str">
        <f>VLOOKUP(K576,'Lookup Values'!$F$2:$G$8,2,FALSE)</f>
        <v>Monday</v>
      </c>
      <c r="M576" s="3">
        <v>40092</v>
      </c>
      <c r="N576" s="78">
        <f t="shared" si="153"/>
        <v>1</v>
      </c>
      <c r="O576" s="11">
        <v>0.6019296633387401</v>
      </c>
      <c r="P576" s="94">
        <f t="shared" si="161"/>
        <v>14</v>
      </c>
      <c r="Q576" s="94">
        <f t="shared" si="162"/>
        <v>26</v>
      </c>
      <c r="R576" s="94">
        <f t="shared" si="163"/>
        <v>47</v>
      </c>
      <c r="S576" s="94" t="str">
        <f>VLOOKUP(O576,'Lookup Values'!$I$2:$L$8,4,TRUE)</f>
        <v>Afternoon</v>
      </c>
      <c r="T576" t="s">
        <v>83</v>
      </c>
      <c r="U576" t="s">
        <v>84</v>
      </c>
      <c r="V576" t="str">
        <f t="shared" si="164"/>
        <v>Shopping: Electronics</v>
      </c>
      <c r="W576" t="s">
        <v>82</v>
      </c>
      <c r="X576" t="s">
        <v>91</v>
      </c>
      <c r="Y576" s="1">
        <v>411</v>
      </c>
      <c r="Z576" s="1" t="str">
        <f t="shared" si="165"/>
        <v>Shopping: $411.00</v>
      </c>
      <c r="AA576" s="1">
        <f>IF(Y576="","",ROUND(Y576*'Lookup Values'!$A$2,2))</f>
        <v>36.479999999999997</v>
      </c>
      <c r="AB576" s="12" t="str">
        <f t="shared" si="166"/>
        <v>Expense</v>
      </c>
      <c r="AC576" s="2" t="s">
        <v>249</v>
      </c>
      <c r="AD576" s="3">
        <f t="shared" si="167"/>
        <v>40091</v>
      </c>
      <c r="AE576" s="93" t="str">
        <f t="shared" si="168"/>
        <v>YES</v>
      </c>
      <c r="AF576" s="2" t="str">
        <f t="shared" si="169"/>
        <v>YES</v>
      </c>
      <c r="AG576" t="str">
        <f t="shared" si="170"/>
        <v>Awesome Transaction</v>
      </c>
    </row>
    <row r="577" spans="1:33" x14ac:dyDescent="0.25">
      <c r="A577" s="2">
        <v>576</v>
      </c>
      <c r="B577" s="3" t="str">
        <f t="shared" si="152"/>
        <v>090221-ED-SKI</v>
      </c>
      <c r="C577" s="3">
        <v>39865</v>
      </c>
      <c r="D577" s="3">
        <f t="shared" si="154"/>
        <v>39878</v>
      </c>
      <c r="E577" s="3">
        <f t="shared" si="155"/>
        <v>39924</v>
      </c>
      <c r="F577" s="3">
        <f t="shared" si="156"/>
        <v>39872</v>
      </c>
      <c r="G577" s="76">
        <f t="shared" si="157"/>
        <v>2009</v>
      </c>
      <c r="H577" s="76">
        <f t="shared" si="158"/>
        <v>2</v>
      </c>
      <c r="I577" s="76" t="str">
        <f>VLOOKUP(H577,'Lookup Values'!$C$2:$D$13,2,FALSE)</f>
        <v>FEB</v>
      </c>
      <c r="J577" s="76">
        <f t="shared" si="159"/>
        <v>21</v>
      </c>
      <c r="K577" s="76">
        <f t="shared" si="160"/>
        <v>7</v>
      </c>
      <c r="L577" s="76" t="str">
        <f>VLOOKUP(K577,'Lookup Values'!$F$2:$G$8,2,FALSE)</f>
        <v>Saturday</v>
      </c>
      <c r="M577" s="3">
        <v>39867</v>
      </c>
      <c r="N577" s="78">
        <f t="shared" si="153"/>
        <v>2</v>
      </c>
      <c r="O577" s="11">
        <v>0.49032416724908079</v>
      </c>
      <c r="P577" s="94">
        <f t="shared" si="161"/>
        <v>11</v>
      </c>
      <c r="Q577" s="94">
        <f t="shared" si="162"/>
        <v>46</v>
      </c>
      <c r="R577" s="94">
        <f t="shared" si="163"/>
        <v>4</v>
      </c>
      <c r="S577" s="94" t="str">
        <f>VLOOKUP(O577,'Lookup Values'!$I$2:$L$8,4,TRUE)</f>
        <v>Late Morning</v>
      </c>
      <c r="T577" t="s">
        <v>86</v>
      </c>
      <c r="U577" t="s">
        <v>98</v>
      </c>
      <c r="V577" t="str">
        <f t="shared" si="164"/>
        <v>Education: Professional Development</v>
      </c>
      <c r="W577" t="s">
        <v>97</v>
      </c>
      <c r="X577" t="s">
        <v>88</v>
      </c>
      <c r="Y577" s="1">
        <v>413</v>
      </c>
      <c r="Z577" s="1" t="str">
        <f t="shared" si="165"/>
        <v>Education: $413.00</v>
      </c>
      <c r="AA577" s="1">
        <f>IF(Y577="","",ROUND(Y577*'Lookup Values'!$A$2,2))</f>
        <v>36.65</v>
      </c>
      <c r="AB577" s="12" t="str">
        <f t="shared" si="166"/>
        <v>Expense</v>
      </c>
      <c r="AC577" s="2" t="s">
        <v>664</v>
      </c>
      <c r="AD577" s="3">
        <f t="shared" si="167"/>
        <v>39865</v>
      </c>
      <c r="AE577" s="93" t="str">
        <f t="shared" si="168"/>
        <v>YES</v>
      </c>
      <c r="AF577" s="2" t="str">
        <f t="shared" si="169"/>
        <v>YES</v>
      </c>
      <c r="AG577" t="str">
        <f t="shared" si="170"/>
        <v>Late Transaction</v>
      </c>
    </row>
    <row r="578" spans="1:33" x14ac:dyDescent="0.25">
      <c r="A578" s="2">
        <v>577</v>
      </c>
      <c r="B578" s="3" t="str">
        <f t="shared" ref="B578:B641" si="171">TEXT(C578,"yymmdd") &amp; "-" &amp; UPPER(LEFT(T578,2)) &amp; "-" &amp; UPPER(LEFT(W578,3))</f>
        <v>090627-FO-TRA</v>
      </c>
      <c r="C578" s="3">
        <v>39991</v>
      </c>
      <c r="D578" s="3">
        <f t="shared" si="154"/>
        <v>40004</v>
      </c>
      <c r="E578" s="3">
        <f t="shared" si="155"/>
        <v>40052</v>
      </c>
      <c r="F578" s="3">
        <f t="shared" si="156"/>
        <v>39994</v>
      </c>
      <c r="G578" s="76">
        <f t="shared" si="157"/>
        <v>2009</v>
      </c>
      <c r="H578" s="76">
        <f t="shared" si="158"/>
        <v>6</v>
      </c>
      <c r="I578" s="76" t="str">
        <f>VLOOKUP(H578,'Lookup Values'!$C$2:$D$13,2,FALSE)</f>
        <v>JUN</v>
      </c>
      <c r="J578" s="76">
        <f t="shared" si="159"/>
        <v>27</v>
      </c>
      <c r="K578" s="76">
        <f t="shared" si="160"/>
        <v>7</v>
      </c>
      <c r="L578" s="76" t="str">
        <f>VLOOKUP(K578,'Lookup Values'!$F$2:$G$8,2,FALSE)</f>
        <v>Saturday</v>
      </c>
      <c r="M578" s="3">
        <v>39997</v>
      </c>
      <c r="N578" s="78">
        <f t="shared" ref="N578:N641" si="172">M578-C578</f>
        <v>6</v>
      </c>
      <c r="O578" s="11">
        <v>0.54627027375254145</v>
      </c>
      <c r="P578" s="94">
        <f t="shared" si="161"/>
        <v>13</v>
      </c>
      <c r="Q578" s="94">
        <f t="shared" si="162"/>
        <v>6</v>
      </c>
      <c r="R578" s="94">
        <f t="shared" si="163"/>
        <v>38</v>
      </c>
      <c r="S578" s="94" t="str">
        <f>VLOOKUP(O578,'Lookup Values'!$I$2:$L$8,4,TRUE)</f>
        <v>Afternoon</v>
      </c>
      <c r="T578" t="s">
        <v>80</v>
      </c>
      <c r="U578" t="s">
        <v>93</v>
      </c>
      <c r="V578" t="str">
        <f t="shared" si="164"/>
        <v>Food: Groceries</v>
      </c>
      <c r="W578" t="s">
        <v>92</v>
      </c>
      <c r="X578" t="s">
        <v>91</v>
      </c>
      <c r="Y578" s="1">
        <v>339</v>
      </c>
      <c r="Z578" s="1" t="str">
        <f t="shared" si="165"/>
        <v>Food: $339.00</v>
      </c>
      <c r="AA578" s="1">
        <f>IF(Y578="","",ROUND(Y578*'Lookup Values'!$A$2,2))</f>
        <v>30.09</v>
      </c>
      <c r="AB578" s="12" t="str">
        <f t="shared" si="166"/>
        <v>Expense</v>
      </c>
      <c r="AC578" s="2" t="s">
        <v>665</v>
      </c>
      <c r="AD578" s="3">
        <f t="shared" si="167"/>
        <v>39991</v>
      </c>
      <c r="AE578" s="93" t="str">
        <f t="shared" si="168"/>
        <v>NO</v>
      </c>
      <c r="AF578" s="2" t="str">
        <f t="shared" si="169"/>
        <v>NO</v>
      </c>
      <c r="AG578" t="str">
        <f t="shared" si="170"/>
        <v>Awesome Transaction</v>
      </c>
    </row>
    <row r="579" spans="1:33" x14ac:dyDescent="0.25">
      <c r="A579" s="2">
        <v>578</v>
      </c>
      <c r="B579" s="3" t="str">
        <f t="shared" si="171"/>
        <v>081109-ED-ANT</v>
      </c>
      <c r="C579" s="3">
        <v>39761</v>
      </c>
      <c r="D579" s="3">
        <f t="shared" ref="D579:D642" si="173">WORKDAY(C579,10)</f>
        <v>39773</v>
      </c>
      <c r="E579" s="3">
        <f t="shared" ref="E579:E642" si="174">EDATE(C579,2)</f>
        <v>39822</v>
      </c>
      <c r="F579" s="3">
        <f t="shared" ref="F579:F642" si="175">EOMONTH(C579,0)</f>
        <v>39782</v>
      </c>
      <c r="G579" s="76">
        <f t="shared" ref="G579:G642" si="176">YEAR(C579)</f>
        <v>2008</v>
      </c>
      <c r="H579" s="76">
        <f t="shared" ref="H579:H642" si="177">MONTH(C579)</f>
        <v>11</v>
      </c>
      <c r="I579" s="76" t="str">
        <f>VLOOKUP(H579,'Lookup Values'!$C$2:$D$13,2,FALSE)</f>
        <v>NOV</v>
      </c>
      <c r="J579" s="76">
        <f t="shared" ref="J579:J642" si="178">DAY(C579)</f>
        <v>9</v>
      </c>
      <c r="K579" s="76">
        <f t="shared" ref="K579:K642" si="179">WEEKDAY(C579)</f>
        <v>1</v>
      </c>
      <c r="L579" s="76" t="str">
        <f>VLOOKUP(K579,'Lookup Values'!$F$2:$G$8,2,FALSE)</f>
        <v>Sunday</v>
      </c>
      <c r="M579" s="3">
        <v>39770</v>
      </c>
      <c r="N579" s="78">
        <f t="shared" si="172"/>
        <v>9</v>
      </c>
      <c r="O579" s="11">
        <v>0.92996408844109613</v>
      </c>
      <c r="P579" s="94">
        <f t="shared" ref="P579:P642" si="180">HOUR(O579)</f>
        <v>22</v>
      </c>
      <c r="Q579" s="94">
        <f t="shared" ref="Q579:Q642" si="181">MINUTE(O579)</f>
        <v>19</v>
      </c>
      <c r="R579" s="94">
        <f t="shared" ref="R579:R642" si="182">SECOND(O579)</f>
        <v>9</v>
      </c>
      <c r="S579" s="94" t="str">
        <f>VLOOKUP(O579,'Lookup Values'!$I$2:$L$8,4,TRUE)</f>
        <v>Late Evening</v>
      </c>
      <c r="T579" t="s">
        <v>86</v>
      </c>
      <c r="U579" t="s">
        <v>87</v>
      </c>
      <c r="V579" t="str">
        <f t="shared" ref="V579:V642" si="183">T579 &amp; ": " &amp; U579</f>
        <v>Education: Tango Lessons</v>
      </c>
      <c r="W579" t="s">
        <v>85</v>
      </c>
      <c r="X579" t="s">
        <v>88</v>
      </c>
      <c r="Y579" s="1">
        <v>104</v>
      </c>
      <c r="Z579" s="1" t="str">
        <f t="shared" ref="Z579:Z642" si="184">T579 &amp; ": " &amp; TEXT(Y579,"$#,###.00")</f>
        <v>Education: $104.00</v>
      </c>
      <c r="AA579" s="1">
        <f>IF(Y579="","",ROUND(Y579*'Lookup Values'!$A$2,2))</f>
        <v>9.23</v>
      </c>
      <c r="AB579" s="12" t="str">
        <f t="shared" ref="AB579:AB642" si="185">IF(T579="Income","Income","Expense")</f>
        <v>Expense</v>
      </c>
      <c r="AC579" s="2" t="s">
        <v>666</v>
      </c>
      <c r="AD579" s="3">
        <f t="shared" ref="AD579:AD642" si="186">VALUE(SUBSTITUTE(AC579,".","/"))</f>
        <v>39761</v>
      </c>
      <c r="AE579" s="93" t="str">
        <f t="shared" ref="AE579:AE642" si="187">IF(OR(T579="Transportation",U579="Professional Development",U579="Electronics"),"YES","NO")</f>
        <v>NO</v>
      </c>
      <c r="AF579" s="2" t="str">
        <f t="shared" ref="AF579:AF642" si="188">IF(AND(AE579="YES",Y579&gt;=400),"YES","NO")</f>
        <v>NO</v>
      </c>
      <c r="AG579" t="str">
        <f t="shared" ref="AG579:AG642" si="189">IF(AND(AND(G579&gt;=2007,G579&lt;=2009),OR(W579&lt;&gt;"MTA",W579&lt;&gt;"Fandango"),OR(T579="Food",T579="Shopping",T579="Entertainment")),"Awesome Transaction",IF(AND(G579&lt;=2010,U579&lt;&gt;"Alcohol"),"Late Transaction",IF(G579=2006,"Early Transaction","CRAP Transaction")))</f>
        <v>Late Transaction</v>
      </c>
    </row>
    <row r="580" spans="1:33" x14ac:dyDescent="0.25">
      <c r="A580" s="2">
        <v>579</v>
      </c>
      <c r="B580" s="3" t="str">
        <f t="shared" si="171"/>
        <v>101018-SH-EXP</v>
      </c>
      <c r="C580" s="3">
        <v>40469</v>
      </c>
      <c r="D580" s="3">
        <f t="shared" si="173"/>
        <v>40483</v>
      </c>
      <c r="E580" s="3">
        <f t="shared" si="174"/>
        <v>40530</v>
      </c>
      <c r="F580" s="3">
        <f t="shared" si="175"/>
        <v>40482</v>
      </c>
      <c r="G580" s="76">
        <f t="shared" si="176"/>
        <v>2010</v>
      </c>
      <c r="H580" s="76">
        <f t="shared" si="177"/>
        <v>10</v>
      </c>
      <c r="I580" s="76" t="str">
        <f>VLOOKUP(H580,'Lookup Values'!$C$2:$D$13,2,FALSE)</f>
        <v>OCT</v>
      </c>
      <c r="J580" s="76">
        <f t="shared" si="178"/>
        <v>18</v>
      </c>
      <c r="K580" s="76">
        <f t="shared" si="179"/>
        <v>2</v>
      </c>
      <c r="L580" s="76" t="str">
        <f>VLOOKUP(K580,'Lookup Values'!$F$2:$G$8,2,FALSE)</f>
        <v>Monday</v>
      </c>
      <c r="M580" s="3">
        <v>40474</v>
      </c>
      <c r="N580" s="78">
        <f t="shared" si="172"/>
        <v>5</v>
      </c>
      <c r="O580" s="11">
        <v>0.3549324945120641</v>
      </c>
      <c r="P580" s="94">
        <f t="shared" si="180"/>
        <v>8</v>
      </c>
      <c r="Q580" s="94">
        <f t="shared" si="181"/>
        <v>31</v>
      </c>
      <c r="R580" s="94">
        <f t="shared" si="182"/>
        <v>6</v>
      </c>
      <c r="S580" s="94" t="str">
        <f>VLOOKUP(O580,'Lookup Values'!$I$2:$L$8,4,TRUE)</f>
        <v>Morning</v>
      </c>
      <c r="T580" t="s">
        <v>83</v>
      </c>
      <c r="U580" t="s">
        <v>103</v>
      </c>
      <c r="V580" t="str">
        <f t="shared" si="183"/>
        <v>Shopping: Clothing</v>
      </c>
      <c r="W580" t="s">
        <v>102</v>
      </c>
      <c r="X580" t="s">
        <v>91</v>
      </c>
      <c r="Y580" s="1">
        <v>237</v>
      </c>
      <c r="Z580" s="1" t="str">
        <f t="shared" si="184"/>
        <v>Shopping: $237.00</v>
      </c>
      <c r="AA580" s="1">
        <f>IF(Y580="","",ROUND(Y580*'Lookup Values'!$A$2,2))</f>
        <v>21.03</v>
      </c>
      <c r="AB580" s="12" t="str">
        <f t="shared" si="185"/>
        <v>Expense</v>
      </c>
      <c r="AC580" s="2" t="s">
        <v>667</v>
      </c>
      <c r="AD580" s="3">
        <f t="shared" si="186"/>
        <v>40469</v>
      </c>
      <c r="AE580" s="93" t="str">
        <f t="shared" si="187"/>
        <v>NO</v>
      </c>
      <c r="AF580" s="2" t="str">
        <f t="shared" si="188"/>
        <v>NO</v>
      </c>
      <c r="AG580" t="str">
        <f t="shared" si="189"/>
        <v>Late Transaction</v>
      </c>
    </row>
    <row r="581" spans="1:33" x14ac:dyDescent="0.25">
      <c r="A581" s="2">
        <v>580</v>
      </c>
      <c r="B581" s="3" t="str">
        <f t="shared" si="171"/>
        <v>101122-HO-BED</v>
      </c>
      <c r="C581" s="3">
        <v>40504</v>
      </c>
      <c r="D581" s="3">
        <f t="shared" si="173"/>
        <v>40518</v>
      </c>
      <c r="E581" s="3">
        <f t="shared" si="174"/>
        <v>40565</v>
      </c>
      <c r="F581" s="3">
        <f t="shared" si="175"/>
        <v>40512</v>
      </c>
      <c r="G581" s="76">
        <f t="shared" si="176"/>
        <v>2010</v>
      </c>
      <c r="H581" s="76">
        <f t="shared" si="177"/>
        <v>11</v>
      </c>
      <c r="I581" s="76" t="str">
        <f>VLOOKUP(H581,'Lookup Values'!$C$2:$D$13,2,FALSE)</f>
        <v>NOV</v>
      </c>
      <c r="J581" s="76">
        <f t="shared" si="178"/>
        <v>22</v>
      </c>
      <c r="K581" s="76">
        <f t="shared" si="179"/>
        <v>2</v>
      </c>
      <c r="L581" s="76" t="str">
        <f>VLOOKUP(K581,'Lookup Values'!$F$2:$G$8,2,FALSE)</f>
        <v>Monday</v>
      </c>
      <c r="M581" s="3">
        <v>40506</v>
      </c>
      <c r="N581" s="78">
        <f t="shared" si="172"/>
        <v>2</v>
      </c>
      <c r="O581" s="11">
        <v>0.85499813272455771</v>
      </c>
      <c r="P581" s="94">
        <f t="shared" si="180"/>
        <v>20</v>
      </c>
      <c r="Q581" s="94">
        <f t="shared" si="181"/>
        <v>31</v>
      </c>
      <c r="R581" s="94">
        <f t="shared" si="182"/>
        <v>12</v>
      </c>
      <c r="S581" s="94" t="str">
        <f>VLOOKUP(O581,'Lookup Values'!$I$2:$L$8,4,TRUE)</f>
        <v>Evening</v>
      </c>
      <c r="T581" t="s">
        <v>100</v>
      </c>
      <c r="U581" t="s">
        <v>101</v>
      </c>
      <c r="V581" t="str">
        <f t="shared" si="183"/>
        <v>Home: Cleaning Supplies</v>
      </c>
      <c r="W581" t="s">
        <v>99</v>
      </c>
      <c r="X581" t="s">
        <v>91</v>
      </c>
      <c r="Y581" s="1">
        <v>12</v>
      </c>
      <c r="Z581" s="1" t="str">
        <f t="shared" si="184"/>
        <v>Home: $12.00</v>
      </c>
      <c r="AA581" s="1">
        <f>IF(Y581="","",ROUND(Y581*'Lookup Values'!$A$2,2))</f>
        <v>1.07</v>
      </c>
      <c r="AB581" s="12" t="str">
        <f t="shared" si="185"/>
        <v>Expense</v>
      </c>
      <c r="AC581" s="2" t="s">
        <v>668</v>
      </c>
      <c r="AD581" s="3">
        <f t="shared" si="186"/>
        <v>40504</v>
      </c>
      <c r="AE581" s="93" t="str">
        <f t="shared" si="187"/>
        <v>NO</v>
      </c>
      <c r="AF581" s="2" t="str">
        <f t="shared" si="188"/>
        <v>NO</v>
      </c>
      <c r="AG581" t="str">
        <f t="shared" si="189"/>
        <v>Late Transaction</v>
      </c>
    </row>
    <row r="582" spans="1:33" x14ac:dyDescent="0.25">
      <c r="A582" s="2">
        <v>581</v>
      </c>
      <c r="B582" s="3" t="str">
        <f t="shared" si="171"/>
        <v>100512-FO-CIT</v>
      </c>
      <c r="C582" s="3">
        <v>40310</v>
      </c>
      <c r="D582" s="3">
        <f t="shared" si="173"/>
        <v>40324</v>
      </c>
      <c r="E582" s="3">
        <f t="shared" si="174"/>
        <v>40371</v>
      </c>
      <c r="F582" s="3">
        <f t="shared" si="175"/>
        <v>40329</v>
      </c>
      <c r="G582" s="76">
        <f t="shared" si="176"/>
        <v>2010</v>
      </c>
      <c r="H582" s="76">
        <f t="shared" si="177"/>
        <v>5</v>
      </c>
      <c r="I582" s="76" t="str">
        <f>VLOOKUP(H582,'Lookup Values'!$C$2:$D$13,2,FALSE)</f>
        <v>MAY</v>
      </c>
      <c r="J582" s="76">
        <f t="shared" si="178"/>
        <v>12</v>
      </c>
      <c r="K582" s="76">
        <f t="shared" si="179"/>
        <v>4</v>
      </c>
      <c r="L582" s="76" t="str">
        <f>VLOOKUP(K582,'Lookup Values'!$F$2:$G$8,2,FALSE)</f>
        <v>Wednesday</v>
      </c>
      <c r="M582" s="3">
        <v>40320</v>
      </c>
      <c r="N582" s="78">
        <f t="shared" si="172"/>
        <v>10</v>
      </c>
      <c r="O582" s="11">
        <v>0.71690834510518497</v>
      </c>
      <c r="P582" s="94">
        <f t="shared" si="180"/>
        <v>17</v>
      </c>
      <c r="Q582" s="94">
        <f t="shared" si="181"/>
        <v>12</v>
      </c>
      <c r="R582" s="94">
        <f t="shared" si="182"/>
        <v>21</v>
      </c>
      <c r="S582" s="94" t="str">
        <f>VLOOKUP(O582,'Lookup Values'!$I$2:$L$8,4,TRUE)</f>
        <v>Evening</v>
      </c>
      <c r="T582" t="s">
        <v>80</v>
      </c>
      <c r="U582" t="s">
        <v>105</v>
      </c>
      <c r="V582" t="str">
        <f t="shared" si="183"/>
        <v>Food: Coffee</v>
      </c>
      <c r="W582" t="s">
        <v>104</v>
      </c>
      <c r="X582" t="s">
        <v>78</v>
      </c>
      <c r="Y582" s="1">
        <v>395</v>
      </c>
      <c r="Z582" s="1" t="str">
        <f t="shared" si="184"/>
        <v>Food: $395.00</v>
      </c>
      <c r="AA582" s="1">
        <f>IF(Y582="","",ROUND(Y582*'Lookup Values'!$A$2,2))</f>
        <v>35.06</v>
      </c>
      <c r="AB582" s="12" t="str">
        <f t="shared" si="185"/>
        <v>Expense</v>
      </c>
      <c r="AC582" s="2" t="s">
        <v>669</v>
      </c>
      <c r="AD582" s="3">
        <f t="shared" si="186"/>
        <v>40310</v>
      </c>
      <c r="AE582" s="93" t="str">
        <f t="shared" si="187"/>
        <v>NO</v>
      </c>
      <c r="AF582" s="2" t="str">
        <f t="shared" si="188"/>
        <v>NO</v>
      </c>
      <c r="AG582" t="str">
        <f t="shared" si="189"/>
        <v>Late Transaction</v>
      </c>
    </row>
    <row r="583" spans="1:33" x14ac:dyDescent="0.25">
      <c r="A583" s="2">
        <v>582</v>
      </c>
      <c r="B583" s="3" t="str">
        <f t="shared" si="171"/>
        <v>120620-FO-TRA</v>
      </c>
      <c r="C583" s="3">
        <v>41080</v>
      </c>
      <c r="D583" s="3">
        <f t="shared" si="173"/>
        <v>41094</v>
      </c>
      <c r="E583" s="3">
        <f t="shared" si="174"/>
        <v>41141</v>
      </c>
      <c r="F583" s="3">
        <f t="shared" si="175"/>
        <v>41090</v>
      </c>
      <c r="G583" s="76">
        <f t="shared" si="176"/>
        <v>2012</v>
      </c>
      <c r="H583" s="76">
        <f t="shared" si="177"/>
        <v>6</v>
      </c>
      <c r="I583" s="76" t="str">
        <f>VLOOKUP(H583,'Lookup Values'!$C$2:$D$13,2,FALSE)</f>
        <v>JUN</v>
      </c>
      <c r="J583" s="76">
        <f t="shared" si="178"/>
        <v>20</v>
      </c>
      <c r="K583" s="76">
        <f t="shared" si="179"/>
        <v>4</v>
      </c>
      <c r="L583" s="76" t="str">
        <f>VLOOKUP(K583,'Lookup Values'!$F$2:$G$8,2,FALSE)</f>
        <v>Wednesday</v>
      </c>
      <c r="M583" s="3">
        <v>41082</v>
      </c>
      <c r="N583" s="78">
        <f t="shared" si="172"/>
        <v>2</v>
      </c>
      <c r="O583" s="11">
        <v>0.72348878663025684</v>
      </c>
      <c r="P583" s="94">
        <f t="shared" si="180"/>
        <v>17</v>
      </c>
      <c r="Q583" s="94">
        <f t="shared" si="181"/>
        <v>21</v>
      </c>
      <c r="R583" s="94">
        <f t="shared" si="182"/>
        <v>49</v>
      </c>
      <c r="S583" s="94" t="str">
        <f>VLOOKUP(O583,'Lookup Values'!$I$2:$L$8,4,TRUE)</f>
        <v>Evening</v>
      </c>
      <c r="T583" t="s">
        <v>80</v>
      </c>
      <c r="U583" t="s">
        <v>93</v>
      </c>
      <c r="V583" t="str">
        <f t="shared" si="183"/>
        <v>Food: Groceries</v>
      </c>
      <c r="W583" t="s">
        <v>92</v>
      </c>
      <c r="X583" t="s">
        <v>78</v>
      </c>
      <c r="Y583" s="1">
        <v>242</v>
      </c>
      <c r="Z583" s="1" t="str">
        <f t="shared" si="184"/>
        <v>Food: $242.00</v>
      </c>
      <c r="AA583" s="1">
        <f>IF(Y583="","",ROUND(Y583*'Lookup Values'!$A$2,2))</f>
        <v>21.48</v>
      </c>
      <c r="AB583" s="12" t="str">
        <f t="shared" si="185"/>
        <v>Expense</v>
      </c>
      <c r="AC583" s="2" t="s">
        <v>670</v>
      </c>
      <c r="AD583" s="3">
        <f t="shared" si="186"/>
        <v>41080</v>
      </c>
      <c r="AE583" s="93" t="str">
        <f t="shared" si="187"/>
        <v>NO</v>
      </c>
      <c r="AF583" s="2" t="str">
        <f t="shared" si="188"/>
        <v>NO</v>
      </c>
      <c r="AG583" t="str">
        <f t="shared" si="189"/>
        <v>CRAP Transaction</v>
      </c>
    </row>
    <row r="584" spans="1:33" x14ac:dyDescent="0.25">
      <c r="A584" s="2">
        <v>583</v>
      </c>
      <c r="B584" s="3" t="str">
        <f t="shared" si="171"/>
        <v>100415-TR-MTA</v>
      </c>
      <c r="C584" s="3">
        <v>40283</v>
      </c>
      <c r="D584" s="3">
        <f t="shared" si="173"/>
        <v>40297</v>
      </c>
      <c r="E584" s="3">
        <f t="shared" si="174"/>
        <v>40344</v>
      </c>
      <c r="F584" s="3">
        <f t="shared" si="175"/>
        <v>40298</v>
      </c>
      <c r="G584" s="76">
        <f t="shared" si="176"/>
        <v>2010</v>
      </c>
      <c r="H584" s="76">
        <f t="shared" si="177"/>
        <v>4</v>
      </c>
      <c r="I584" s="76" t="str">
        <f>VLOOKUP(H584,'Lookup Values'!$C$2:$D$13,2,FALSE)</f>
        <v>APR</v>
      </c>
      <c r="J584" s="76">
        <f t="shared" si="178"/>
        <v>15</v>
      </c>
      <c r="K584" s="76">
        <f t="shared" si="179"/>
        <v>5</v>
      </c>
      <c r="L584" s="76" t="str">
        <f>VLOOKUP(K584,'Lookup Values'!$F$2:$G$8,2,FALSE)</f>
        <v>Thursday</v>
      </c>
      <c r="M584" s="3">
        <v>40289</v>
      </c>
      <c r="N584" s="78">
        <f t="shared" si="172"/>
        <v>6</v>
      </c>
      <c r="O584" s="11">
        <v>0.5432355124202638</v>
      </c>
      <c r="P584" s="94">
        <f t="shared" si="180"/>
        <v>13</v>
      </c>
      <c r="Q584" s="94">
        <f t="shared" si="181"/>
        <v>2</v>
      </c>
      <c r="R584" s="94">
        <f t="shared" si="182"/>
        <v>16</v>
      </c>
      <c r="S584" s="94" t="str">
        <f>VLOOKUP(O584,'Lookup Values'!$I$2:$L$8,4,TRUE)</f>
        <v>Afternoon</v>
      </c>
      <c r="T584" t="s">
        <v>95</v>
      </c>
      <c r="U584" t="s">
        <v>96</v>
      </c>
      <c r="V584" t="str">
        <f t="shared" si="183"/>
        <v>Transportation: Subway</v>
      </c>
      <c r="W584" t="s">
        <v>94</v>
      </c>
      <c r="X584" t="s">
        <v>88</v>
      </c>
      <c r="Y584" s="1">
        <v>234</v>
      </c>
      <c r="Z584" s="1" t="str">
        <f t="shared" si="184"/>
        <v>Transportation: $234.00</v>
      </c>
      <c r="AA584" s="1">
        <f>IF(Y584="","",ROUND(Y584*'Lookup Values'!$A$2,2))</f>
        <v>20.77</v>
      </c>
      <c r="AB584" s="12" t="str">
        <f t="shared" si="185"/>
        <v>Expense</v>
      </c>
      <c r="AC584" s="2" t="s">
        <v>671</v>
      </c>
      <c r="AD584" s="3">
        <f t="shared" si="186"/>
        <v>40283</v>
      </c>
      <c r="AE584" s="93" t="str">
        <f t="shared" si="187"/>
        <v>YES</v>
      </c>
      <c r="AF584" s="2" t="str">
        <f t="shared" si="188"/>
        <v>NO</v>
      </c>
      <c r="AG584" t="str">
        <f t="shared" si="189"/>
        <v>Late Transaction</v>
      </c>
    </row>
    <row r="585" spans="1:33" x14ac:dyDescent="0.25">
      <c r="A585" s="2">
        <v>584</v>
      </c>
      <c r="B585" s="3" t="str">
        <f t="shared" si="171"/>
        <v>071126-IN-AUN</v>
      </c>
      <c r="C585" s="3">
        <v>39412</v>
      </c>
      <c r="D585" s="3">
        <f t="shared" si="173"/>
        <v>39426</v>
      </c>
      <c r="E585" s="3">
        <f t="shared" si="174"/>
        <v>39473</v>
      </c>
      <c r="F585" s="3">
        <f t="shared" si="175"/>
        <v>39416</v>
      </c>
      <c r="G585" s="76">
        <f t="shared" si="176"/>
        <v>2007</v>
      </c>
      <c r="H585" s="76">
        <f t="shared" si="177"/>
        <v>11</v>
      </c>
      <c r="I585" s="76" t="str">
        <f>VLOOKUP(H585,'Lookup Values'!$C$2:$D$13,2,FALSE)</f>
        <v>NOV</v>
      </c>
      <c r="J585" s="76">
        <f t="shared" si="178"/>
        <v>26</v>
      </c>
      <c r="K585" s="76">
        <f t="shared" si="179"/>
        <v>2</v>
      </c>
      <c r="L585" s="76" t="str">
        <f>VLOOKUP(K585,'Lookup Values'!$F$2:$G$8,2,FALSE)</f>
        <v>Monday</v>
      </c>
      <c r="M585" s="3">
        <v>39421</v>
      </c>
      <c r="N585" s="78">
        <f t="shared" si="172"/>
        <v>9</v>
      </c>
      <c r="O585" s="11">
        <v>0.90308275378457781</v>
      </c>
      <c r="P585" s="94">
        <f t="shared" si="180"/>
        <v>21</v>
      </c>
      <c r="Q585" s="94">
        <f t="shared" si="181"/>
        <v>40</v>
      </c>
      <c r="R585" s="94">
        <f t="shared" si="182"/>
        <v>26</v>
      </c>
      <c r="S585" s="94" t="str">
        <f>VLOOKUP(O585,'Lookup Values'!$I$2:$L$8,4,TRUE)</f>
        <v>Late Evening</v>
      </c>
      <c r="T585" t="s">
        <v>158</v>
      </c>
      <c r="U585" t="s">
        <v>161</v>
      </c>
      <c r="V585" t="str">
        <f t="shared" si="183"/>
        <v>Income: Gift Received</v>
      </c>
      <c r="W585" t="s">
        <v>164</v>
      </c>
      <c r="X585" t="s">
        <v>78</v>
      </c>
      <c r="Y585" s="1">
        <v>78</v>
      </c>
      <c r="Z585" s="1" t="str">
        <f t="shared" si="184"/>
        <v>Income: $78.00</v>
      </c>
      <c r="AA585" s="1">
        <f>IF(Y585="","",ROUND(Y585*'Lookup Values'!$A$2,2))</f>
        <v>6.92</v>
      </c>
      <c r="AB585" s="12" t="str">
        <f t="shared" si="185"/>
        <v>Income</v>
      </c>
      <c r="AC585" s="2" t="s">
        <v>672</v>
      </c>
      <c r="AD585" s="3">
        <f t="shared" si="186"/>
        <v>39412</v>
      </c>
      <c r="AE585" s="93" t="str">
        <f t="shared" si="187"/>
        <v>NO</v>
      </c>
      <c r="AF585" s="2" t="str">
        <f t="shared" si="188"/>
        <v>NO</v>
      </c>
      <c r="AG585" t="str">
        <f t="shared" si="189"/>
        <v>Late Transaction</v>
      </c>
    </row>
    <row r="586" spans="1:33" x14ac:dyDescent="0.25">
      <c r="A586" s="2">
        <v>585</v>
      </c>
      <c r="B586" s="3" t="str">
        <f t="shared" si="171"/>
        <v>100610-FO-CIT</v>
      </c>
      <c r="C586" s="3">
        <v>40339</v>
      </c>
      <c r="D586" s="3">
        <f t="shared" si="173"/>
        <v>40353</v>
      </c>
      <c r="E586" s="3">
        <f t="shared" si="174"/>
        <v>40400</v>
      </c>
      <c r="F586" s="3">
        <f t="shared" si="175"/>
        <v>40359</v>
      </c>
      <c r="G586" s="76">
        <f t="shared" si="176"/>
        <v>2010</v>
      </c>
      <c r="H586" s="76">
        <f t="shared" si="177"/>
        <v>6</v>
      </c>
      <c r="I586" s="76" t="str">
        <f>VLOOKUP(H586,'Lookup Values'!$C$2:$D$13,2,FALSE)</f>
        <v>JUN</v>
      </c>
      <c r="J586" s="76">
        <f t="shared" si="178"/>
        <v>10</v>
      </c>
      <c r="K586" s="76">
        <f t="shared" si="179"/>
        <v>5</v>
      </c>
      <c r="L586" s="76" t="str">
        <f>VLOOKUP(K586,'Lookup Values'!$F$2:$G$8,2,FALSE)</f>
        <v>Thursday</v>
      </c>
      <c r="M586" s="3">
        <v>40344</v>
      </c>
      <c r="N586" s="78">
        <f t="shared" si="172"/>
        <v>5</v>
      </c>
      <c r="O586" s="11">
        <v>0.49518108069953204</v>
      </c>
      <c r="P586" s="94">
        <f t="shared" si="180"/>
        <v>11</v>
      </c>
      <c r="Q586" s="94">
        <f t="shared" si="181"/>
        <v>53</v>
      </c>
      <c r="R586" s="94">
        <f t="shared" si="182"/>
        <v>4</v>
      </c>
      <c r="S586" s="94" t="str">
        <f>VLOOKUP(O586,'Lookup Values'!$I$2:$L$8,4,TRUE)</f>
        <v>Late Morning</v>
      </c>
      <c r="T586" t="s">
        <v>80</v>
      </c>
      <c r="U586" t="s">
        <v>105</v>
      </c>
      <c r="V586" t="str">
        <f t="shared" si="183"/>
        <v>Food: Coffee</v>
      </c>
      <c r="W586" t="s">
        <v>104</v>
      </c>
      <c r="X586" t="s">
        <v>91</v>
      </c>
      <c r="Y586" s="1">
        <v>280</v>
      </c>
      <c r="Z586" s="1" t="str">
        <f t="shared" si="184"/>
        <v>Food: $280.00</v>
      </c>
      <c r="AA586" s="1">
        <f>IF(Y586="","",ROUND(Y586*'Lookup Values'!$A$2,2))</f>
        <v>24.85</v>
      </c>
      <c r="AB586" s="12" t="str">
        <f t="shared" si="185"/>
        <v>Expense</v>
      </c>
      <c r="AC586" s="2" t="s">
        <v>673</v>
      </c>
      <c r="AD586" s="3">
        <f t="shared" si="186"/>
        <v>40339</v>
      </c>
      <c r="AE586" s="93" t="str">
        <f t="shared" si="187"/>
        <v>NO</v>
      </c>
      <c r="AF586" s="2" t="str">
        <f t="shared" si="188"/>
        <v>NO</v>
      </c>
      <c r="AG586" t="str">
        <f t="shared" si="189"/>
        <v>Late Transaction</v>
      </c>
    </row>
    <row r="587" spans="1:33" x14ac:dyDescent="0.25">
      <c r="A587" s="2">
        <v>586</v>
      </c>
      <c r="B587" s="3" t="str">
        <f t="shared" si="171"/>
        <v>120501-ED-ANT</v>
      </c>
      <c r="C587" s="3">
        <v>41030</v>
      </c>
      <c r="D587" s="3">
        <f t="shared" si="173"/>
        <v>41044</v>
      </c>
      <c r="E587" s="3">
        <f t="shared" si="174"/>
        <v>41091</v>
      </c>
      <c r="F587" s="3">
        <f t="shared" si="175"/>
        <v>41060</v>
      </c>
      <c r="G587" s="76">
        <f t="shared" si="176"/>
        <v>2012</v>
      </c>
      <c r="H587" s="76">
        <f t="shared" si="177"/>
        <v>5</v>
      </c>
      <c r="I587" s="76" t="str">
        <f>VLOOKUP(H587,'Lookup Values'!$C$2:$D$13,2,FALSE)</f>
        <v>MAY</v>
      </c>
      <c r="J587" s="76">
        <f t="shared" si="178"/>
        <v>1</v>
      </c>
      <c r="K587" s="76">
        <f t="shared" si="179"/>
        <v>3</v>
      </c>
      <c r="L587" s="76" t="str">
        <f>VLOOKUP(K587,'Lookup Values'!$F$2:$G$8,2,FALSE)</f>
        <v>Tuesday</v>
      </c>
      <c r="M587" s="3">
        <v>41039</v>
      </c>
      <c r="N587" s="78">
        <f t="shared" si="172"/>
        <v>9</v>
      </c>
      <c r="O587" s="11">
        <v>0.21339589711109863</v>
      </c>
      <c r="P587" s="94">
        <f t="shared" si="180"/>
        <v>5</v>
      </c>
      <c r="Q587" s="94">
        <f t="shared" si="181"/>
        <v>7</v>
      </c>
      <c r="R587" s="94">
        <f t="shared" si="182"/>
        <v>17</v>
      </c>
      <c r="S587" s="94" t="str">
        <f>VLOOKUP(O587,'Lookup Values'!$I$2:$L$8,4,TRUE)</f>
        <v>Early Morning</v>
      </c>
      <c r="T587" t="s">
        <v>86</v>
      </c>
      <c r="U587" t="s">
        <v>87</v>
      </c>
      <c r="V587" t="str">
        <f t="shared" si="183"/>
        <v>Education: Tango Lessons</v>
      </c>
      <c r="W587" t="s">
        <v>85</v>
      </c>
      <c r="X587" t="s">
        <v>78</v>
      </c>
      <c r="Y587" s="1">
        <v>47</v>
      </c>
      <c r="Z587" s="1" t="str">
        <f t="shared" si="184"/>
        <v>Education: $47.00</v>
      </c>
      <c r="AA587" s="1">
        <f>IF(Y587="","",ROUND(Y587*'Lookup Values'!$A$2,2))</f>
        <v>4.17</v>
      </c>
      <c r="AB587" s="12" t="str">
        <f t="shared" si="185"/>
        <v>Expense</v>
      </c>
      <c r="AC587" s="2" t="s">
        <v>674</v>
      </c>
      <c r="AD587" s="3">
        <f t="shared" si="186"/>
        <v>41030</v>
      </c>
      <c r="AE587" s="93" t="str">
        <f t="shared" si="187"/>
        <v>NO</v>
      </c>
      <c r="AF587" s="2" t="str">
        <f t="shared" si="188"/>
        <v>NO</v>
      </c>
      <c r="AG587" t="str">
        <f t="shared" si="189"/>
        <v>CRAP Transaction</v>
      </c>
    </row>
    <row r="588" spans="1:33" x14ac:dyDescent="0.25">
      <c r="A588" s="2">
        <v>587</v>
      </c>
      <c r="B588" s="3" t="str">
        <f t="shared" si="171"/>
        <v>090824-IN-LEG</v>
      </c>
      <c r="C588" s="3">
        <v>40049</v>
      </c>
      <c r="D588" s="3">
        <f t="shared" si="173"/>
        <v>40063</v>
      </c>
      <c r="E588" s="3">
        <f t="shared" si="174"/>
        <v>40110</v>
      </c>
      <c r="F588" s="3">
        <f t="shared" si="175"/>
        <v>40056</v>
      </c>
      <c r="G588" s="76">
        <f t="shared" si="176"/>
        <v>2009</v>
      </c>
      <c r="H588" s="76">
        <f t="shared" si="177"/>
        <v>8</v>
      </c>
      <c r="I588" s="76" t="str">
        <f>VLOOKUP(H588,'Lookup Values'!$C$2:$D$13,2,FALSE)</f>
        <v>AUG</v>
      </c>
      <c r="J588" s="76">
        <f t="shared" si="178"/>
        <v>24</v>
      </c>
      <c r="K588" s="76">
        <f t="shared" si="179"/>
        <v>2</v>
      </c>
      <c r="L588" s="76" t="str">
        <f>VLOOKUP(K588,'Lookup Values'!$F$2:$G$8,2,FALSE)</f>
        <v>Monday</v>
      </c>
      <c r="M588" s="3">
        <v>40059</v>
      </c>
      <c r="N588" s="78">
        <f t="shared" si="172"/>
        <v>10</v>
      </c>
      <c r="O588" s="11">
        <v>0.54846982872304317</v>
      </c>
      <c r="P588" s="94">
        <f t="shared" si="180"/>
        <v>13</v>
      </c>
      <c r="Q588" s="94">
        <f t="shared" si="181"/>
        <v>9</v>
      </c>
      <c r="R588" s="94">
        <f t="shared" si="182"/>
        <v>48</v>
      </c>
      <c r="S588" s="94" t="str">
        <f>VLOOKUP(O588,'Lookup Values'!$I$2:$L$8,4,TRUE)</f>
        <v>Afternoon</v>
      </c>
      <c r="T588" t="s">
        <v>158</v>
      </c>
      <c r="U588" t="s">
        <v>160</v>
      </c>
      <c r="V588" t="str">
        <f t="shared" si="183"/>
        <v>Income: Freelance Project</v>
      </c>
      <c r="W588" t="s">
        <v>163</v>
      </c>
      <c r="X588" t="s">
        <v>88</v>
      </c>
      <c r="Y588" s="1">
        <v>431</v>
      </c>
      <c r="Z588" s="1" t="str">
        <f t="shared" si="184"/>
        <v>Income: $431.00</v>
      </c>
      <c r="AA588" s="1">
        <f>IF(Y588="","",ROUND(Y588*'Lookup Values'!$A$2,2))</f>
        <v>38.25</v>
      </c>
      <c r="AB588" s="12" t="str">
        <f t="shared" si="185"/>
        <v>Income</v>
      </c>
      <c r="AC588" s="2" t="s">
        <v>675</v>
      </c>
      <c r="AD588" s="3">
        <f t="shared" si="186"/>
        <v>40049</v>
      </c>
      <c r="AE588" s="93" t="str">
        <f t="shared" si="187"/>
        <v>NO</v>
      </c>
      <c r="AF588" s="2" t="str">
        <f t="shared" si="188"/>
        <v>NO</v>
      </c>
      <c r="AG588" t="str">
        <f t="shared" si="189"/>
        <v>Late Transaction</v>
      </c>
    </row>
    <row r="589" spans="1:33" x14ac:dyDescent="0.25">
      <c r="A589" s="2">
        <v>588</v>
      </c>
      <c r="B589" s="3" t="str">
        <f t="shared" si="171"/>
        <v>111022-TR-MTA</v>
      </c>
      <c r="C589" s="3">
        <v>40838</v>
      </c>
      <c r="D589" s="3">
        <f t="shared" si="173"/>
        <v>40851</v>
      </c>
      <c r="E589" s="3">
        <f t="shared" si="174"/>
        <v>40899</v>
      </c>
      <c r="F589" s="3">
        <f t="shared" si="175"/>
        <v>40847</v>
      </c>
      <c r="G589" s="76">
        <f t="shared" si="176"/>
        <v>2011</v>
      </c>
      <c r="H589" s="76">
        <f t="shared" si="177"/>
        <v>10</v>
      </c>
      <c r="I589" s="76" t="str">
        <f>VLOOKUP(H589,'Lookup Values'!$C$2:$D$13,2,FALSE)</f>
        <v>OCT</v>
      </c>
      <c r="J589" s="76">
        <f t="shared" si="178"/>
        <v>22</v>
      </c>
      <c r="K589" s="76">
        <f t="shared" si="179"/>
        <v>7</v>
      </c>
      <c r="L589" s="76" t="str">
        <f>VLOOKUP(K589,'Lookup Values'!$F$2:$G$8,2,FALSE)</f>
        <v>Saturday</v>
      </c>
      <c r="M589" s="3">
        <v>40848</v>
      </c>
      <c r="N589" s="78">
        <f t="shared" si="172"/>
        <v>10</v>
      </c>
      <c r="O589" s="11">
        <v>0.88036957090361101</v>
      </c>
      <c r="P589" s="94">
        <f t="shared" si="180"/>
        <v>21</v>
      </c>
      <c r="Q589" s="94">
        <f t="shared" si="181"/>
        <v>7</v>
      </c>
      <c r="R589" s="94">
        <f t="shared" si="182"/>
        <v>44</v>
      </c>
      <c r="S589" s="94" t="str">
        <f>VLOOKUP(O589,'Lookup Values'!$I$2:$L$8,4,TRUE)</f>
        <v>Late Evening</v>
      </c>
      <c r="T589" t="s">
        <v>95</v>
      </c>
      <c r="U589" t="s">
        <v>96</v>
      </c>
      <c r="V589" t="str">
        <f t="shared" si="183"/>
        <v>Transportation: Subway</v>
      </c>
      <c r="W589" t="s">
        <v>94</v>
      </c>
      <c r="X589" t="s">
        <v>91</v>
      </c>
      <c r="Y589" s="1">
        <v>443</v>
      </c>
      <c r="Z589" s="1" t="str">
        <f t="shared" si="184"/>
        <v>Transportation: $443.00</v>
      </c>
      <c r="AA589" s="1">
        <f>IF(Y589="","",ROUND(Y589*'Lookup Values'!$A$2,2))</f>
        <v>39.32</v>
      </c>
      <c r="AB589" s="12" t="str">
        <f t="shared" si="185"/>
        <v>Expense</v>
      </c>
      <c r="AC589" s="2" t="s">
        <v>340</v>
      </c>
      <c r="AD589" s="3">
        <f t="shared" si="186"/>
        <v>40838</v>
      </c>
      <c r="AE589" s="93" t="str">
        <f t="shared" si="187"/>
        <v>YES</v>
      </c>
      <c r="AF589" s="2" t="str">
        <f t="shared" si="188"/>
        <v>YES</v>
      </c>
      <c r="AG589" t="str">
        <f t="shared" si="189"/>
        <v>CRAP Transaction</v>
      </c>
    </row>
    <row r="590" spans="1:33" x14ac:dyDescent="0.25">
      <c r="A590" s="2">
        <v>589</v>
      </c>
      <c r="B590" s="3" t="str">
        <f t="shared" si="171"/>
        <v>090911-HO-BED</v>
      </c>
      <c r="C590" s="3">
        <v>40067</v>
      </c>
      <c r="D590" s="3">
        <f t="shared" si="173"/>
        <v>40081</v>
      </c>
      <c r="E590" s="3">
        <f t="shared" si="174"/>
        <v>40128</v>
      </c>
      <c r="F590" s="3">
        <f t="shared" si="175"/>
        <v>40086</v>
      </c>
      <c r="G590" s="76">
        <f t="shared" si="176"/>
        <v>2009</v>
      </c>
      <c r="H590" s="76">
        <f t="shared" si="177"/>
        <v>9</v>
      </c>
      <c r="I590" s="76" t="str">
        <f>VLOOKUP(H590,'Lookup Values'!$C$2:$D$13,2,FALSE)</f>
        <v>SEP</v>
      </c>
      <c r="J590" s="76">
        <f t="shared" si="178"/>
        <v>11</v>
      </c>
      <c r="K590" s="76">
        <f t="shared" si="179"/>
        <v>6</v>
      </c>
      <c r="L590" s="76" t="str">
        <f>VLOOKUP(K590,'Lookup Values'!$F$2:$G$8,2,FALSE)</f>
        <v>Friday</v>
      </c>
      <c r="M590" s="3">
        <v>40075</v>
      </c>
      <c r="N590" s="78">
        <f t="shared" si="172"/>
        <v>8</v>
      </c>
      <c r="O590" s="11">
        <v>0.68416127356478562</v>
      </c>
      <c r="P590" s="94">
        <f t="shared" si="180"/>
        <v>16</v>
      </c>
      <c r="Q590" s="94">
        <f t="shared" si="181"/>
        <v>25</v>
      </c>
      <c r="R590" s="94">
        <f t="shared" si="182"/>
        <v>12</v>
      </c>
      <c r="S590" s="94" t="str">
        <f>VLOOKUP(O590,'Lookup Values'!$I$2:$L$8,4,TRUE)</f>
        <v>Afternoon</v>
      </c>
      <c r="T590" t="s">
        <v>100</v>
      </c>
      <c r="U590" t="s">
        <v>101</v>
      </c>
      <c r="V590" t="str">
        <f t="shared" si="183"/>
        <v>Home: Cleaning Supplies</v>
      </c>
      <c r="W590" t="s">
        <v>99</v>
      </c>
      <c r="X590" t="s">
        <v>88</v>
      </c>
      <c r="Y590" s="1">
        <v>473</v>
      </c>
      <c r="Z590" s="1" t="str">
        <f t="shared" si="184"/>
        <v>Home: $473.00</v>
      </c>
      <c r="AA590" s="1">
        <f>IF(Y590="","",ROUND(Y590*'Lookup Values'!$A$2,2))</f>
        <v>41.98</v>
      </c>
      <c r="AB590" s="12" t="str">
        <f t="shared" si="185"/>
        <v>Expense</v>
      </c>
      <c r="AC590" s="2" t="s">
        <v>676</v>
      </c>
      <c r="AD590" s="3">
        <f t="shared" si="186"/>
        <v>40067</v>
      </c>
      <c r="AE590" s="93" t="str">
        <f t="shared" si="187"/>
        <v>NO</v>
      </c>
      <c r="AF590" s="2" t="str">
        <f t="shared" si="188"/>
        <v>NO</v>
      </c>
      <c r="AG590" t="str">
        <f t="shared" si="189"/>
        <v>Late Transaction</v>
      </c>
    </row>
    <row r="591" spans="1:33" x14ac:dyDescent="0.25">
      <c r="A591" s="2">
        <v>590</v>
      </c>
      <c r="B591" s="3" t="str">
        <f t="shared" si="171"/>
        <v>120120-HE-FRE</v>
      </c>
      <c r="C591" s="3">
        <v>40928</v>
      </c>
      <c r="D591" s="3">
        <f t="shared" si="173"/>
        <v>40942</v>
      </c>
      <c r="E591" s="3">
        <f t="shared" si="174"/>
        <v>40988</v>
      </c>
      <c r="F591" s="3">
        <f t="shared" si="175"/>
        <v>40939</v>
      </c>
      <c r="G591" s="76">
        <f t="shared" si="176"/>
        <v>2012</v>
      </c>
      <c r="H591" s="76">
        <f t="shared" si="177"/>
        <v>1</v>
      </c>
      <c r="I591" s="76" t="str">
        <f>VLOOKUP(H591,'Lookup Values'!$C$2:$D$13,2,FALSE)</f>
        <v>JAN</v>
      </c>
      <c r="J591" s="76">
        <f t="shared" si="178"/>
        <v>20</v>
      </c>
      <c r="K591" s="76">
        <f t="shared" si="179"/>
        <v>6</v>
      </c>
      <c r="L591" s="76" t="str">
        <f>VLOOKUP(K591,'Lookup Values'!$F$2:$G$8,2,FALSE)</f>
        <v>Friday</v>
      </c>
      <c r="M591" s="3">
        <v>40931</v>
      </c>
      <c r="N591" s="78">
        <f t="shared" si="172"/>
        <v>3</v>
      </c>
      <c r="O591" s="11">
        <v>0.72817754271525148</v>
      </c>
      <c r="P591" s="94">
        <f t="shared" si="180"/>
        <v>17</v>
      </c>
      <c r="Q591" s="94">
        <f t="shared" si="181"/>
        <v>28</v>
      </c>
      <c r="R591" s="94">
        <f t="shared" si="182"/>
        <v>35</v>
      </c>
      <c r="S591" s="94" t="str">
        <f>VLOOKUP(O591,'Lookup Values'!$I$2:$L$8,4,TRUE)</f>
        <v>Evening</v>
      </c>
      <c r="T591" t="s">
        <v>107</v>
      </c>
      <c r="U591" t="s">
        <v>108</v>
      </c>
      <c r="V591" t="str">
        <f t="shared" si="183"/>
        <v>Health: Insurance Premium</v>
      </c>
      <c r="W591" t="s">
        <v>106</v>
      </c>
      <c r="X591" t="s">
        <v>78</v>
      </c>
      <c r="Y591" s="1">
        <v>67</v>
      </c>
      <c r="Z591" s="1" t="str">
        <f t="shared" si="184"/>
        <v>Health: $67.00</v>
      </c>
      <c r="AA591" s="1">
        <f>IF(Y591="","",ROUND(Y591*'Lookup Values'!$A$2,2))</f>
        <v>5.95</v>
      </c>
      <c r="AB591" s="12" t="str">
        <f t="shared" si="185"/>
        <v>Expense</v>
      </c>
      <c r="AC591" s="2" t="s">
        <v>677</v>
      </c>
      <c r="AD591" s="3">
        <f t="shared" si="186"/>
        <v>40928</v>
      </c>
      <c r="AE591" s="93" t="str">
        <f t="shared" si="187"/>
        <v>NO</v>
      </c>
      <c r="AF591" s="2" t="str">
        <f t="shared" si="188"/>
        <v>NO</v>
      </c>
      <c r="AG591" t="str">
        <f t="shared" si="189"/>
        <v>CRAP Transaction</v>
      </c>
    </row>
    <row r="592" spans="1:33" x14ac:dyDescent="0.25">
      <c r="A592" s="2">
        <v>591</v>
      </c>
      <c r="B592" s="3" t="str">
        <f t="shared" si="171"/>
        <v>100821-TR-MTA</v>
      </c>
      <c r="C592" s="3">
        <v>40411</v>
      </c>
      <c r="D592" s="3">
        <f t="shared" si="173"/>
        <v>40424</v>
      </c>
      <c r="E592" s="3">
        <f t="shared" si="174"/>
        <v>40472</v>
      </c>
      <c r="F592" s="3">
        <f t="shared" si="175"/>
        <v>40421</v>
      </c>
      <c r="G592" s="76">
        <f t="shared" si="176"/>
        <v>2010</v>
      </c>
      <c r="H592" s="76">
        <f t="shared" si="177"/>
        <v>8</v>
      </c>
      <c r="I592" s="76" t="str">
        <f>VLOOKUP(H592,'Lookup Values'!$C$2:$D$13,2,FALSE)</f>
        <v>AUG</v>
      </c>
      <c r="J592" s="76">
        <f t="shared" si="178"/>
        <v>21</v>
      </c>
      <c r="K592" s="76">
        <f t="shared" si="179"/>
        <v>7</v>
      </c>
      <c r="L592" s="76" t="str">
        <f>VLOOKUP(K592,'Lookup Values'!$F$2:$G$8,2,FALSE)</f>
        <v>Saturday</v>
      </c>
      <c r="M592" s="3">
        <v>40413</v>
      </c>
      <c r="N592" s="78">
        <f t="shared" si="172"/>
        <v>2</v>
      </c>
      <c r="O592" s="11">
        <v>0.76838046246775571</v>
      </c>
      <c r="P592" s="94">
        <f t="shared" si="180"/>
        <v>18</v>
      </c>
      <c r="Q592" s="94">
        <f t="shared" si="181"/>
        <v>26</v>
      </c>
      <c r="R592" s="94">
        <f t="shared" si="182"/>
        <v>28</v>
      </c>
      <c r="S592" s="94" t="str">
        <f>VLOOKUP(O592,'Lookup Values'!$I$2:$L$8,4,TRUE)</f>
        <v>Evening</v>
      </c>
      <c r="T592" t="s">
        <v>95</v>
      </c>
      <c r="U592" t="s">
        <v>96</v>
      </c>
      <c r="V592" t="str">
        <f t="shared" si="183"/>
        <v>Transportation: Subway</v>
      </c>
      <c r="W592" t="s">
        <v>94</v>
      </c>
      <c r="X592" t="s">
        <v>91</v>
      </c>
      <c r="Y592" s="1">
        <v>160</v>
      </c>
      <c r="Z592" s="1" t="str">
        <f t="shared" si="184"/>
        <v>Transportation: $160.00</v>
      </c>
      <c r="AA592" s="1">
        <f>IF(Y592="","",ROUND(Y592*'Lookup Values'!$A$2,2))</f>
        <v>14.2</v>
      </c>
      <c r="AB592" s="12" t="str">
        <f t="shared" si="185"/>
        <v>Expense</v>
      </c>
      <c r="AC592" s="2" t="s">
        <v>678</v>
      </c>
      <c r="AD592" s="3">
        <f t="shared" si="186"/>
        <v>40411</v>
      </c>
      <c r="AE592" s="93" t="str">
        <f t="shared" si="187"/>
        <v>YES</v>
      </c>
      <c r="AF592" s="2" t="str">
        <f t="shared" si="188"/>
        <v>NO</v>
      </c>
      <c r="AG592" t="str">
        <f t="shared" si="189"/>
        <v>Late Transaction</v>
      </c>
    </row>
    <row r="593" spans="1:33" x14ac:dyDescent="0.25">
      <c r="A593" s="2">
        <v>592</v>
      </c>
      <c r="B593" s="3" t="str">
        <f t="shared" si="171"/>
        <v>110114-TR-MTA</v>
      </c>
      <c r="C593" s="3">
        <v>40557</v>
      </c>
      <c r="D593" s="3">
        <f t="shared" si="173"/>
        <v>40571</v>
      </c>
      <c r="E593" s="3">
        <f t="shared" si="174"/>
        <v>40616</v>
      </c>
      <c r="F593" s="3">
        <f t="shared" si="175"/>
        <v>40574</v>
      </c>
      <c r="G593" s="76">
        <f t="shared" si="176"/>
        <v>2011</v>
      </c>
      <c r="H593" s="76">
        <f t="shared" si="177"/>
        <v>1</v>
      </c>
      <c r="I593" s="76" t="str">
        <f>VLOOKUP(H593,'Lookup Values'!$C$2:$D$13,2,FALSE)</f>
        <v>JAN</v>
      </c>
      <c r="J593" s="76">
        <f t="shared" si="178"/>
        <v>14</v>
      </c>
      <c r="K593" s="76">
        <f t="shared" si="179"/>
        <v>6</v>
      </c>
      <c r="L593" s="76" t="str">
        <f>VLOOKUP(K593,'Lookup Values'!$F$2:$G$8,2,FALSE)</f>
        <v>Friday</v>
      </c>
      <c r="M593" s="3">
        <v>40560</v>
      </c>
      <c r="N593" s="78">
        <f t="shared" si="172"/>
        <v>3</v>
      </c>
      <c r="O593" s="11">
        <v>0.74741753896803642</v>
      </c>
      <c r="P593" s="94">
        <f t="shared" si="180"/>
        <v>17</v>
      </c>
      <c r="Q593" s="94">
        <f t="shared" si="181"/>
        <v>56</v>
      </c>
      <c r="R593" s="94">
        <f t="shared" si="182"/>
        <v>17</v>
      </c>
      <c r="S593" s="94" t="str">
        <f>VLOOKUP(O593,'Lookup Values'!$I$2:$L$8,4,TRUE)</f>
        <v>Evening</v>
      </c>
      <c r="T593" t="s">
        <v>95</v>
      </c>
      <c r="U593" t="s">
        <v>96</v>
      </c>
      <c r="V593" t="str">
        <f t="shared" si="183"/>
        <v>Transportation: Subway</v>
      </c>
      <c r="W593" t="s">
        <v>94</v>
      </c>
      <c r="X593" t="s">
        <v>78</v>
      </c>
      <c r="Y593" s="1">
        <v>477</v>
      </c>
      <c r="Z593" s="1" t="str">
        <f t="shared" si="184"/>
        <v>Transportation: $477.00</v>
      </c>
      <c r="AA593" s="1">
        <f>IF(Y593="","",ROUND(Y593*'Lookup Values'!$A$2,2))</f>
        <v>42.33</v>
      </c>
      <c r="AB593" s="12" t="str">
        <f t="shared" si="185"/>
        <v>Expense</v>
      </c>
      <c r="AC593" s="2" t="s">
        <v>585</v>
      </c>
      <c r="AD593" s="3">
        <f t="shared" si="186"/>
        <v>40557</v>
      </c>
      <c r="AE593" s="93" t="str">
        <f t="shared" si="187"/>
        <v>YES</v>
      </c>
      <c r="AF593" s="2" t="str">
        <f t="shared" si="188"/>
        <v>YES</v>
      </c>
      <c r="AG593" t="str">
        <f t="shared" si="189"/>
        <v>CRAP Transaction</v>
      </c>
    </row>
    <row r="594" spans="1:33" x14ac:dyDescent="0.25">
      <c r="A594" s="2">
        <v>593</v>
      </c>
      <c r="B594" s="3" t="str">
        <f t="shared" si="171"/>
        <v>071209-HE-FRE</v>
      </c>
      <c r="C594" s="3">
        <v>39425</v>
      </c>
      <c r="D594" s="3">
        <f t="shared" si="173"/>
        <v>39437</v>
      </c>
      <c r="E594" s="3">
        <f t="shared" si="174"/>
        <v>39487</v>
      </c>
      <c r="F594" s="3">
        <f t="shared" si="175"/>
        <v>39447</v>
      </c>
      <c r="G594" s="76">
        <f t="shared" si="176"/>
        <v>2007</v>
      </c>
      <c r="H594" s="76">
        <f t="shared" si="177"/>
        <v>12</v>
      </c>
      <c r="I594" s="76" t="str">
        <f>VLOOKUP(H594,'Lookup Values'!$C$2:$D$13,2,FALSE)</f>
        <v>DEC</v>
      </c>
      <c r="J594" s="76">
        <f t="shared" si="178"/>
        <v>9</v>
      </c>
      <c r="K594" s="76">
        <f t="shared" si="179"/>
        <v>1</v>
      </c>
      <c r="L594" s="76" t="str">
        <f>VLOOKUP(K594,'Lookup Values'!$F$2:$G$8,2,FALSE)</f>
        <v>Sunday</v>
      </c>
      <c r="M594" s="3">
        <v>39428</v>
      </c>
      <c r="N594" s="78">
        <f t="shared" si="172"/>
        <v>3</v>
      </c>
      <c r="O594" s="11">
        <v>0.19755020548833457</v>
      </c>
      <c r="P594" s="94">
        <f t="shared" si="180"/>
        <v>4</v>
      </c>
      <c r="Q594" s="94">
        <f t="shared" si="181"/>
        <v>44</v>
      </c>
      <c r="R594" s="94">
        <f t="shared" si="182"/>
        <v>28</v>
      </c>
      <c r="S594" s="94" t="str">
        <f>VLOOKUP(O594,'Lookup Values'!$I$2:$L$8,4,TRUE)</f>
        <v>Early Morning</v>
      </c>
      <c r="T594" t="s">
        <v>107</v>
      </c>
      <c r="U594" t="s">
        <v>108</v>
      </c>
      <c r="V594" t="str">
        <f t="shared" si="183"/>
        <v>Health: Insurance Premium</v>
      </c>
      <c r="W594" t="s">
        <v>106</v>
      </c>
      <c r="X594" t="s">
        <v>78</v>
      </c>
      <c r="Y594" s="1">
        <v>242</v>
      </c>
      <c r="Z594" s="1" t="str">
        <f t="shared" si="184"/>
        <v>Health: $242.00</v>
      </c>
      <c r="AA594" s="1">
        <f>IF(Y594="","",ROUND(Y594*'Lookup Values'!$A$2,2))</f>
        <v>21.48</v>
      </c>
      <c r="AB594" s="12" t="str">
        <f t="shared" si="185"/>
        <v>Expense</v>
      </c>
      <c r="AC594" s="2" t="s">
        <v>679</v>
      </c>
      <c r="AD594" s="3">
        <f t="shared" si="186"/>
        <v>39425</v>
      </c>
      <c r="AE594" s="93" t="str">
        <f t="shared" si="187"/>
        <v>NO</v>
      </c>
      <c r="AF594" s="2" t="str">
        <f t="shared" si="188"/>
        <v>NO</v>
      </c>
      <c r="AG594" t="str">
        <f t="shared" si="189"/>
        <v>Late Transaction</v>
      </c>
    </row>
    <row r="595" spans="1:33" x14ac:dyDescent="0.25">
      <c r="A595" s="2">
        <v>594</v>
      </c>
      <c r="B595" s="3" t="str">
        <f t="shared" si="171"/>
        <v>120823-EN-FAN</v>
      </c>
      <c r="C595" s="3">
        <v>41144</v>
      </c>
      <c r="D595" s="3">
        <f t="shared" si="173"/>
        <v>41158</v>
      </c>
      <c r="E595" s="3">
        <f t="shared" si="174"/>
        <v>41205</v>
      </c>
      <c r="F595" s="3">
        <f t="shared" si="175"/>
        <v>41152</v>
      </c>
      <c r="G595" s="76">
        <f t="shared" si="176"/>
        <v>2012</v>
      </c>
      <c r="H595" s="76">
        <f t="shared" si="177"/>
        <v>8</v>
      </c>
      <c r="I595" s="76" t="str">
        <f>VLOOKUP(H595,'Lookup Values'!$C$2:$D$13,2,FALSE)</f>
        <v>AUG</v>
      </c>
      <c r="J595" s="76">
        <f t="shared" si="178"/>
        <v>23</v>
      </c>
      <c r="K595" s="76">
        <f t="shared" si="179"/>
        <v>5</v>
      </c>
      <c r="L595" s="76" t="str">
        <f>VLOOKUP(K595,'Lookup Values'!$F$2:$G$8,2,FALSE)</f>
        <v>Thursday</v>
      </c>
      <c r="M595" s="3">
        <v>41146</v>
      </c>
      <c r="N595" s="78">
        <f t="shared" si="172"/>
        <v>2</v>
      </c>
      <c r="O595" s="11">
        <v>0.85381027534789344</v>
      </c>
      <c r="P595" s="94">
        <f t="shared" si="180"/>
        <v>20</v>
      </c>
      <c r="Q595" s="94">
        <f t="shared" si="181"/>
        <v>29</v>
      </c>
      <c r="R595" s="94">
        <f t="shared" si="182"/>
        <v>29</v>
      </c>
      <c r="S595" s="94" t="str">
        <f>VLOOKUP(O595,'Lookup Values'!$I$2:$L$8,4,TRUE)</f>
        <v>Evening</v>
      </c>
      <c r="T595" t="s">
        <v>76</v>
      </c>
      <c r="U595" t="s">
        <v>90</v>
      </c>
      <c r="V595" t="str">
        <f t="shared" si="183"/>
        <v>Entertainment: Movies</v>
      </c>
      <c r="W595" t="s">
        <v>89</v>
      </c>
      <c r="X595" t="s">
        <v>88</v>
      </c>
      <c r="Y595" s="1">
        <v>115</v>
      </c>
      <c r="Z595" s="1" t="str">
        <f t="shared" si="184"/>
        <v>Entertainment: $115.00</v>
      </c>
      <c r="AA595" s="1">
        <f>IF(Y595="","",ROUND(Y595*'Lookup Values'!$A$2,2))</f>
        <v>10.210000000000001</v>
      </c>
      <c r="AB595" s="12" t="str">
        <f t="shared" si="185"/>
        <v>Expense</v>
      </c>
      <c r="AC595" s="2" t="s">
        <v>680</v>
      </c>
      <c r="AD595" s="3">
        <f t="shared" si="186"/>
        <v>41144</v>
      </c>
      <c r="AE595" s="93" t="str">
        <f t="shared" si="187"/>
        <v>NO</v>
      </c>
      <c r="AF595" s="2" t="str">
        <f t="shared" si="188"/>
        <v>NO</v>
      </c>
      <c r="AG595" t="str">
        <f t="shared" si="189"/>
        <v>CRAP Transaction</v>
      </c>
    </row>
    <row r="596" spans="1:33" x14ac:dyDescent="0.25">
      <c r="A596" s="2">
        <v>595</v>
      </c>
      <c r="B596" s="3" t="str">
        <f t="shared" si="171"/>
        <v>120412-IN-EZE</v>
      </c>
      <c r="C596" s="3">
        <v>41011</v>
      </c>
      <c r="D596" s="3">
        <f t="shared" si="173"/>
        <v>41025</v>
      </c>
      <c r="E596" s="3">
        <f t="shared" si="174"/>
        <v>41072</v>
      </c>
      <c r="F596" s="3">
        <f t="shared" si="175"/>
        <v>41029</v>
      </c>
      <c r="G596" s="76">
        <f t="shared" si="176"/>
        <v>2012</v>
      </c>
      <c r="H596" s="76">
        <f t="shared" si="177"/>
        <v>4</v>
      </c>
      <c r="I596" s="76" t="str">
        <f>VLOOKUP(H596,'Lookup Values'!$C$2:$D$13,2,FALSE)</f>
        <v>APR</v>
      </c>
      <c r="J596" s="76">
        <f t="shared" si="178"/>
        <v>12</v>
      </c>
      <c r="K596" s="76">
        <f t="shared" si="179"/>
        <v>5</v>
      </c>
      <c r="L596" s="76" t="str">
        <f>VLOOKUP(K596,'Lookup Values'!$F$2:$G$8,2,FALSE)</f>
        <v>Thursday</v>
      </c>
      <c r="M596" s="3">
        <v>41019</v>
      </c>
      <c r="N596" s="78">
        <f t="shared" si="172"/>
        <v>8</v>
      </c>
      <c r="O596" s="11">
        <v>0.31494603493961126</v>
      </c>
      <c r="P596" s="94">
        <f t="shared" si="180"/>
        <v>7</v>
      </c>
      <c r="Q596" s="94">
        <f t="shared" si="181"/>
        <v>33</v>
      </c>
      <c r="R596" s="94">
        <f t="shared" si="182"/>
        <v>31</v>
      </c>
      <c r="S596" s="94" t="str">
        <f>VLOOKUP(O596,'Lookup Values'!$I$2:$L$8,4,TRUE)</f>
        <v>Morning</v>
      </c>
      <c r="T596" t="s">
        <v>158</v>
      </c>
      <c r="U596" t="s">
        <v>159</v>
      </c>
      <c r="V596" t="str">
        <f t="shared" si="183"/>
        <v>Income: Salary</v>
      </c>
      <c r="W596" t="s">
        <v>162</v>
      </c>
      <c r="X596" t="s">
        <v>88</v>
      </c>
      <c r="Y596" s="1">
        <v>478</v>
      </c>
      <c r="Z596" s="1" t="str">
        <f t="shared" si="184"/>
        <v>Income: $478.00</v>
      </c>
      <c r="AA596" s="1">
        <f>IF(Y596="","",ROUND(Y596*'Lookup Values'!$A$2,2))</f>
        <v>42.42</v>
      </c>
      <c r="AB596" s="12" t="str">
        <f t="shared" si="185"/>
        <v>Income</v>
      </c>
      <c r="AC596" s="2" t="s">
        <v>681</v>
      </c>
      <c r="AD596" s="3">
        <f t="shared" si="186"/>
        <v>41011</v>
      </c>
      <c r="AE596" s="93" t="str">
        <f t="shared" si="187"/>
        <v>NO</v>
      </c>
      <c r="AF596" s="2" t="str">
        <f t="shared" si="188"/>
        <v>NO</v>
      </c>
      <c r="AG596" t="str">
        <f t="shared" si="189"/>
        <v>CRAP Transaction</v>
      </c>
    </row>
    <row r="597" spans="1:33" x14ac:dyDescent="0.25">
      <c r="A597" s="2">
        <v>596</v>
      </c>
      <c r="B597" s="3" t="str">
        <f t="shared" si="171"/>
        <v>071031-SH-EXP</v>
      </c>
      <c r="C597" s="3">
        <v>39386</v>
      </c>
      <c r="D597" s="3">
        <f t="shared" si="173"/>
        <v>39400</v>
      </c>
      <c r="E597" s="3">
        <f t="shared" si="174"/>
        <v>39447</v>
      </c>
      <c r="F597" s="3">
        <f t="shared" si="175"/>
        <v>39386</v>
      </c>
      <c r="G597" s="76">
        <f t="shared" si="176"/>
        <v>2007</v>
      </c>
      <c r="H597" s="76">
        <f t="shared" si="177"/>
        <v>10</v>
      </c>
      <c r="I597" s="76" t="str">
        <f>VLOOKUP(H597,'Lookup Values'!$C$2:$D$13,2,FALSE)</f>
        <v>OCT</v>
      </c>
      <c r="J597" s="76">
        <f t="shared" si="178"/>
        <v>31</v>
      </c>
      <c r="K597" s="76">
        <f t="shared" si="179"/>
        <v>4</v>
      </c>
      <c r="L597" s="76" t="str">
        <f>VLOOKUP(K597,'Lookup Values'!$F$2:$G$8,2,FALSE)</f>
        <v>Wednesday</v>
      </c>
      <c r="M597" s="3">
        <v>39393</v>
      </c>
      <c r="N597" s="78">
        <f t="shared" si="172"/>
        <v>7</v>
      </c>
      <c r="O597" s="11">
        <v>0.50680451990679387</v>
      </c>
      <c r="P597" s="94">
        <f t="shared" si="180"/>
        <v>12</v>
      </c>
      <c r="Q597" s="94">
        <f t="shared" si="181"/>
        <v>9</v>
      </c>
      <c r="R597" s="94">
        <f t="shared" si="182"/>
        <v>48</v>
      </c>
      <c r="S597" s="94" t="str">
        <f>VLOOKUP(O597,'Lookup Values'!$I$2:$L$8,4,TRUE)</f>
        <v>Afternoon</v>
      </c>
      <c r="T597" t="s">
        <v>83</v>
      </c>
      <c r="U597" t="s">
        <v>103</v>
      </c>
      <c r="V597" t="str">
        <f t="shared" si="183"/>
        <v>Shopping: Clothing</v>
      </c>
      <c r="W597" t="s">
        <v>102</v>
      </c>
      <c r="X597" t="s">
        <v>88</v>
      </c>
      <c r="Y597" s="1">
        <v>324</v>
      </c>
      <c r="Z597" s="1" t="str">
        <f t="shared" si="184"/>
        <v>Shopping: $324.00</v>
      </c>
      <c r="AA597" s="1">
        <f>IF(Y597="","",ROUND(Y597*'Lookup Values'!$A$2,2))</f>
        <v>28.76</v>
      </c>
      <c r="AB597" s="12" t="str">
        <f t="shared" si="185"/>
        <v>Expense</v>
      </c>
      <c r="AC597" s="2" t="s">
        <v>682</v>
      </c>
      <c r="AD597" s="3">
        <f t="shared" si="186"/>
        <v>39386</v>
      </c>
      <c r="AE597" s="93" t="str">
        <f t="shared" si="187"/>
        <v>NO</v>
      </c>
      <c r="AF597" s="2" t="str">
        <f t="shared" si="188"/>
        <v>NO</v>
      </c>
      <c r="AG597" t="str">
        <f t="shared" si="189"/>
        <v>Awesome Transaction</v>
      </c>
    </row>
    <row r="598" spans="1:33" x14ac:dyDescent="0.25">
      <c r="A598" s="2">
        <v>597</v>
      </c>
      <c r="B598" s="3" t="str">
        <f t="shared" si="171"/>
        <v>110527-SH-AMA</v>
      </c>
      <c r="C598" s="3">
        <v>40690</v>
      </c>
      <c r="D598" s="3">
        <f t="shared" si="173"/>
        <v>40704</v>
      </c>
      <c r="E598" s="3">
        <f t="shared" si="174"/>
        <v>40751</v>
      </c>
      <c r="F598" s="3">
        <f t="shared" si="175"/>
        <v>40694</v>
      </c>
      <c r="G598" s="76">
        <f t="shared" si="176"/>
        <v>2011</v>
      </c>
      <c r="H598" s="76">
        <f t="shared" si="177"/>
        <v>5</v>
      </c>
      <c r="I598" s="76" t="str">
        <f>VLOOKUP(H598,'Lookup Values'!$C$2:$D$13,2,FALSE)</f>
        <v>MAY</v>
      </c>
      <c r="J598" s="76">
        <f t="shared" si="178"/>
        <v>27</v>
      </c>
      <c r="K598" s="76">
        <f t="shared" si="179"/>
        <v>6</v>
      </c>
      <c r="L598" s="76" t="str">
        <f>VLOOKUP(K598,'Lookup Values'!$F$2:$G$8,2,FALSE)</f>
        <v>Friday</v>
      </c>
      <c r="M598" s="3">
        <v>40691</v>
      </c>
      <c r="N598" s="78">
        <f t="shared" si="172"/>
        <v>1</v>
      </c>
      <c r="O598" s="11">
        <v>0.32529559185575463</v>
      </c>
      <c r="P598" s="94">
        <f t="shared" si="180"/>
        <v>7</v>
      </c>
      <c r="Q598" s="94">
        <f t="shared" si="181"/>
        <v>48</v>
      </c>
      <c r="R598" s="94">
        <f t="shared" si="182"/>
        <v>26</v>
      </c>
      <c r="S598" s="94" t="str">
        <f>VLOOKUP(O598,'Lookup Values'!$I$2:$L$8,4,TRUE)</f>
        <v>Morning</v>
      </c>
      <c r="T598" t="s">
        <v>83</v>
      </c>
      <c r="U598" t="s">
        <v>84</v>
      </c>
      <c r="V598" t="str">
        <f t="shared" si="183"/>
        <v>Shopping: Electronics</v>
      </c>
      <c r="W598" t="s">
        <v>82</v>
      </c>
      <c r="X598" t="s">
        <v>78</v>
      </c>
      <c r="Y598" s="1">
        <v>252</v>
      </c>
      <c r="Z598" s="1" t="str">
        <f t="shared" si="184"/>
        <v>Shopping: $252.00</v>
      </c>
      <c r="AA598" s="1">
        <f>IF(Y598="","",ROUND(Y598*'Lookup Values'!$A$2,2))</f>
        <v>22.37</v>
      </c>
      <c r="AB598" s="12" t="str">
        <f t="shared" si="185"/>
        <v>Expense</v>
      </c>
      <c r="AC598" s="2" t="s">
        <v>683</v>
      </c>
      <c r="AD598" s="3">
        <f t="shared" si="186"/>
        <v>40690</v>
      </c>
      <c r="AE598" s="93" t="str">
        <f t="shared" si="187"/>
        <v>YES</v>
      </c>
      <c r="AF598" s="2" t="str">
        <f t="shared" si="188"/>
        <v>NO</v>
      </c>
      <c r="AG598" t="str">
        <f t="shared" si="189"/>
        <v>CRAP Transaction</v>
      </c>
    </row>
    <row r="599" spans="1:33" x14ac:dyDescent="0.25">
      <c r="A599" s="2">
        <v>598</v>
      </c>
      <c r="B599" s="3" t="str">
        <f t="shared" si="171"/>
        <v>111031-EN-MOE</v>
      </c>
      <c r="C599" s="3">
        <v>40847</v>
      </c>
      <c r="D599" s="3">
        <f t="shared" si="173"/>
        <v>40861</v>
      </c>
      <c r="E599" s="3">
        <f t="shared" si="174"/>
        <v>40908</v>
      </c>
      <c r="F599" s="3">
        <f t="shared" si="175"/>
        <v>40847</v>
      </c>
      <c r="G599" s="76">
        <f t="shared" si="176"/>
        <v>2011</v>
      </c>
      <c r="H599" s="76">
        <f t="shared" si="177"/>
        <v>10</v>
      </c>
      <c r="I599" s="76" t="str">
        <f>VLOOKUP(H599,'Lookup Values'!$C$2:$D$13,2,FALSE)</f>
        <v>OCT</v>
      </c>
      <c r="J599" s="76">
        <f t="shared" si="178"/>
        <v>31</v>
      </c>
      <c r="K599" s="76">
        <f t="shared" si="179"/>
        <v>2</v>
      </c>
      <c r="L599" s="76" t="str">
        <f>VLOOKUP(K599,'Lookup Values'!$F$2:$G$8,2,FALSE)</f>
        <v>Monday</v>
      </c>
      <c r="M599" s="3">
        <v>40853</v>
      </c>
      <c r="N599" s="78">
        <f t="shared" si="172"/>
        <v>6</v>
      </c>
      <c r="O599" s="11">
        <v>0.8123863375641418</v>
      </c>
      <c r="P599" s="94">
        <f t="shared" si="180"/>
        <v>19</v>
      </c>
      <c r="Q599" s="94">
        <f t="shared" si="181"/>
        <v>29</v>
      </c>
      <c r="R599" s="94">
        <f t="shared" si="182"/>
        <v>50</v>
      </c>
      <c r="S599" s="94" t="str">
        <f>VLOOKUP(O599,'Lookup Values'!$I$2:$L$8,4,TRUE)</f>
        <v>Evening</v>
      </c>
      <c r="T599" t="s">
        <v>76</v>
      </c>
      <c r="U599" t="s">
        <v>77</v>
      </c>
      <c r="V599" t="str">
        <f t="shared" si="183"/>
        <v>Entertainment: Alcohol</v>
      </c>
      <c r="W599" t="s">
        <v>75</v>
      </c>
      <c r="X599" t="s">
        <v>88</v>
      </c>
      <c r="Y599" s="1">
        <v>97</v>
      </c>
      <c r="Z599" s="1" t="str">
        <f t="shared" si="184"/>
        <v>Entertainment: $97.00</v>
      </c>
      <c r="AA599" s="1">
        <f>IF(Y599="","",ROUND(Y599*'Lookup Values'!$A$2,2))</f>
        <v>8.61</v>
      </c>
      <c r="AB599" s="12" t="str">
        <f t="shared" si="185"/>
        <v>Expense</v>
      </c>
      <c r="AC599" s="2" t="s">
        <v>684</v>
      </c>
      <c r="AD599" s="3">
        <f t="shared" si="186"/>
        <v>40847</v>
      </c>
      <c r="AE599" s="93" t="str">
        <f t="shared" si="187"/>
        <v>NO</v>
      </c>
      <c r="AF599" s="2" t="str">
        <f t="shared" si="188"/>
        <v>NO</v>
      </c>
      <c r="AG599" t="str">
        <f t="shared" si="189"/>
        <v>CRAP Transaction</v>
      </c>
    </row>
    <row r="600" spans="1:33" x14ac:dyDescent="0.25">
      <c r="A600" s="2">
        <v>599</v>
      </c>
      <c r="B600" s="3" t="str">
        <f t="shared" si="171"/>
        <v>110616-FO-BAN</v>
      </c>
      <c r="C600" s="3">
        <v>40710</v>
      </c>
      <c r="D600" s="3">
        <f t="shared" si="173"/>
        <v>40724</v>
      </c>
      <c r="E600" s="3">
        <f t="shared" si="174"/>
        <v>40771</v>
      </c>
      <c r="F600" s="3">
        <f t="shared" si="175"/>
        <v>40724</v>
      </c>
      <c r="G600" s="76">
        <f t="shared" si="176"/>
        <v>2011</v>
      </c>
      <c r="H600" s="76">
        <f t="shared" si="177"/>
        <v>6</v>
      </c>
      <c r="I600" s="76" t="str">
        <f>VLOOKUP(H600,'Lookup Values'!$C$2:$D$13,2,FALSE)</f>
        <v>JUN</v>
      </c>
      <c r="J600" s="76">
        <f t="shared" si="178"/>
        <v>16</v>
      </c>
      <c r="K600" s="76">
        <f t="shared" si="179"/>
        <v>5</v>
      </c>
      <c r="L600" s="76" t="str">
        <f>VLOOKUP(K600,'Lookup Values'!$F$2:$G$8,2,FALSE)</f>
        <v>Thursday</v>
      </c>
      <c r="M600" s="3">
        <v>40718</v>
      </c>
      <c r="N600" s="78">
        <f t="shared" si="172"/>
        <v>8</v>
      </c>
      <c r="O600" s="11">
        <v>0.26540877961282938</v>
      </c>
      <c r="P600" s="94">
        <f t="shared" si="180"/>
        <v>6</v>
      </c>
      <c r="Q600" s="94">
        <f t="shared" si="181"/>
        <v>22</v>
      </c>
      <c r="R600" s="94">
        <f t="shared" si="182"/>
        <v>11</v>
      </c>
      <c r="S600" s="94" t="str">
        <f>VLOOKUP(O600,'Lookup Values'!$I$2:$L$8,4,TRUE)</f>
        <v>Early Morning</v>
      </c>
      <c r="T600" t="s">
        <v>80</v>
      </c>
      <c r="U600" t="s">
        <v>81</v>
      </c>
      <c r="V600" t="str">
        <f t="shared" si="183"/>
        <v>Food: Restaurants</v>
      </c>
      <c r="W600" t="s">
        <v>79</v>
      </c>
      <c r="X600" t="s">
        <v>78</v>
      </c>
      <c r="Y600" s="1">
        <v>478</v>
      </c>
      <c r="Z600" s="1" t="str">
        <f t="shared" si="184"/>
        <v>Food: $478.00</v>
      </c>
      <c r="AA600" s="1">
        <f>IF(Y600="","",ROUND(Y600*'Lookup Values'!$A$2,2))</f>
        <v>42.42</v>
      </c>
      <c r="AB600" s="12" t="str">
        <f t="shared" si="185"/>
        <v>Expense</v>
      </c>
      <c r="AC600" s="2" t="s">
        <v>685</v>
      </c>
      <c r="AD600" s="3">
        <f t="shared" si="186"/>
        <v>40710</v>
      </c>
      <c r="AE600" s="93" t="str">
        <f t="shared" si="187"/>
        <v>NO</v>
      </c>
      <c r="AF600" s="2" t="str">
        <f t="shared" si="188"/>
        <v>NO</v>
      </c>
      <c r="AG600" t="str">
        <f t="shared" si="189"/>
        <v>CRAP Transaction</v>
      </c>
    </row>
    <row r="601" spans="1:33" x14ac:dyDescent="0.25">
      <c r="A601" s="2">
        <v>600</v>
      </c>
      <c r="B601" s="3" t="str">
        <f t="shared" si="171"/>
        <v>100905-EN-MOE</v>
      </c>
      <c r="C601" s="3">
        <v>40426</v>
      </c>
      <c r="D601" s="3">
        <f t="shared" si="173"/>
        <v>40438</v>
      </c>
      <c r="E601" s="3">
        <f t="shared" si="174"/>
        <v>40487</v>
      </c>
      <c r="F601" s="3">
        <f t="shared" si="175"/>
        <v>40451</v>
      </c>
      <c r="G601" s="76">
        <f t="shared" si="176"/>
        <v>2010</v>
      </c>
      <c r="H601" s="76">
        <f t="shared" si="177"/>
        <v>9</v>
      </c>
      <c r="I601" s="76" t="str">
        <f>VLOOKUP(H601,'Lookup Values'!$C$2:$D$13,2,FALSE)</f>
        <v>SEP</v>
      </c>
      <c r="J601" s="76">
        <f t="shared" si="178"/>
        <v>5</v>
      </c>
      <c r="K601" s="76">
        <f t="shared" si="179"/>
        <v>1</v>
      </c>
      <c r="L601" s="76" t="str">
        <f>VLOOKUP(K601,'Lookup Values'!$F$2:$G$8,2,FALSE)</f>
        <v>Sunday</v>
      </c>
      <c r="M601" s="3">
        <v>40428</v>
      </c>
      <c r="N601" s="78">
        <f t="shared" si="172"/>
        <v>2</v>
      </c>
      <c r="O601" s="11">
        <v>3.0718606449602115E-2</v>
      </c>
      <c r="P601" s="94">
        <f t="shared" si="180"/>
        <v>0</v>
      </c>
      <c r="Q601" s="94">
        <f t="shared" si="181"/>
        <v>44</v>
      </c>
      <c r="R601" s="94">
        <f t="shared" si="182"/>
        <v>14</v>
      </c>
      <c r="S601" s="94" t="str">
        <f>VLOOKUP(O601,'Lookup Values'!$I$2:$L$8,4,TRUE)</f>
        <v>Dead of Night</v>
      </c>
      <c r="T601" t="s">
        <v>76</v>
      </c>
      <c r="U601" t="s">
        <v>77</v>
      </c>
      <c r="V601" t="str">
        <f t="shared" si="183"/>
        <v>Entertainment: Alcohol</v>
      </c>
      <c r="W601" t="s">
        <v>75</v>
      </c>
      <c r="X601" t="s">
        <v>91</v>
      </c>
      <c r="Y601" s="1">
        <v>162</v>
      </c>
      <c r="Z601" s="1" t="str">
        <f t="shared" si="184"/>
        <v>Entertainment: $162.00</v>
      </c>
      <c r="AA601" s="1">
        <f>IF(Y601="","",ROUND(Y601*'Lookup Values'!$A$2,2))</f>
        <v>14.38</v>
      </c>
      <c r="AB601" s="12" t="str">
        <f t="shared" si="185"/>
        <v>Expense</v>
      </c>
      <c r="AC601" s="2" t="s">
        <v>460</v>
      </c>
      <c r="AD601" s="3">
        <f t="shared" si="186"/>
        <v>40426</v>
      </c>
      <c r="AE601" s="93" t="str">
        <f t="shared" si="187"/>
        <v>NO</v>
      </c>
      <c r="AF601" s="2" t="str">
        <f t="shared" si="188"/>
        <v>NO</v>
      </c>
      <c r="AG601" t="str">
        <f t="shared" si="189"/>
        <v>CRAP Transaction</v>
      </c>
    </row>
    <row r="602" spans="1:33" x14ac:dyDescent="0.25">
      <c r="A602" s="2">
        <v>601</v>
      </c>
      <c r="B602" s="3" t="str">
        <f t="shared" si="171"/>
        <v>100818-FO-CIT</v>
      </c>
      <c r="C602" s="3">
        <v>40408</v>
      </c>
      <c r="D602" s="3">
        <f t="shared" si="173"/>
        <v>40422</v>
      </c>
      <c r="E602" s="3">
        <f t="shared" si="174"/>
        <v>40469</v>
      </c>
      <c r="F602" s="3">
        <f t="shared" si="175"/>
        <v>40421</v>
      </c>
      <c r="G602" s="76">
        <f t="shared" si="176"/>
        <v>2010</v>
      </c>
      <c r="H602" s="76">
        <f t="shared" si="177"/>
        <v>8</v>
      </c>
      <c r="I602" s="76" t="str">
        <f>VLOOKUP(H602,'Lookup Values'!$C$2:$D$13,2,FALSE)</f>
        <v>AUG</v>
      </c>
      <c r="J602" s="76">
        <f t="shared" si="178"/>
        <v>18</v>
      </c>
      <c r="K602" s="76">
        <f t="shared" si="179"/>
        <v>4</v>
      </c>
      <c r="L602" s="76" t="str">
        <f>VLOOKUP(K602,'Lookup Values'!$F$2:$G$8,2,FALSE)</f>
        <v>Wednesday</v>
      </c>
      <c r="M602" s="3">
        <v>40418</v>
      </c>
      <c r="N602" s="78">
        <f t="shared" si="172"/>
        <v>10</v>
      </c>
      <c r="O602" s="11">
        <v>0.60625749655227479</v>
      </c>
      <c r="P602" s="94">
        <f t="shared" si="180"/>
        <v>14</v>
      </c>
      <c r="Q602" s="94">
        <f t="shared" si="181"/>
        <v>33</v>
      </c>
      <c r="R602" s="94">
        <f t="shared" si="182"/>
        <v>1</v>
      </c>
      <c r="S602" s="94" t="str">
        <f>VLOOKUP(O602,'Lookup Values'!$I$2:$L$8,4,TRUE)</f>
        <v>Afternoon</v>
      </c>
      <c r="T602" t="s">
        <v>80</v>
      </c>
      <c r="U602" t="s">
        <v>105</v>
      </c>
      <c r="V602" t="str">
        <f t="shared" si="183"/>
        <v>Food: Coffee</v>
      </c>
      <c r="W602" t="s">
        <v>104</v>
      </c>
      <c r="X602" t="s">
        <v>88</v>
      </c>
      <c r="Y602" s="1">
        <v>445</v>
      </c>
      <c r="Z602" s="1" t="str">
        <f t="shared" si="184"/>
        <v>Food: $445.00</v>
      </c>
      <c r="AA602" s="1">
        <f>IF(Y602="","",ROUND(Y602*'Lookup Values'!$A$2,2))</f>
        <v>39.49</v>
      </c>
      <c r="AB602" s="12" t="str">
        <f t="shared" si="185"/>
        <v>Expense</v>
      </c>
      <c r="AC602" s="2" t="s">
        <v>497</v>
      </c>
      <c r="AD602" s="3">
        <f t="shared" si="186"/>
        <v>40408</v>
      </c>
      <c r="AE602" s="93" t="str">
        <f t="shared" si="187"/>
        <v>NO</v>
      </c>
      <c r="AF602" s="2" t="str">
        <f t="shared" si="188"/>
        <v>NO</v>
      </c>
      <c r="AG602" t="str">
        <f t="shared" si="189"/>
        <v>Late Transaction</v>
      </c>
    </row>
    <row r="603" spans="1:33" x14ac:dyDescent="0.25">
      <c r="A603" s="2">
        <v>602</v>
      </c>
      <c r="B603" s="3" t="str">
        <f t="shared" si="171"/>
        <v>100730-SH-AMA</v>
      </c>
      <c r="C603" s="3">
        <v>40389</v>
      </c>
      <c r="D603" s="3">
        <f t="shared" si="173"/>
        <v>40403</v>
      </c>
      <c r="E603" s="3">
        <f t="shared" si="174"/>
        <v>40451</v>
      </c>
      <c r="F603" s="3">
        <f t="shared" si="175"/>
        <v>40390</v>
      </c>
      <c r="G603" s="76">
        <f t="shared" si="176"/>
        <v>2010</v>
      </c>
      <c r="H603" s="76">
        <f t="shared" si="177"/>
        <v>7</v>
      </c>
      <c r="I603" s="76" t="str">
        <f>VLOOKUP(H603,'Lookup Values'!$C$2:$D$13,2,FALSE)</f>
        <v>JUL</v>
      </c>
      <c r="J603" s="76">
        <f t="shared" si="178"/>
        <v>30</v>
      </c>
      <c r="K603" s="76">
        <f t="shared" si="179"/>
        <v>6</v>
      </c>
      <c r="L603" s="76" t="str">
        <f>VLOOKUP(K603,'Lookup Values'!$F$2:$G$8,2,FALSE)</f>
        <v>Friday</v>
      </c>
      <c r="M603" s="3">
        <v>40396</v>
      </c>
      <c r="N603" s="78">
        <f t="shared" si="172"/>
        <v>7</v>
      </c>
      <c r="O603" s="11">
        <v>0.17020825657152483</v>
      </c>
      <c r="P603" s="94">
        <f t="shared" si="180"/>
        <v>4</v>
      </c>
      <c r="Q603" s="94">
        <f t="shared" si="181"/>
        <v>5</v>
      </c>
      <c r="R603" s="94">
        <f t="shared" si="182"/>
        <v>6</v>
      </c>
      <c r="S603" s="94" t="str">
        <f>VLOOKUP(O603,'Lookup Values'!$I$2:$L$8,4,TRUE)</f>
        <v>Early Morning</v>
      </c>
      <c r="T603" t="s">
        <v>83</v>
      </c>
      <c r="U603" t="s">
        <v>84</v>
      </c>
      <c r="V603" t="str">
        <f t="shared" si="183"/>
        <v>Shopping: Electronics</v>
      </c>
      <c r="W603" t="s">
        <v>82</v>
      </c>
      <c r="X603" t="s">
        <v>91</v>
      </c>
      <c r="Y603" s="1">
        <v>331</v>
      </c>
      <c r="Z603" s="1" t="str">
        <f t="shared" si="184"/>
        <v>Shopping: $331.00</v>
      </c>
      <c r="AA603" s="1">
        <f>IF(Y603="","",ROUND(Y603*'Lookup Values'!$A$2,2))</f>
        <v>29.38</v>
      </c>
      <c r="AB603" s="12" t="str">
        <f t="shared" si="185"/>
        <v>Expense</v>
      </c>
      <c r="AC603" s="2" t="s">
        <v>686</v>
      </c>
      <c r="AD603" s="3">
        <f t="shared" si="186"/>
        <v>40389</v>
      </c>
      <c r="AE603" s="93" t="str">
        <f t="shared" si="187"/>
        <v>YES</v>
      </c>
      <c r="AF603" s="2" t="str">
        <f t="shared" si="188"/>
        <v>NO</v>
      </c>
      <c r="AG603" t="str">
        <f t="shared" si="189"/>
        <v>Late Transaction</v>
      </c>
    </row>
    <row r="604" spans="1:33" x14ac:dyDescent="0.25">
      <c r="A604" s="2">
        <v>603</v>
      </c>
      <c r="B604" s="3" t="str">
        <f t="shared" si="171"/>
        <v>070307-IN-AUN</v>
      </c>
      <c r="C604" s="3">
        <v>39148</v>
      </c>
      <c r="D604" s="3">
        <f t="shared" si="173"/>
        <v>39162</v>
      </c>
      <c r="E604" s="3">
        <f t="shared" si="174"/>
        <v>39209</v>
      </c>
      <c r="F604" s="3">
        <f t="shared" si="175"/>
        <v>39172</v>
      </c>
      <c r="G604" s="76">
        <f t="shared" si="176"/>
        <v>2007</v>
      </c>
      <c r="H604" s="76">
        <f t="shared" si="177"/>
        <v>3</v>
      </c>
      <c r="I604" s="76" t="str">
        <f>VLOOKUP(H604,'Lookup Values'!$C$2:$D$13,2,FALSE)</f>
        <v>MAR</v>
      </c>
      <c r="J604" s="76">
        <f t="shared" si="178"/>
        <v>7</v>
      </c>
      <c r="K604" s="76">
        <f t="shared" si="179"/>
        <v>4</v>
      </c>
      <c r="L604" s="76" t="str">
        <f>VLOOKUP(K604,'Lookup Values'!$F$2:$G$8,2,FALSE)</f>
        <v>Wednesday</v>
      </c>
      <c r="M604" s="3">
        <v>39149</v>
      </c>
      <c r="N604" s="78">
        <f t="shared" si="172"/>
        <v>1</v>
      </c>
      <c r="O604" s="11">
        <v>0.3119314769928303</v>
      </c>
      <c r="P604" s="94">
        <f t="shared" si="180"/>
        <v>7</v>
      </c>
      <c r="Q604" s="94">
        <f t="shared" si="181"/>
        <v>29</v>
      </c>
      <c r="R604" s="94">
        <f t="shared" si="182"/>
        <v>11</v>
      </c>
      <c r="S604" s="94" t="str">
        <f>VLOOKUP(O604,'Lookup Values'!$I$2:$L$8,4,TRUE)</f>
        <v>Morning</v>
      </c>
      <c r="T604" t="s">
        <v>158</v>
      </c>
      <c r="U604" t="s">
        <v>161</v>
      </c>
      <c r="V604" t="str">
        <f t="shared" si="183"/>
        <v>Income: Gift Received</v>
      </c>
      <c r="W604" t="s">
        <v>164</v>
      </c>
      <c r="X604" t="s">
        <v>91</v>
      </c>
      <c r="Y604" s="1">
        <v>431</v>
      </c>
      <c r="Z604" s="1" t="str">
        <f t="shared" si="184"/>
        <v>Income: $431.00</v>
      </c>
      <c r="AA604" s="1">
        <f>IF(Y604="","",ROUND(Y604*'Lookup Values'!$A$2,2))</f>
        <v>38.25</v>
      </c>
      <c r="AB604" s="12" t="str">
        <f t="shared" si="185"/>
        <v>Income</v>
      </c>
      <c r="AC604" s="2" t="s">
        <v>687</v>
      </c>
      <c r="AD604" s="3">
        <f t="shared" si="186"/>
        <v>39148</v>
      </c>
      <c r="AE604" s="93" t="str">
        <f t="shared" si="187"/>
        <v>NO</v>
      </c>
      <c r="AF604" s="2" t="str">
        <f t="shared" si="188"/>
        <v>NO</v>
      </c>
      <c r="AG604" t="str">
        <f t="shared" si="189"/>
        <v>Late Transaction</v>
      </c>
    </row>
    <row r="605" spans="1:33" x14ac:dyDescent="0.25">
      <c r="A605" s="2">
        <v>604</v>
      </c>
      <c r="B605" s="3" t="str">
        <f t="shared" si="171"/>
        <v>070507-FO-TRA</v>
      </c>
      <c r="C605" s="3">
        <v>39209</v>
      </c>
      <c r="D605" s="3">
        <f t="shared" si="173"/>
        <v>39223</v>
      </c>
      <c r="E605" s="3">
        <f t="shared" si="174"/>
        <v>39270</v>
      </c>
      <c r="F605" s="3">
        <f t="shared" si="175"/>
        <v>39233</v>
      </c>
      <c r="G605" s="76">
        <f t="shared" si="176"/>
        <v>2007</v>
      </c>
      <c r="H605" s="76">
        <f t="shared" si="177"/>
        <v>5</v>
      </c>
      <c r="I605" s="76" t="str">
        <f>VLOOKUP(H605,'Lookup Values'!$C$2:$D$13,2,FALSE)</f>
        <v>MAY</v>
      </c>
      <c r="J605" s="76">
        <f t="shared" si="178"/>
        <v>7</v>
      </c>
      <c r="K605" s="76">
        <f t="shared" si="179"/>
        <v>2</v>
      </c>
      <c r="L605" s="76" t="str">
        <f>VLOOKUP(K605,'Lookup Values'!$F$2:$G$8,2,FALSE)</f>
        <v>Monday</v>
      </c>
      <c r="M605" s="3">
        <v>39212</v>
      </c>
      <c r="N605" s="78">
        <f t="shared" si="172"/>
        <v>3</v>
      </c>
      <c r="O605" s="11">
        <v>0.79308226606535992</v>
      </c>
      <c r="P605" s="94">
        <f t="shared" si="180"/>
        <v>19</v>
      </c>
      <c r="Q605" s="94">
        <f t="shared" si="181"/>
        <v>2</v>
      </c>
      <c r="R605" s="94">
        <f t="shared" si="182"/>
        <v>2</v>
      </c>
      <c r="S605" s="94" t="str">
        <f>VLOOKUP(O605,'Lookup Values'!$I$2:$L$8,4,TRUE)</f>
        <v>Evening</v>
      </c>
      <c r="T605" t="s">
        <v>80</v>
      </c>
      <c r="U605" t="s">
        <v>93</v>
      </c>
      <c r="V605" t="str">
        <f t="shared" si="183"/>
        <v>Food: Groceries</v>
      </c>
      <c r="W605" t="s">
        <v>92</v>
      </c>
      <c r="X605" t="s">
        <v>88</v>
      </c>
      <c r="Y605" s="1">
        <v>499</v>
      </c>
      <c r="Z605" s="1" t="str">
        <f t="shared" si="184"/>
        <v>Food: $499.00</v>
      </c>
      <c r="AA605" s="1">
        <f>IF(Y605="","",ROUND(Y605*'Lookup Values'!$A$2,2))</f>
        <v>44.29</v>
      </c>
      <c r="AB605" s="12" t="str">
        <f t="shared" si="185"/>
        <v>Expense</v>
      </c>
      <c r="AC605" s="2" t="s">
        <v>688</v>
      </c>
      <c r="AD605" s="3">
        <f t="shared" si="186"/>
        <v>39209</v>
      </c>
      <c r="AE605" s="93" t="str">
        <f t="shared" si="187"/>
        <v>NO</v>
      </c>
      <c r="AF605" s="2" t="str">
        <f t="shared" si="188"/>
        <v>NO</v>
      </c>
      <c r="AG605" t="str">
        <f t="shared" si="189"/>
        <v>Awesome Transaction</v>
      </c>
    </row>
    <row r="606" spans="1:33" x14ac:dyDescent="0.25">
      <c r="A606" s="2">
        <v>605</v>
      </c>
      <c r="B606" s="3" t="str">
        <f t="shared" si="171"/>
        <v>120709-FO-BAN</v>
      </c>
      <c r="C606" s="3">
        <v>41099</v>
      </c>
      <c r="D606" s="3">
        <f t="shared" si="173"/>
        <v>41113</v>
      </c>
      <c r="E606" s="3">
        <f t="shared" si="174"/>
        <v>41161</v>
      </c>
      <c r="F606" s="3">
        <f t="shared" si="175"/>
        <v>41121</v>
      </c>
      <c r="G606" s="76">
        <f t="shared" si="176"/>
        <v>2012</v>
      </c>
      <c r="H606" s="76">
        <f t="shared" si="177"/>
        <v>7</v>
      </c>
      <c r="I606" s="76" t="str">
        <f>VLOOKUP(H606,'Lookup Values'!$C$2:$D$13,2,FALSE)</f>
        <v>JUL</v>
      </c>
      <c r="J606" s="76">
        <f t="shared" si="178"/>
        <v>9</v>
      </c>
      <c r="K606" s="76">
        <f t="shared" si="179"/>
        <v>2</v>
      </c>
      <c r="L606" s="76" t="str">
        <f>VLOOKUP(K606,'Lookup Values'!$F$2:$G$8,2,FALSE)</f>
        <v>Monday</v>
      </c>
      <c r="M606" s="3">
        <v>41105</v>
      </c>
      <c r="N606" s="78">
        <f t="shared" si="172"/>
        <v>6</v>
      </c>
      <c r="O606" s="11">
        <v>0.20558695897797541</v>
      </c>
      <c r="P606" s="94">
        <f t="shared" si="180"/>
        <v>4</v>
      </c>
      <c r="Q606" s="94">
        <f t="shared" si="181"/>
        <v>56</v>
      </c>
      <c r="R606" s="94">
        <f t="shared" si="182"/>
        <v>3</v>
      </c>
      <c r="S606" s="94" t="str">
        <f>VLOOKUP(O606,'Lookup Values'!$I$2:$L$8,4,TRUE)</f>
        <v>Early Morning</v>
      </c>
      <c r="T606" t="s">
        <v>80</v>
      </c>
      <c r="U606" t="s">
        <v>81</v>
      </c>
      <c r="V606" t="str">
        <f t="shared" si="183"/>
        <v>Food: Restaurants</v>
      </c>
      <c r="W606" t="s">
        <v>79</v>
      </c>
      <c r="X606" t="s">
        <v>88</v>
      </c>
      <c r="Y606" s="1">
        <v>54</v>
      </c>
      <c r="Z606" s="1" t="str">
        <f t="shared" si="184"/>
        <v>Food: $54.00</v>
      </c>
      <c r="AA606" s="1">
        <f>IF(Y606="","",ROUND(Y606*'Lookup Values'!$A$2,2))</f>
        <v>4.79</v>
      </c>
      <c r="AB606" s="12" t="str">
        <f t="shared" si="185"/>
        <v>Expense</v>
      </c>
      <c r="AC606" s="2" t="s">
        <v>572</v>
      </c>
      <c r="AD606" s="3">
        <f t="shared" si="186"/>
        <v>41099</v>
      </c>
      <c r="AE606" s="93" t="str">
        <f t="shared" si="187"/>
        <v>NO</v>
      </c>
      <c r="AF606" s="2" t="str">
        <f t="shared" si="188"/>
        <v>NO</v>
      </c>
      <c r="AG606" t="str">
        <f t="shared" si="189"/>
        <v>CRAP Transaction</v>
      </c>
    </row>
    <row r="607" spans="1:33" x14ac:dyDescent="0.25">
      <c r="A607" s="2">
        <v>606</v>
      </c>
      <c r="B607" s="3" t="str">
        <f t="shared" si="171"/>
        <v>120703-ED-SKI</v>
      </c>
      <c r="C607" s="3">
        <v>41093</v>
      </c>
      <c r="D607" s="3">
        <f t="shared" si="173"/>
        <v>41107</v>
      </c>
      <c r="E607" s="3">
        <f t="shared" si="174"/>
        <v>41155</v>
      </c>
      <c r="F607" s="3">
        <f t="shared" si="175"/>
        <v>41121</v>
      </c>
      <c r="G607" s="76">
        <f t="shared" si="176"/>
        <v>2012</v>
      </c>
      <c r="H607" s="76">
        <f t="shared" si="177"/>
        <v>7</v>
      </c>
      <c r="I607" s="76" t="str">
        <f>VLOOKUP(H607,'Lookup Values'!$C$2:$D$13,2,FALSE)</f>
        <v>JUL</v>
      </c>
      <c r="J607" s="76">
        <f t="shared" si="178"/>
        <v>3</v>
      </c>
      <c r="K607" s="76">
        <f t="shared" si="179"/>
        <v>3</v>
      </c>
      <c r="L607" s="76" t="str">
        <f>VLOOKUP(K607,'Lookup Values'!$F$2:$G$8,2,FALSE)</f>
        <v>Tuesday</v>
      </c>
      <c r="M607" s="3">
        <v>41103</v>
      </c>
      <c r="N607" s="78">
        <f t="shared" si="172"/>
        <v>10</v>
      </c>
      <c r="O607" s="11">
        <v>0.76114188576020092</v>
      </c>
      <c r="P607" s="94">
        <f t="shared" si="180"/>
        <v>18</v>
      </c>
      <c r="Q607" s="94">
        <f t="shared" si="181"/>
        <v>16</v>
      </c>
      <c r="R607" s="94">
        <f t="shared" si="182"/>
        <v>3</v>
      </c>
      <c r="S607" s="94" t="str">
        <f>VLOOKUP(O607,'Lookup Values'!$I$2:$L$8,4,TRUE)</f>
        <v>Evening</v>
      </c>
      <c r="T607" t="s">
        <v>86</v>
      </c>
      <c r="U607" t="s">
        <v>98</v>
      </c>
      <c r="V607" t="str">
        <f t="shared" si="183"/>
        <v>Education: Professional Development</v>
      </c>
      <c r="W607" t="s">
        <v>97</v>
      </c>
      <c r="X607" t="s">
        <v>91</v>
      </c>
      <c r="Y607" s="1">
        <v>351</v>
      </c>
      <c r="Z607" s="1" t="str">
        <f t="shared" si="184"/>
        <v>Education: $351.00</v>
      </c>
      <c r="AA607" s="1">
        <f>IF(Y607="","",ROUND(Y607*'Lookup Values'!$A$2,2))</f>
        <v>31.15</v>
      </c>
      <c r="AB607" s="12" t="str">
        <f t="shared" si="185"/>
        <v>Expense</v>
      </c>
      <c r="AC607" s="2" t="s">
        <v>689</v>
      </c>
      <c r="AD607" s="3">
        <f t="shared" si="186"/>
        <v>41093</v>
      </c>
      <c r="AE607" s="93" t="str">
        <f t="shared" si="187"/>
        <v>YES</v>
      </c>
      <c r="AF607" s="2" t="str">
        <f t="shared" si="188"/>
        <v>NO</v>
      </c>
      <c r="AG607" t="str">
        <f t="shared" si="189"/>
        <v>CRAP Transaction</v>
      </c>
    </row>
    <row r="608" spans="1:33" x14ac:dyDescent="0.25">
      <c r="A608" s="2">
        <v>607</v>
      </c>
      <c r="B608" s="3" t="str">
        <f t="shared" si="171"/>
        <v>120621-EN-MOE</v>
      </c>
      <c r="C608" s="3">
        <v>41081</v>
      </c>
      <c r="D608" s="3">
        <f t="shared" si="173"/>
        <v>41095</v>
      </c>
      <c r="E608" s="3">
        <f t="shared" si="174"/>
        <v>41142</v>
      </c>
      <c r="F608" s="3">
        <f t="shared" si="175"/>
        <v>41090</v>
      </c>
      <c r="G608" s="76">
        <f t="shared" si="176"/>
        <v>2012</v>
      </c>
      <c r="H608" s="76">
        <f t="shared" si="177"/>
        <v>6</v>
      </c>
      <c r="I608" s="76" t="str">
        <f>VLOOKUP(H608,'Lookup Values'!$C$2:$D$13,2,FALSE)</f>
        <v>JUN</v>
      </c>
      <c r="J608" s="76">
        <f t="shared" si="178"/>
        <v>21</v>
      </c>
      <c r="K608" s="76">
        <f t="shared" si="179"/>
        <v>5</v>
      </c>
      <c r="L608" s="76" t="str">
        <f>VLOOKUP(K608,'Lookup Values'!$F$2:$G$8,2,FALSE)</f>
        <v>Thursday</v>
      </c>
      <c r="M608" s="3">
        <v>41090</v>
      </c>
      <c r="N608" s="78">
        <f t="shared" si="172"/>
        <v>9</v>
      </c>
      <c r="O608" s="11">
        <v>0.71572825078344959</v>
      </c>
      <c r="P608" s="94">
        <f t="shared" si="180"/>
        <v>17</v>
      </c>
      <c r="Q608" s="94">
        <f t="shared" si="181"/>
        <v>10</v>
      </c>
      <c r="R608" s="94">
        <f t="shared" si="182"/>
        <v>39</v>
      </c>
      <c r="S608" s="94" t="str">
        <f>VLOOKUP(O608,'Lookup Values'!$I$2:$L$8,4,TRUE)</f>
        <v>Evening</v>
      </c>
      <c r="T608" t="s">
        <v>76</v>
      </c>
      <c r="U608" t="s">
        <v>77</v>
      </c>
      <c r="V608" t="str">
        <f t="shared" si="183"/>
        <v>Entertainment: Alcohol</v>
      </c>
      <c r="W608" t="s">
        <v>75</v>
      </c>
      <c r="X608" t="s">
        <v>78</v>
      </c>
      <c r="Y608" s="1">
        <v>278</v>
      </c>
      <c r="Z608" s="1" t="str">
        <f t="shared" si="184"/>
        <v>Entertainment: $278.00</v>
      </c>
      <c r="AA608" s="1">
        <f>IF(Y608="","",ROUND(Y608*'Lookup Values'!$A$2,2))</f>
        <v>24.67</v>
      </c>
      <c r="AB608" s="12" t="str">
        <f t="shared" si="185"/>
        <v>Expense</v>
      </c>
      <c r="AC608" s="2" t="s">
        <v>690</v>
      </c>
      <c r="AD608" s="3">
        <f t="shared" si="186"/>
        <v>41081</v>
      </c>
      <c r="AE608" s="93" t="str">
        <f t="shared" si="187"/>
        <v>NO</v>
      </c>
      <c r="AF608" s="2" t="str">
        <f t="shared" si="188"/>
        <v>NO</v>
      </c>
      <c r="AG608" t="str">
        <f t="shared" si="189"/>
        <v>CRAP Transaction</v>
      </c>
    </row>
    <row r="609" spans="1:33" x14ac:dyDescent="0.25">
      <c r="A609" s="2">
        <v>608</v>
      </c>
      <c r="B609" s="3" t="str">
        <f t="shared" si="171"/>
        <v>101116-EN-MOE</v>
      </c>
      <c r="C609" s="3">
        <v>40498</v>
      </c>
      <c r="D609" s="3">
        <f t="shared" si="173"/>
        <v>40512</v>
      </c>
      <c r="E609" s="3">
        <f t="shared" si="174"/>
        <v>40559</v>
      </c>
      <c r="F609" s="3">
        <f t="shared" si="175"/>
        <v>40512</v>
      </c>
      <c r="G609" s="76">
        <f t="shared" si="176"/>
        <v>2010</v>
      </c>
      <c r="H609" s="76">
        <f t="shared" si="177"/>
        <v>11</v>
      </c>
      <c r="I609" s="76" t="str">
        <f>VLOOKUP(H609,'Lookup Values'!$C$2:$D$13,2,FALSE)</f>
        <v>NOV</v>
      </c>
      <c r="J609" s="76">
        <f t="shared" si="178"/>
        <v>16</v>
      </c>
      <c r="K609" s="76">
        <f t="shared" si="179"/>
        <v>3</v>
      </c>
      <c r="L609" s="76" t="str">
        <f>VLOOKUP(K609,'Lookup Values'!$F$2:$G$8,2,FALSE)</f>
        <v>Tuesday</v>
      </c>
      <c r="M609" s="3">
        <v>40502</v>
      </c>
      <c r="N609" s="78">
        <f t="shared" si="172"/>
        <v>4</v>
      </c>
      <c r="O609" s="11">
        <v>0.3290934447013818</v>
      </c>
      <c r="P609" s="94">
        <f t="shared" si="180"/>
        <v>7</v>
      </c>
      <c r="Q609" s="94">
        <f t="shared" si="181"/>
        <v>53</v>
      </c>
      <c r="R609" s="94">
        <f t="shared" si="182"/>
        <v>54</v>
      </c>
      <c r="S609" s="94" t="str">
        <f>VLOOKUP(O609,'Lookup Values'!$I$2:$L$8,4,TRUE)</f>
        <v>Morning</v>
      </c>
      <c r="T609" t="s">
        <v>76</v>
      </c>
      <c r="U609" t="s">
        <v>77</v>
      </c>
      <c r="V609" t="str">
        <f t="shared" si="183"/>
        <v>Entertainment: Alcohol</v>
      </c>
      <c r="W609" t="s">
        <v>75</v>
      </c>
      <c r="X609" t="s">
        <v>78</v>
      </c>
      <c r="Y609" s="1">
        <v>305</v>
      </c>
      <c r="Z609" s="1" t="str">
        <f t="shared" si="184"/>
        <v>Entertainment: $305.00</v>
      </c>
      <c r="AA609" s="1">
        <f>IF(Y609="","",ROUND(Y609*'Lookup Values'!$A$2,2))</f>
        <v>27.07</v>
      </c>
      <c r="AB609" s="12" t="str">
        <f t="shared" si="185"/>
        <v>Expense</v>
      </c>
      <c r="AC609" s="2" t="s">
        <v>691</v>
      </c>
      <c r="AD609" s="3">
        <f t="shared" si="186"/>
        <v>40498</v>
      </c>
      <c r="AE609" s="93" t="str">
        <f t="shared" si="187"/>
        <v>NO</v>
      </c>
      <c r="AF609" s="2" t="str">
        <f t="shared" si="188"/>
        <v>NO</v>
      </c>
      <c r="AG609" t="str">
        <f t="shared" si="189"/>
        <v>CRAP Transaction</v>
      </c>
    </row>
    <row r="610" spans="1:33" x14ac:dyDescent="0.25">
      <c r="A610" s="2">
        <v>609</v>
      </c>
      <c r="B610" s="3" t="str">
        <f t="shared" si="171"/>
        <v>070912-EN-FAN</v>
      </c>
      <c r="C610" s="3">
        <v>39337</v>
      </c>
      <c r="D610" s="3">
        <f t="shared" si="173"/>
        <v>39351</v>
      </c>
      <c r="E610" s="3">
        <f t="shared" si="174"/>
        <v>39398</v>
      </c>
      <c r="F610" s="3">
        <f t="shared" si="175"/>
        <v>39355</v>
      </c>
      <c r="G610" s="76">
        <f t="shared" si="176"/>
        <v>2007</v>
      </c>
      <c r="H610" s="76">
        <f t="shared" si="177"/>
        <v>9</v>
      </c>
      <c r="I610" s="76" t="str">
        <f>VLOOKUP(H610,'Lookup Values'!$C$2:$D$13,2,FALSE)</f>
        <v>SEP</v>
      </c>
      <c r="J610" s="76">
        <f t="shared" si="178"/>
        <v>12</v>
      </c>
      <c r="K610" s="76">
        <f t="shared" si="179"/>
        <v>4</v>
      </c>
      <c r="L610" s="76" t="str">
        <f>VLOOKUP(K610,'Lookup Values'!$F$2:$G$8,2,FALSE)</f>
        <v>Wednesday</v>
      </c>
      <c r="M610" s="3">
        <v>39345</v>
      </c>
      <c r="N610" s="78">
        <f t="shared" si="172"/>
        <v>8</v>
      </c>
      <c r="O610" s="11">
        <v>0.26613193345588737</v>
      </c>
      <c r="P610" s="94">
        <f t="shared" si="180"/>
        <v>6</v>
      </c>
      <c r="Q610" s="94">
        <f t="shared" si="181"/>
        <v>23</v>
      </c>
      <c r="R610" s="94">
        <f t="shared" si="182"/>
        <v>14</v>
      </c>
      <c r="S610" s="94" t="str">
        <f>VLOOKUP(O610,'Lookup Values'!$I$2:$L$8,4,TRUE)</f>
        <v>Early Morning</v>
      </c>
      <c r="T610" t="s">
        <v>76</v>
      </c>
      <c r="U610" t="s">
        <v>90</v>
      </c>
      <c r="V610" t="str">
        <f t="shared" si="183"/>
        <v>Entertainment: Movies</v>
      </c>
      <c r="W610" t="s">
        <v>89</v>
      </c>
      <c r="X610" t="s">
        <v>88</v>
      </c>
      <c r="Y610" s="1">
        <v>129</v>
      </c>
      <c r="Z610" s="1" t="str">
        <f t="shared" si="184"/>
        <v>Entertainment: $129.00</v>
      </c>
      <c r="AA610" s="1">
        <f>IF(Y610="","",ROUND(Y610*'Lookup Values'!$A$2,2))</f>
        <v>11.45</v>
      </c>
      <c r="AB610" s="12" t="str">
        <f t="shared" si="185"/>
        <v>Expense</v>
      </c>
      <c r="AC610" s="2" t="s">
        <v>692</v>
      </c>
      <c r="AD610" s="3">
        <f t="shared" si="186"/>
        <v>39337</v>
      </c>
      <c r="AE610" s="93" t="str">
        <f t="shared" si="187"/>
        <v>NO</v>
      </c>
      <c r="AF610" s="2" t="str">
        <f t="shared" si="188"/>
        <v>NO</v>
      </c>
      <c r="AG610" t="str">
        <f t="shared" si="189"/>
        <v>Awesome Transaction</v>
      </c>
    </row>
    <row r="611" spans="1:33" x14ac:dyDescent="0.25">
      <c r="A611" s="2">
        <v>610</v>
      </c>
      <c r="B611" s="3" t="str">
        <f t="shared" si="171"/>
        <v>110822-EN-FAN</v>
      </c>
      <c r="C611" s="3">
        <v>40777</v>
      </c>
      <c r="D611" s="3">
        <f t="shared" si="173"/>
        <v>40791</v>
      </c>
      <c r="E611" s="3">
        <f t="shared" si="174"/>
        <v>40838</v>
      </c>
      <c r="F611" s="3">
        <f t="shared" si="175"/>
        <v>40786</v>
      </c>
      <c r="G611" s="76">
        <f t="shared" si="176"/>
        <v>2011</v>
      </c>
      <c r="H611" s="76">
        <f t="shared" si="177"/>
        <v>8</v>
      </c>
      <c r="I611" s="76" t="str">
        <f>VLOOKUP(H611,'Lookup Values'!$C$2:$D$13,2,FALSE)</f>
        <v>AUG</v>
      </c>
      <c r="J611" s="76">
        <f t="shared" si="178"/>
        <v>22</v>
      </c>
      <c r="K611" s="76">
        <f t="shared" si="179"/>
        <v>2</v>
      </c>
      <c r="L611" s="76" t="str">
        <f>VLOOKUP(K611,'Lookup Values'!$F$2:$G$8,2,FALSE)</f>
        <v>Monday</v>
      </c>
      <c r="M611" s="3">
        <v>40786</v>
      </c>
      <c r="N611" s="78">
        <f t="shared" si="172"/>
        <v>9</v>
      </c>
      <c r="O611" s="11">
        <v>0.62223934450416074</v>
      </c>
      <c r="P611" s="94">
        <f t="shared" si="180"/>
        <v>14</v>
      </c>
      <c r="Q611" s="94">
        <f t="shared" si="181"/>
        <v>56</v>
      </c>
      <c r="R611" s="94">
        <f t="shared" si="182"/>
        <v>1</v>
      </c>
      <c r="S611" s="94" t="str">
        <f>VLOOKUP(O611,'Lookup Values'!$I$2:$L$8,4,TRUE)</f>
        <v>Afternoon</v>
      </c>
      <c r="T611" t="s">
        <v>76</v>
      </c>
      <c r="U611" t="s">
        <v>90</v>
      </c>
      <c r="V611" t="str">
        <f t="shared" si="183"/>
        <v>Entertainment: Movies</v>
      </c>
      <c r="W611" t="s">
        <v>89</v>
      </c>
      <c r="X611" t="s">
        <v>88</v>
      </c>
      <c r="Y611" s="1">
        <v>302</v>
      </c>
      <c r="Z611" s="1" t="str">
        <f t="shared" si="184"/>
        <v>Entertainment: $302.00</v>
      </c>
      <c r="AA611" s="1">
        <f>IF(Y611="","",ROUND(Y611*'Lookup Values'!$A$2,2))</f>
        <v>26.8</v>
      </c>
      <c r="AB611" s="12" t="str">
        <f t="shared" si="185"/>
        <v>Expense</v>
      </c>
      <c r="AC611" s="2" t="s">
        <v>693</v>
      </c>
      <c r="AD611" s="3">
        <f t="shared" si="186"/>
        <v>40777</v>
      </c>
      <c r="AE611" s="93" t="str">
        <f t="shared" si="187"/>
        <v>NO</v>
      </c>
      <c r="AF611" s="2" t="str">
        <f t="shared" si="188"/>
        <v>NO</v>
      </c>
      <c r="AG611" t="str">
        <f t="shared" si="189"/>
        <v>CRAP Transaction</v>
      </c>
    </row>
    <row r="612" spans="1:33" x14ac:dyDescent="0.25">
      <c r="A612" s="2">
        <v>611</v>
      </c>
      <c r="B612" s="3" t="str">
        <f t="shared" si="171"/>
        <v>090801-EN-MOE</v>
      </c>
      <c r="C612" s="3">
        <v>40026</v>
      </c>
      <c r="D612" s="3">
        <f t="shared" si="173"/>
        <v>40039</v>
      </c>
      <c r="E612" s="3">
        <f t="shared" si="174"/>
        <v>40087</v>
      </c>
      <c r="F612" s="3">
        <f t="shared" si="175"/>
        <v>40056</v>
      </c>
      <c r="G612" s="76">
        <f t="shared" si="176"/>
        <v>2009</v>
      </c>
      <c r="H612" s="76">
        <f t="shared" si="177"/>
        <v>8</v>
      </c>
      <c r="I612" s="76" t="str">
        <f>VLOOKUP(H612,'Lookup Values'!$C$2:$D$13,2,FALSE)</f>
        <v>AUG</v>
      </c>
      <c r="J612" s="76">
        <f t="shared" si="178"/>
        <v>1</v>
      </c>
      <c r="K612" s="76">
        <f t="shared" si="179"/>
        <v>7</v>
      </c>
      <c r="L612" s="76" t="str">
        <f>VLOOKUP(K612,'Lookup Values'!$F$2:$G$8,2,FALSE)</f>
        <v>Saturday</v>
      </c>
      <c r="M612" s="3">
        <v>40033</v>
      </c>
      <c r="N612" s="78">
        <f t="shared" si="172"/>
        <v>7</v>
      </c>
      <c r="O612" s="11">
        <v>5.6801229535869302E-2</v>
      </c>
      <c r="P612" s="94">
        <f t="shared" si="180"/>
        <v>1</v>
      </c>
      <c r="Q612" s="94">
        <f t="shared" si="181"/>
        <v>21</v>
      </c>
      <c r="R612" s="94">
        <f t="shared" si="182"/>
        <v>48</v>
      </c>
      <c r="S612" s="94" t="str">
        <f>VLOOKUP(O612,'Lookup Values'!$I$2:$L$8,4,TRUE)</f>
        <v>Dead of Night</v>
      </c>
      <c r="T612" t="s">
        <v>76</v>
      </c>
      <c r="U612" t="s">
        <v>77</v>
      </c>
      <c r="V612" t="str">
        <f t="shared" si="183"/>
        <v>Entertainment: Alcohol</v>
      </c>
      <c r="W612" t="s">
        <v>75</v>
      </c>
      <c r="X612" t="s">
        <v>91</v>
      </c>
      <c r="Y612" s="1">
        <v>344</v>
      </c>
      <c r="Z612" s="1" t="str">
        <f t="shared" si="184"/>
        <v>Entertainment: $344.00</v>
      </c>
      <c r="AA612" s="1">
        <f>IF(Y612="","",ROUND(Y612*'Lookup Values'!$A$2,2))</f>
        <v>30.53</v>
      </c>
      <c r="AB612" s="12" t="str">
        <f t="shared" si="185"/>
        <v>Expense</v>
      </c>
      <c r="AC612" s="2" t="s">
        <v>645</v>
      </c>
      <c r="AD612" s="3">
        <f t="shared" si="186"/>
        <v>40026</v>
      </c>
      <c r="AE612" s="93" t="str">
        <f t="shared" si="187"/>
        <v>NO</v>
      </c>
      <c r="AF612" s="2" t="str">
        <f t="shared" si="188"/>
        <v>NO</v>
      </c>
      <c r="AG612" t="str">
        <f t="shared" si="189"/>
        <v>Awesome Transaction</v>
      </c>
    </row>
    <row r="613" spans="1:33" x14ac:dyDescent="0.25">
      <c r="A613" s="2">
        <v>612</v>
      </c>
      <c r="B613" s="3" t="str">
        <f t="shared" si="171"/>
        <v>090208-FO-TRA</v>
      </c>
      <c r="C613" s="3">
        <v>39852</v>
      </c>
      <c r="D613" s="3">
        <f t="shared" si="173"/>
        <v>39864</v>
      </c>
      <c r="E613" s="3">
        <f t="shared" si="174"/>
        <v>39911</v>
      </c>
      <c r="F613" s="3">
        <f t="shared" si="175"/>
        <v>39872</v>
      </c>
      <c r="G613" s="76">
        <f t="shared" si="176"/>
        <v>2009</v>
      </c>
      <c r="H613" s="76">
        <f t="shared" si="177"/>
        <v>2</v>
      </c>
      <c r="I613" s="76" t="str">
        <f>VLOOKUP(H613,'Lookup Values'!$C$2:$D$13,2,FALSE)</f>
        <v>FEB</v>
      </c>
      <c r="J613" s="76">
        <f t="shared" si="178"/>
        <v>8</v>
      </c>
      <c r="K613" s="76">
        <f t="shared" si="179"/>
        <v>1</v>
      </c>
      <c r="L613" s="76" t="str">
        <f>VLOOKUP(K613,'Lookup Values'!$F$2:$G$8,2,FALSE)</f>
        <v>Sunday</v>
      </c>
      <c r="M613" s="3">
        <v>39853</v>
      </c>
      <c r="N613" s="78">
        <f t="shared" si="172"/>
        <v>1</v>
      </c>
      <c r="O613" s="11">
        <v>0.95399445475501088</v>
      </c>
      <c r="P613" s="94">
        <f t="shared" si="180"/>
        <v>22</v>
      </c>
      <c r="Q613" s="94">
        <f t="shared" si="181"/>
        <v>53</v>
      </c>
      <c r="R613" s="94">
        <f t="shared" si="182"/>
        <v>45</v>
      </c>
      <c r="S613" s="94" t="str">
        <f>VLOOKUP(O613,'Lookup Values'!$I$2:$L$8,4,TRUE)</f>
        <v>Late Evening</v>
      </c>
      <c r="T613" t="s">
        <v>80</v>
      </c>
      <c r="U613" t="s">
        <v>93</v>
      </c>
      <c r="V613" t="str">
        <f t="shared" si="183"/>
        <v>Food: Groceries</v>
      </c>
      <c r="W613" t="s">
        <v>92</v>
      </c>
      <c r="X613" t="s">
        <v>91</v>
      </c>
      <c r="Y613" s="1">
        <v>329</v>
      </c>
      <c r="Z613" s="1" t="str">
        <f t="shared" si="184"/>
        <v>Food: $329.00</v>
      </c>
      <c r="AA613" s="1">
        <f>IF(Y613="","",ROUND(Y613*'Lookup Values'!$A$2,2))</f>
        <v>29.2</v>
      </c>
      <c r="AB613" s="12" t="str">
        <f t="shared" si="185"/>
        <v>Expense</v>
      </c>
      <c r="AC613" s="2" t="s">
        <v>394</v>
      </c>
      <c r="AD613" s="3">
        <f t="shared" si="186"/>
        <v>39852</v>
      </c>
      <c r="AE613" s="93" t="str">
        <f t="shared" si="187"/>
        <v>NO</v>
      </c>
      <c r="AF613" s="2" t="str">
        <f t="shared" si="188"/>
        <v>NO</v>
      </c>
      <c r="AG613" t="str">
        <f t="shared" si="189"/>
        <v>Awesome Transaction</v>
      </c>
    </row>
    <row r="614" spans="1:33" x14ac:dyDescent="0.25">
      <c r="A614" s="2">
        <v>613</v>
      </c>
      <c r="B614" s="3" t="str">
        <f t="shared" si="171"/>
        <v>080229-IN-LEG</v>
      </c>
      <c r="C614" s="3">
        <v>39507</v>
      </c>
      <c r="D614" s="3">
        <f t="shared" si="173"/>
        <v>39521</v>
      </c>
      <c r="E614" s="3">
        <f t="shared" si="174"/>
        <v>39567</v>
      </c>
      <c r="F614" s="3">
        <f t="shared" si="175"/>
        <v>39507</v>
      </c>
      <c r="G614" s="76">
        <f t="shared" si="176"/>
        <v>2008</v>
      </c>
      <c r="H614" s="76">
        <f t="shared" si="177"/>
        <v>2</v>
      </c>
      <c r="I614" s="76" t="str">
        <f>VLOOKUP(H614,'Lookup Values'!$C$2:$D$13,2,FALSE)</f>
        <v>FEB</v>
      </c>
      <c r="J614" s="76">
        <f t="shared" si="178"/>
        <v>29</v>
      </c>
      <c r="K614" s="76">
        <f t="shared" si="179"/>
        <v>6</v>
      </c>
      <c r="L614" s="76" t="str">
        <f>VLOOKUP(K614,'Lookup Values'!$F$2:$G$8,2,FALSE)</f>
        <v>Friday</v>
      </c>
      <c r="M614" s="3">
        <v>39511</v>
      </c>
      <c r="N614" s="78">
        <f t="shared" si="172"/>
        <v>4</v>
      </c>
      <c r="O614" s="11">
        <v>0.10086990374795279</v>
      </c>
      <c r="P614" s="94">
        <f t="shared" si="180"/>
        <v>2</v>
      </c>
      <c r="Q614" s="94">
        <f t="shared" si="181"/>
        <v>25</v>
      </c>
      <c r="R614" s="94">
        <f t="shared" si="182"/>
        <v>15</v>
      </c>
      <c r="S614" s="94" t="str">
        <f>VLOOKUP(O614,'Lookup Values'!$I$2:$L$8,4,TRUE)</f>
        <v>Dead of Night</v>
      </c>
      <c r="T614" t="s">
        <v>158</v>
      </c>
      <c r="U614" t="s">
        <v>160</v>
      </c>
      <c r="V614" t="str">
        <f t="shared" si="183"/>
        <v>Income: Freelance Project</v>
      </c>
      <c r="W614" t="s">
        <v>163</v>
      </c>
      <c r="X614" t="s">
        <v>78</v>
      </c>
      <c r="Y614" s="1">
        <v>12</v>
      </c>
      <c r="Z614" s="1" t="str">
        <f t="shared" si="184"/>
        <v>Income: $12.00</v>
      </c>
      <c r="AA614" s="1">
        <f>IF(Y614="","",ROUND(Y614*'Lookup Values'!$A$2,2))</f>
        <v>1.07</v>
      </c>
      <c r="AB614" s="12" t="str">
        <f t="shared" si="185"/>
        <v>Income</v>
      </c>
      <c r="AC614" s="2" t="s">
        <v>694</v>
      </c>
      <c r="AD614" s="3">
        <f t="shared" si="186"/>
        <v>39507</v>
      </c>
      <c r="AE614" s="93" t="str">
        <f t="shared" si="187"/>
        <v>NO</v>
      </c>
      <c r="AF614" s="2" t="str">
        <f t="shared" si="188"/>
        <v>NO</v>
      </c>
      <c r="AG614" t="str">
        <f t="shared" si="189"/>
        <v>Late Transaction</v>
      </c>
    </row>
    <row r="615" spans="1:33" x14ac:dyDescent="0.25">
      <c r="A615" s="2">
        <v>614</v>
      </c>
      <c r="B615" s="3" t="str">
        <f t="shared" si="171"/>
        <v>081007-SH-AMA</v>
      </c>
      <c r="C615" s="3">
        <v>39728</v>
      </c>
      <c r="D615" s="3">
        <f t="shared" si="173"/>
        <v>39742</v>
      </c>
      <c r="E615" s="3">
        <f t="shared" si="174"/>
        <v>39789</v>
      </c>
      <c r="F615" s="3">
        <f t="shared" si="175"/>
        <v>39752</v>
      </c>
      <c r="G615" s="76">
        <f t="shared" si="176"/>
        <v>2008</v>
      </c>
      <c r="H615" s="76">
        <f t="shared" si="177"/>
        <v>10</v>
      </c>
      <c r="I615" s="76" t="str">
        <f>VLOOKUP(H615,'Lookup Values'!$C$2:$D$13,2,FALSE)</f>
        <v>OCT</v>
      </c>
      <c r="J615" s="76">
        <f t="shared" si="178"/>
        <v>7</v>
      </c>
      <c r="K615" s="76">
        <f t="shared" si="179"/>
        <v>3</v>
      </c>
      <c r="L615" s="76" t="str">
        <f>VLOOKUP(K615,'Lookup Values'!$F$2:$G$8,2,FALSE)</f>
        <v>Tuesday</v>
      </c>
      <c r="M615" s="3">
        <v>39729</v>
      </c>
      <c r="N615" s="78">
        <f t="shared" si="172"/>
        <v>1</v>
      </c>
      <c r="O615" s="11">
        <v>2.5562056856147541E-2</v>
      </c>
      <c r="P615" s="94">
        <f t="shared" si="180"/>
        <v>0</v>
      </c>
      <c r="Q615" s="94">
        <f t="shared" si="181"/>
        <v>36</v>
      </c>
      <c r="R615" s="94">
        <f t="shared" si="182"/>
        <v>49</v>
      </c>
      <c r="S615" s="94" t="str">
        <f>VLOOKUP(O615,'Lookup Values'!$I$2:$L$8,4,TRUE)</f>
        <v>Dead of Night</v>
      </c>
      <c r="T615" t="s">
        <v>83</v>
      </c>
      <c r="U615" t="s">
        <v>84</v>
      </c>
      <c r="V615" t="str">
        <f t="shared" si="183"/>
        <v>Shopping: Electronics</v>
      </c>
      <c r="W615" t="s">
        <v>82</v>
      </c>
      <c r="X615" t="s">
        <v>91</v>
      </c>
      <c r="Y615" s="1">
        <v>277</v>
      </c>
      <c r="Z615" s="1" t="str">
        <f t="shared" si="184"/>
        <v>Shopping: $277.00</v>
      </c>
      <c r="AA615" s="1">
        <f>IF(Y615="","",ROUND(Y615*'Lookup Values'!$A$2,2))</f>
        <v>24.58</v>
      </c>
      <c r="AB615" s="12" t="str">
        <f t="shared" si="185"/>
        <v>Expense</v>
      </c>
      <c r="AC615" s="2" t="s">
        <v>695</v>
      </c>
      <c r="AD615" s="3">
        <f t="shared" si="186"/>
        <v>39728</v>
      </c>
      <c r="AE615" s="93" t="str">
        <f t="shared" si="187"/>
        <v>YES</v>
      </c>
      <c r="AF615" s="2" t="str">
        <f t="shared" si="188"/>
        <v>NO</v>
      </c>
      <c r="AG615" t="str">
        <f t="shared" si="189"/>
        <v>Awesome Transaction</v>
      </c>
    </row>
    <row r="616" spans="1:33" x14ac:dyDescent="0.25">
      <c r="A616" s="2">
        <v>615</v>
      </c>
      <c r="B616" s="3" t="str">
        <f t="shared" si="171"/>
        <v>100523-TR-MTA</v>
      </c>
      <c r="C616" s="3">
        <v>40321</v>
      </c>
      <c r="D616" s="3">
        <f t="shared" si="173"/>
        <v>40333</v>
      </c>
      <c r="E616" s="3">
        <f t="shared" si="174"/>
        <v>40382</v>
      </c>
      <c r="F616" s="3">
        <f t="shared" si="175"/>
        <v>40329</v>
      </c>
      <c r="G616" s="76">
        <f t="shared" si="176"/>
        <v>2010</v>
      </c>
      <c r="H616" s="76">
        <f t="shared" si="177"/>
        <v>5</v>
      </c>
      <c r="I616" s="76" t="str">
        <f>VLOOKUP(H616,'Lookup Values'!$C$2:$D$13,2,FALSE)</f>
        <v>MAY</v>
      </c>
      <c r="J616" s="76">
        <f t="shared" si="178"/>
        <v>23</v>
      </c>
      <c r="K616" s="76">
        <f t="shared" si="179"/>
        <v>1</v>
      </c>
      <c r="L616" s="76" t="str">
        <f>VLOOKUP(K616,'Lookup Values'!$F$2:$G$8,2,FALSE)</f>
        <v>Sunday</v>
      </c>
      <c r="M616" s="3">
        <v>40331</v>
      </c>
      <c r="N616" s="78">
        <f t="shared" si="172"/>
        <v>10</v>
      </c>
      <c r="O616" s="11">
        <v>0.50730773431118148</v>
      </c>
      <c r="P616" s="94">
        <f t="shared" si="180"/>
        <v>12</v>
      </c>
      <c r="Q616" s="94">
        <f t="shared" si="181"/>
        <v>10</v>
      </c>
      <c r="R616" s="94">
        <f t="shared" si="182"/>
        <v>31</v>
      </c>
      <c r="S616" s="94" t="str">
        <f>VLOOKUP(O616,'Lookup Values'!$I$2:$L$8,4,TRUE)</f>
        <v>Afternoon</v>
      </c>
      <c r="T616" t="s">
        <v>95</v>
      </c>
      <c r="U616" t="s">
        <v>96</v>
      </c>
      <c r="V616" t="str">
        <f t="shared" si="183"/>
        <v>Transportation: Subway</v>
      </c>
      <c r="W616" t="s">
        <v>94</v>
      </c>
      <c r="X616" t="s">
        <v>91</v>
      </c>
      <c r="Y616" s="1">
        <v>429</v>
      </c>
      <c r="Z616" s="1" t="str">
        <f t="shared" si="184"/>
        <v>Transportation: $429.00</v>
      </c>
      <c r="AA616" s="1">
        <f>IF(Y616="","",ROUND(Y616*'Lookup Values'!$A$2,2))</f>
        <v>38.07</v>
      </c>
      <c r="AB616" s="12" t="str">
        <f t="shared" si="185"/>
        <v>Expense</v>
      </c>
      <c r="AC616" s="2" t="s">
        <v>696</v>
      </c>
      <c r="AD616" s="3">
        <f t="shared" si="186"/>
        <v>40321</v>
      </c>
      <c r="AE616" s="93" t="str">
        <f t="shared" si="187"/>
        <v>YES</v>
      </c>
      <c r="AF616" s="2" t="str">
        <f t="shared" si="188"/>
        <v>YES</v>
      </c>
      <c r="AG616" t="str">
        <f t="shared" si="189"/>
        <v>Late Transaction</v>
      </c>
    </row>
    <row r="617" spans="1:33" x14ac:dyDescent="0.25">
      <c r="A617" s="2">
        <v>616</v>
      </c>
      <c r="B617" s="3" t="str">
        <f t="shared" si="171"/>
        <v>111009-SH-EXP</v>
      </c>
      <c r="C617" s="3">
        <v>40825</v>
      </c>
      <c r="D617" s="3">
        <f t="shared" si="173"/>
        <v>40837</v>
      </c>
      <c r="E617" s="3">
        <f t="shared" si="174"/>
        <v>40886</v>
      </c>
      <c r="F617" s="3">
        <f t="shared" si="175"/>
        <v>40847</v>
      </c>
      <c r="G617" s="76">
        <f t="shared" si="176"/>
        <v>2011</v>
      </c>
      <c r="H617" s="76">
        <f t="shared" si="177"/>
        <v>10</v>
      </c>
      <c r="I617" s="76" t="str">
        <f>VLOOKUP(H617,'Lookup Values'!$C$2:$D$13,2,FALSE)</f>
        <v>OCT</v>
      </c>
      <c r="J617" s="76">
        <f t="shared" si="178"/>
        <v>9</v>
      </c>
      <c r="K617" s="76">
        <f t="shared" si="179"/>
        <v>1</v>
      </c>
      <c r="L617" s="76" t="str">
        <f>VLOOKUP(K617,'Lookup Values'!$F$2:$G$8,2,FALSE)</f>
        <v>Sunday</v>
      </c>
      <c r="M617" s="3">
        <v>40827</v>
      </c>
      <c r="N617" s="78">
        <f t="shared" si="172"/>
        <v>2</v>
      </c>
      <c r="O617" s="11">
        <v>0.41461644294839606</v>
      </c>
      <c r="P617" s="94">
        <f t="shared" si="180"/>
        <v>9</v>
      </c>
      <c r="Q617" s="94">
        <f t="shared" si="181"/>
        <v>57</v>
      </c>
      <c r="R617" s="94">
        <f t="shared" si="182"/>
        <v>3</v>
      </c>
      <c r="S617" s="94" t="str">
        <f>VLOOKUP(O617,'Lookup Values'!$I$2:$L$8,4,TRUE)</f>
        <v>Morning</v>
      </c>
      <c r="T617" t="s">
        <v>83</v>
      </c>
      <c r="U617" t="s">
        <v>103</v>
      </c>
      <c r="V617" t="str">
        <f t="shared" si="183"/>
        <v>Shopping: Clothing</v>
      </c>
      <c r="W617" t="s">
        <v>102</v>
      </c>
      <c r="X617" t="s">
        <v>91</v>
      </c>
      <c r="Y617" s="1">
        <v>389</v>
      </c>
      <c r="Z617" s="1" t="str">
        <f t="shared" si="184"/>
        <v>Shopping: $389.00</v>
      </c>
      <c r="AA617" s="1">
        <f>IF(Y617="","",ROUND(Y617*'Lookup Values'!$A$2,2))</f>
        <v>34.520000000000003</v>
      </c>
      <c r="AB617" s="12" t="str">
        <f t="shared" si="185"/>
        <v>Expense</v>
      </c>
      <c r="AC617" s="2" t="s">
        <v>697</v>
      </c>
      <c r="AD617" s="3">
        <f t="shared" si="186"/>
        <v>40825</v>
      </c>
      <c r="AE617" s="93" t="str">
        <f t="shared" si="187"/>
        <v>NO</v>
      </c>
      <c r="AF617" s="2" t="str">
        <f t="shared" si="188"/>
        <v>NO</v>
      </c>
      <c r="AG617" t="str">
        <f t="shared" si="189"/>
        <v>CRAP Transaction</v>
      </c>
    </row>
    <row r="618" spans="1:33" x14ac:dyDescent="0.25">
      <c r="A618" s="2">
        <v>617</v>
      </c>
      <c r="B618" s="3" t="str">
        <f t="shared" si="171"/>
        <v>120831-IN-EZE</v>
      </c>
      <c r="C618" s="3">
        <v>41152</v>
      </c>
      <c r="D618" s="3">
        <f t="shared" si="173"/>
        <v>41166</v>
      </c>
      <c r="E618" s="3">
        <f t="shared" si="174"/>
        <v>41213</v>
      </c>
      <c r="F618" s="3">
        <f t="shared" si="175"/>
        <v>41152</v>
      </c>
      <c r="G618" s="76">
        <f t="shared" si="176"/>
        <v>2012</v>
      </c>
      <c r="H618" s="76">
        <f t="shared" si="177"/>
        <v>8</v>
      </c>
      <c r="I618" s="76" t="str">
        <f>VLOOKUP(H618,'Lookup Values'!$C$2:$D$13,2,FALSE)</f>
        <v>AUG</v>
      </c>
      <c r="J618" s="76">
        <f t="shared" si="178"/>
        <v>31</v>
      </c>
      <c r="K618" s="76">
        <f t="shared" si="179"/>
        <v>6</v>
      </c>
      <c r="L618" s="76" t="str">
        <f>VLOOKUP(K618,'Lookup Values'!$F$2:$G$8,2,FALSE)</f>
        <v>Friday</v>
      </c>
      <c r="M618" s="3">
        <v>41156</v>
      </c>
      <c r="N618" s="78">
        <f t="shared" si="172"/>
        <v>4</v>
      </c>
      <c r="O618" s="11">
        <v>1.1882525138072197E-2</v>
      </c>
      <c r="P618" s="94">
        <f t="shared" si="180"/>
        <v>0</v>
      </c>
      <c r="Q618" s="94">
        <f t="shared" si="181"/>
        <v>17</v>
      </c>
      <c r="R618" s="94">
        <f t="shared" si="182"/>
        <v>7</v>
      </c>
      <c r="S618" s="94" t="str">
        <f>VLOOKUP(O618,'Lookup Values'!$I$2:$L$8,4,TRUE)</f>
        <v>Dead of Night</v>
      </c>
      <c r="T618" t="s">
        <v>158</v>
      </c>
      <c r="U618" t="s">
        <v>159</v>
      </c>
      <c r="V618" t="str">
        <f t="shared" si="183"/>
        <v>Income: Salary</v>
      </c>
      <c r="W618" t="s">
        <v>162</v>
      </c>
      <c r="X618" t="s">
        <v>78</v>
      </c>
      <c r="Y618" s="1">
        <v>225</v>
      </c>
      <c r="Z618" s="1" t="str">
        <f t="shared" si="184"/>
        <v>Income: $225.00</v>
      </c>
      <c r="AA618" s="1">
        <f>IF(Y618="","",ROUND(Y618*'Lookup Values'!$A$2,2))</f>
        <v>19.97</v>
      </c>
      <c r="AB618" s="12" t="str">
        <f t="shared" si="185"/>
        <v>Income</v>
      </c>
      <c r="AC618" s="2" t="s">
        <v>698</v>
      </c>
      <c r="AD618" s="3">
        <f t="shared" si="186"/>
        <v>41152</v>
      </c>
      <c r="AE618" s="93" t="str">
        <f t="shared" si="187"/>
        <v>NO</v>
      </c>
      <c r="AF618" s="2" t="str">
        <f t="shared" si="188"/>
        <v>NO</v>
      </c>
      <c r="AG618" t="str">
        <f t="shared" si="189"/>
        <v>CRAP Transaction</v>
      </c>
    </row>
    <row r="619" spans="1:33" x14ac:dyDescent="0.25">
      <c r="A619" s="2">
        <v>618</v>
      </c>
      <c r="B619" s="3" t="str">
        <f t="shared" si="171"/>
        <v>090713-HE-FRE</v>
      </c>
      <c r="C619" s="3">
        <v>40007</v>
      </c>
      <c r="D619" s="3">
        <f t="shared" si="173"/>
        <v>40021</v>
      </c>
      <c r="E619" s="3">
        <f t="shared" si="174"/>
        <v>40069</v>
      </c>
      <c r="F619" s="3">
        <f t="shared" si="175"/>
        <v>40025</v>
      </c>
      <c r="G619" s="76">
        <f t="shared" si="176"/>
        <v>2009</v>
      </c>
      <c r="H619" s="76">
        <f t="shared" si="177"/>
        <v>7</v>
      </c>
      <c r="I619" s="76" t="str">
        <f>VLOOKUP(H619,'Lookup Values'!$C$2:$D$13,2,FALSE)</f>
        <v>JUL</v>
      </c>
      <c r="J619" s="76">
        <f t="shared" si="178"/>
        <v>13</v>
      </c>
      <c r="K619" s="76">
        <f t="shared" si="179"/>
        <v>2</v>
      </c>
      <c r="L619" s="76" t="str">
        <f>VLOOKUP(K619,'Lookup Values'!$F$2:$G$8,2,FALSE)</f>
        <v>Monday</v>
      </c>
      <c r="M619" s="3">
        <v>40011</v>
      </c>
      <c r="N619" s="78">
        <f t="shared" si="172"/>
        <v>4</v>
      </c>
      <c r="O619" s="11">
        <v>0.34861708623129806</v>
      </c>
      <c r="P619" s="94">
        <f t="shared" si="180"/>
        <v>8</v>
      </c>
      <c r="Q619" s="94">
        <f t="shared" si="181"/>
        <v>22</v>
      </c>
      <c r="R619" s="94">
        <f t="shared" si="182"/>
        <v>1</v>
      </c>
      <c r="S619" s="94" t="str">
        <f>VLOOKUP(O619,'Lookup Values'!$I$2:$L$8,4,TRUE)</f>
        <v>Morning</v>
      </c>
      <c r="T619" t="s">
        <v>107</v>
      </c>
      <c r="U619" t="s">
        <v>108</v>
      </c>
      <c r="V619" t="str">
        <f t="shared" si="183"/>
        <v>Health: Insurance Premium</v>
      </c>
      <c r="W619" t="s">
        <v>106</v>
      </c>
      <c r="X619" t="s">
        <v>78</v>
      </c>
      <c r="Y619" s="1">
        <v>300</v>
      </c>
      <c r="Z619" s="1" t="str">
        <f t="shared" si="184"/>
        <v>Health: $300.00</v>
      </c>
      <c r="AA619" s="1">
        <f>IF(Y619="","",ROUND(Y619*'Lookup Values'!$A$2,2))</f>
        <v>26.63</v>
      </c>
      <c r="AB619" s="12" t="str">
        <f t="shared" si="185"/>
        <v>Expense</v>
      </c>
      <c r="AC619" s="2" t="s">
        <v>564</v>
      </c>
      <c r="AD619" s="3">
        <f t="shared" si="186"/>
        <v>40007</v>
      </c>
      <c r="AE619" s="93" t="str">
        <f t="shared" si="187"/>
        <v>NO</v>
      </c>
      <c r="AF619" s="2" t="str">
        <f t="shared" si="188"/>
        <v>NO</v>
      </c>
      <c r="AG619" t="str">
        <f t="shared" si="189"/>
        <v>Late Transaction</v>
      </c>
    </row>
    <row r="620" spans="1:33" x14ac:dyDescent="0.25">
      <c r="A620" s="2">
        <v>619</v>
      </c>
      <c r="B620" s="3" t="str">
        <f t="shared" si="171"/>
        <v>070518-ED-SKI</v>
      </c>
      <c r="C620" s="3">
        <v>39220</v>
      </c>
      <c r="D620" s="3">
        <f t="shared" si="173"/>
        <v>39234</v>
      </c>
      <c r="E620" s="3">
        <f t="shared" si="174"/>
        <v>39281</v>
      </c>
      <c r="F620" s="3">
        <f t="shared" si="175"/>
        <v>39233</v>
      </c>
      <c r="G620" s="76">
        <f t="shared" si="176"/>
        <v>2007</v>
      </c>
      <c r="H620" s="76">
        <f t="shared" si="177"/>
        <v>5</v>
      </c>
      <c r="I620" s="76" t="str">
        <f>VLOOKUP(H620,'Lookup Values'!$C$2:$D$13,2,FALSE)</f>
        <v>MAY</v>
      </c>
      <c r="J620" s="76">
        <f t="shared" si="178"/>
        <v>18</v>
      </c>
      <c r="K620" s="76">
        <f t="shared" si="179"/>
        <v>6</v>
      </c>
      <c r="L620" s="76" t="str">
        <f>VLOOKUP(K620,'Lookup Values'!$F$2:$G$8,2,FALSE)</f>
        <v>Friday</v>
      </c>
      <c r="M620" s="3">
        <v>39224</v>
      </c>
      <c r="N620" s="78">
        <f t="shared" si="172"/>
        <v>4</v>
      </c>
      <c r="O620" s="11">
        <v>0.8052758167681987</v>
      </c>
      <c r="P620" s="94">
        <f t="shared" si="180"/>
        <v>19</v>
      </c>
      <c r="Q620" s="94">
        <f t="shared" si="181"/>
        <v>19</v>
      </c>
      <c r="R620" s="94">
        <f t="shared" si="182"/>
        <v>36</v>
      </c>
      <c r="S620" s="94" t="str">
        <f>VLOOKUP(O620,'Lookup Values'!$I$2:$L$8,4,TRUE)</f>
        <v>Evening</v>
      </c>
      <c r="T620" t="s">
        <v>86</v>
      </c>
      <c r="U620" t="s">
        <v>98</v>
      </c>
      <c r="V620" t="str">
        <f t="shared" si="183"/>
        <v>Education: Professional Development</v>
      </c>
      <c r="W620" t="s">
        <v>97</v>
      </c>
      <c r="X620" t="s">
        <v>88</v>
      </c>
      <c r="Y620" s="1">
        <v>350</v>
      </c>
      <c r="Z620" s="1" t="str">
        <f t="shared" si="184"/>
        <v>Education: $350.00</v>
      </c>
      <c r="AA620" s="1">
        <f>IF(Y620="","",ROUND(Y620*'Lookup Values'!$A$2,2))</f>
        <v>31.06</v>
      </c>
      <c r="AB620" s="12" t="str">
        <f t="shared" si="185"/>
        <v>Expense</v>
      </c>
      <c r="AC620" s="2" t="s">
        <v>699</v>
      </c>
      <c r="AD620" s="3">
        <f t="shared" si="186"/>
        <v>39220</v>
      </c>
      <c r="AE620" s="93" t="str">
        <f t="shared" si="187"/>
        <v>YES</v>
      </c>
      <c r="AF620" s="2" t="str">
        <f t="shared" si="188"/>
        <v>NO</v>
      </c>
      <c r="AG620" t="str">
        <f t="shared" si="189"/>
        <v>Late Transaction</v>
      </c>
    </row>
    <row r="621" spans="1:33" x14ac:dyDescent="0.25">
      <c r="A621" s="2">
        <v>620</v>
      </c>
      <c r="B621" s="3" t="str">
        <f t="shared" si="171"/>
        <v>100428-IN-EZE</v>
      </c>
      <c r="C621" s="3">
        <v>40296</v>
      </c>
      <c r="D621" s="3">
        <f t="shared" si="173"/>
        <v>40310</v>
      </c>
      <c r="E621" s="3">
        <f t="shared" si="174"/>
        <v>40357</v>
      </c>
      <c r="F621" s="3">
        <f t="shared" si="175"/>
        <v>40298</v>
      </c>
      <c r="G621" s="76">
        <f t="shared" si="176"/>
        <v>2010</v>
      </c>
      <c r="H621" s="76">
        <f t="shared" si="177"/>
        <v>4</v>
      </c>
      <c r="I621" s="76" t="str">
        <f>VLOOKUP(H621,'Lookup Values'!$C$2:$D$13,2,FALSE)</f>
        <v>APR</v>
      </c>
      <c r="J621" s="76">
        <f t="shared" si="178"/>
        <v>28</v>
      </c>
      <c r="K621" s="76">
        <f t="shared" si="179"/>
        <v>4</v>
      </c>
      <c r="L621" s="76" t="str">
        <f>VLOOKUP(K621,'Lookup Values'!$F$2:$G$8,2,FALSE)</f>
        <v>Wednesday</v>
      </c>
      <c r="M621" s="3">
        <v>40306</v>
      </c>
      <c r="N621" s="78">
        <f t="shared" si="172"/>
        <v>10</v>
      </c>
      <c r="O621" s="11">
        <v>0.87189391054894583</v>
      </c>
      <c r="P621" s="94">
        <f t="shared" si="180"/>
        <v>20</v>
      </c>
      <c r="Q621" s="94">
        <f t="shared" si="181"/>
        <v>55</v>
      </c>
      <c r="R621" s="94">
        <f t="shared" si="182"/>
        <v>32</v>
      </c>
      <c r="S621" s="94" t="str">
        <f>VLOOKUP(O621,'Lookup Values'!$I$2:$L$8,4,TRUE)</f>
        <v>Evening</v>
      </c>
      <c r="T621" t="s">
        <v>158</v>
      </c>
      <c r="U621" t="s">
        <v>159</v>
      </c>
      <c r="V621" t="str">
        <f t="shared" si="183"/>
        <v>Income: Salary</v>
      </c>
      <c r="W621" t="s">
        <v>162</v>
      </c>
      <c r="X621" t="s">
        <v>78</v>
      </c>
      <c r="Y621" s="1">
        <v>237</v>
      </c>
      <c r="Z621" s="1" t="str">
        <f t="shared" si="184"/>
        <v>Income: $237.00</v>
      </c>
      <c r="AA621" s="1">
        <f>IF(Y621="","",ROUND(Y621*'Lookup Values'!$A$2,2))</f>
        <v>21.03</v>
      </c>
      <c r="AB621" s="12" t="str">
        <f t="shared" si="185"/>
        <v>Income</v>
      </c>
      <c r="AC621" s="2" t="s">
        <v>700</v>
      </c>
      <c r="AD621" s="3">
        <f t="shared" si="186"/>
        <v>40296</v>
      </c>
      <c r="AE621" s="93" t="str">
        <f t="shared" si="187"/>
        <v>NO</v>
      </c>
      <c r="AF621" s="2" t="str">
        <f t="shared" si="188"/>
        <v>NO</v>
      </c>
      <c r="AG621" t="str">
        <f t="shared" si="189"/>
        <v>Late Transaction</v>
      </c>
    </row>
    <row r="622" spans="1:33" x14ac:dyDescent="0.25">
      <c r="A622" s="2">
        <v>621</v>
      </c>
      <c r="B622" s="3" t="str">
        <f t="shared" si="171"/>
        <v>100129-TR-MTA</v>
      </c>
      <c r="C622" s="3">
        <v>40207</v>
      </c>
      <c r="D622" s="3">
        <f t="shared" si="173"/>
        <v>40221</v>
      </c>
      <c r="E622" s="3">
        <f t="shared" si="174"/>
        <v>40266</v>
      </c>
      <c r="F622" s="3">
        <f t="shared" si="175"/>
        <v>40209</v>
      </c>
      <c r="G622" s="76">
        <f t="shared" si="176"/>
        <v>2010</v>
      </c>
      <c r="H622" s="76">
        <f t="shared" si="177"/>
        <v>1</v>
      </c>
      <c r="I622" s="76" t="str">
        <f>VLOOKUP(H622,'Lookup Values'!$C$2:$D$13,2,FALSE)</f>
        <v>JAN</v>
      </c>
      <c r="J622" s="76">
        <f t="shared" si="178"/>
        <v>29</v>
      </c>
      <c r="K622" s="76">
        <f t="shared" si="179"/>
        <v>6</v>
      </c>
      <c r="L622" s="76" t="str">
        <f>VLOOKUP(K622,'Lookup Values'!$F$2:$G$8,2,FALSE)</f>
        <v>Friday</v>
      </c>
      <c r="M622" s="3">
        <v>40211</v>
      </c>
      <c r="N622" s="78">
        <f t="shared" si="172"/>
        <v>4</v>
      </c>
      <c r="O622" s="11">
        <v>0.66821057189087529</v>
      </c>
      <c r="P622" s="94">
        <f t="shared" si="180"/>
        <v>16</v>
      </c>
      <c r="Q622" s="94">
        <f t="shared" si="181"/>
        <v>2</v>
      </c>
      <c r="R622" s="94">
        <f t="shared" si="182"/>
        <v>13</v>
      </c>
      <c r="S622" s="94" t="str">
        <f>VLOOKUP(O622,'Lookup Values'!$I$2:$L$8,4,TRUE)</f>
        <v>Afternoon</v>
      </c>
      <c r="T622" t="s">
        <v>95</v>
      </c>
      <c r="U622" t="s">
        <v>96</v>
      </c>
      <c r="V622" t="str">
        <f t="shared" si="183"/>
        <v>Transportation: Subway</v>
      </c>
      <c r="W622" t="s">
        <v>94</v>
      </c>
      <c r="X622" t="s">
        <v>91</v>
      </c>
      <c r="Y622" s="1">
        <v>36</v>
      </c>
      <c r="Z622" s="1" t="str">
        <f t="shared" si="184"/>
        <v>Transportation: $36.00</v>
      </c>
      <c r="AA622" s="1">
        <f>IF(Y622="","",ROUND(Y622*'Lookup Values'!$A$2,2))</f>
        <v>3.2</v>
      </c>
      <c r="AB622" s="12" t="str">
        <f t="shared" si="185"/>
        <v>Expense</v>
      </c>
      <c r="AC622" s="2" t="s">
        <v>701</v>
      </c>
      <c r="AD622" s="3">
        <f t="shared" si="186"/>
        <v>40207</v>
      </c>
      <c r="AE622" s="93" t="str">
        <f t="shared" si="187"/>
        <v>YES</v>
      </c>
      <c r="AF622" s="2" t="str">
        <f t="shared" si="188"/>
        <v>NO</v>
      </c>
      <c r="AG622" t="str">
        <f t="shared" si="189"/>
        <v>Late Transaction</v>
      </c>
    </row>
    <row r="623" spans="1:33" x14ac:dyDescent="0.25">
      <c r="A623" s="2">
        <v>622</v>
      </c>
      <c r="B623" s="3" t="str">
        <f t="shared" si="171"/>
        <v>070824-FO-CIT</v>
      </c>
      <c r="C623" s="3">
        <v>39318</v>
      </c>
      <c r="D623" s="3">
        <f t="shared" si="173"/>
        <v>39332</v>
      </c>
      <c r="E623" s="3">
        <f t="shared" si="174"/>
        <v>39379</v>
      </c>
      <c r="F623" s="3">
        <f t="shared" si="175"/>
        <v>39325</v>
      </c>
      <c r="G623" s="76">
        <f t="shared" si="176"/>
        <v>2007</v>
      </c>
      <c r="H623" s="76">
        <f t="shared" si="177"/>
        <v>8</v>
      </c>
      <c r="I623" s="76" t="str">
        <f>VLOOKUP(H623,'Lookup Values'!$C$2:$D$13,2,FALSE)</f>
        <v>AUG</v>
      </c>
      <c r="J623" s="76">
        <f t="shared" si="178"/>
        <v>24</v>
      </c>
      <c r="K623" s="76">
        <f t="shared" si="179"/>
        <v>6</v>
      </c>
      <c r="L623" s="76" t="str">
        <f>VLOOKUP(K623,'Lookup Values'!$F$2:$G$8,2,FALSE)</f>
        <v>Friday</v>
      </c>
      <c r="M623" s="3">
        <v>39322</v>
      </c>
      <c r="N623" s="78">
        <f t="shared" si="172"/>
        <v>4</v>
      </c>
      <c r="O623" s="11">
        <v>0.84251931597178376</v>
      </c>
      <c r="P623" s="94">
        <f t="shared" si="180"/>
        <v>20</v>
      </c>
      <c r="Q623" s="94">
        <f t="shared" si="181"/>
        <v>13</v>
      </c>
      <c r="R623" s="94">
        <f t="shared" si="182"/>
        <v>14</v>
      </c>
      <c r="S623" s="94" t="str">
        <f>VLOOKUP(O623,'Lookup Values'!$I$2:$L$8,4,TRUE)</f>
        <v>Evening</v>
      </c>
      <c r="T623" t="s">
        <v>80</v>
      </c>
      <c r="U623" t="s">
        <v>105</v>
      </c>
      <c r="V623" t="str">
        <f t="shared" si="183"/>
        <v>Food: Coffee</v>
      </c>
      <c r="W623" t="s">
        <v>104</v>
      </c>
      <c r="X623" t="s">
        <v>78</v>
      </c>
      <c r="Y623" s="1">
        <v>263</v>
      </c>
      <c r="Z623" s="1" t="str">
        <f t="shared" si="184"/>
        <v>Food: $263.00</v>
      </c>
      <c r="AA623" s="1">
        <f>IF(Y623="","",ROUND(Y623*'Lookup Values'!$A$2,2))</f>
        <v>23.34</v>
      </c>
      <c r="AB623" s="12" t="str">
        <f t="shared" si="185"/>
        <v>Expense</v>
      </c>
      <c r="AC623" s="2" t="s">
        <v>702</v>
      </c>
      <c r="AD623" s="3">
        <f t="shared" si="186"/>
        <v>39318</v>
      </c>
      <c r="AE623" s="93" t="str">
        <f t="shared" si="187"/>
        <v>NO</v>
      </c>
      <c r="AF623" s="2" t="str">
        <f t="shared" si="188"/>
        <v>NO</v>
      </c>
      <c r="AG623" t="str">
        <f t="shared" si="189"/>
        <v>Awesome Transaction</v>
      </c>
    </row>
    <row r="624" spans="1:33" x14ac:dyDescent="0.25">
      <c r="A624" s="2">
        <v>623</v>
      </c>
      <c r="B624" s="3" t="str">
        <f t="shared" si="171"/>
        <v>090825-FO-CIT</v>
      </c>
      <c r="C624" s="3">
        <v>40050</v>
      </c>
      <c r="D624" s="3">
        <f t="shared" si="173"/>
        <v>40064</v>
      </c>
      <c r="E624" s="3">
        <f t="shared" si="174"/>
        <v>40111</v>
      </c>
      <c r="F624" s="3">
        <f t="shared" si="175"/>
        <v>40056</v>
      </c>
      <c r="G624" s="76">
        <f t="shared" si="176"/>
        <v>2009</v>
      </c>
      <c r="H624" s="76">
        <f t="shared" si="177"/>
        <v>8</v>
      </c>
      <c r="I624" s="76" t="str">
        <f>VLOOKUP(H624,'Lookup Values'!$C$2:$D$13,2,FALSE)</f>
        <v>AUG</v>
      </c>
      <c r="J624" s="76">
        <f t="shared" si="178"/>
        <v>25</v>
      </c>
      <c r="K624" s="76">
        <f t="shared" si="179"/>
        <v>3</v>
      </c>
      <c r="L624" s="76" t="str">
        <f>VLOOKUP(K624,'Lookup Values'!$F$2:$G$8,2,FALSE)</f>
        <v>Tuesday</v>
      </c>
      <c r="M624" s="3">
        <v>40054</v>
      </c>
      <c r="N624" s="78">
        <f t="shared" si="172"/>
        <v>4</v>
      </c>
      <c r="O624" s="11">
        <v>0.67781235045880739</v>
      </c>
      <c r="P624" s="94">
        <f t="shared" si="180"/>
        <v>16</v>
      </c>
      <c r="Q624" s="94">
        <f t="shared" si="181"/>
        <v>16</v>
      </c>
      <c r="R624" s="94">
        <f t="shared" si="182"/>
        <v>3</v>
      </c>
      <c r="S624" s="94" t="str">
        <f>VLOOKUP(O624,'Lookup Values'!$I$2:$L$8,4,TRUE)</f>
        <v>Afternoon</v>
      </c>
      <c r="T624" t="s">
        <v>80</v>
      </c>
      <c r="U624" t="s">
        <v>105</v>
      </c>
      <c r="V624" t="str">
        <f t="shared" si="183"/>
        <v>Food: Coffee</v>
      </c>
      <c r="W624" t="s">
        <v>104</v>
      </c>
      <c r="X624" t="s">
        <v>88</v>
      </c>
      <c r="Y624" s="1">
        <v>453</v>
      </c>
      <c r="Z624" s="1" t="str">
        <f t="shared" si="184"/>
        <v>Food: $453.00</v>
      </c>
      <c r="AA624" s="1">
        <f>IF(Y624="","",ROUND(Y624*'Lookup Values'!$A$2,2))</f>
        <v>40.200000000000003</v>
      </c>
      <c r="AB624" s="12" t="str">
        <f t="shared" si="185"/>
        <v>Expense</v>
      </c>
      <c r="AC624" s="2" t="s">
        <v>438</v>
      </c>
      <c r="AD624" s="3">
        <f t="shared" si="186"/>
        <v>40050</v>
      </c>
      <c r="AE624" s="93" t="str">
        <f t="shared" si="187"/>
        <v>NO</v>
      </c>
      <c r="AF624" s="2" t="str">
        <f t="shared" si="188"/>
        <v>NO</v>
      </c>
      <c r="AG624" t="str">
        <f t="shared" si="189"/>
        <v>Awesome Transaction</v>
      </c>
    </row>
    <row r="625" spans="1:33" x14ac:dyDescent="0.25">
      <c r="A625" s="2">
        <v>624</v>
      </c>
      <c r="B625" s="3" t="str">
        <f t="shared" si="171"/>
        <v>111206-IN-AUN</v>
      </c>
      <c r="C625" s="3">
        <v>40883</v>
      </c>
      <c r="D625" s="3">
        <f t="shared" si="173"/>
        <v>40897</v>
      </c>
      <c r="E625" s="3">
        <f t="shared" si="174"/>
        <v>40945</v>
      </c>
      <c r="F625" s="3">
        <f t="shared" si="175"/>
        <v>40908</v>
      </c>
      <c r="G625" s="76">
        <f t="shared" si="176"/>
        <v>2011</v>
      </c>
      <c r="H625" s="76">
        <f t="shared" si="177"/>
        <v>12</v>
      </c>
      <c r="I625" s="76" t="str">
        <f>VLOOKUP(H625,'Lookup Values'!$C$2:$D$13,2,FALSE)</f>
        <v>DEC</v>
      </c>
      <c r="J625" s="76">
        <f t="shared" si="178"/>
        <v>6</v>
      </c>
      <c r="K625" s="76">
        <f t="shared" si="179"/>
        <v>3</v>
      </c>
      <c r="L625" s="76" t="str">
        <f>VLOOKUP(K625,'Lookup Values'!$F$2:$G$8,2,FALSE)</f>
        <v>Tuesday</v>
      </c>
      <c r="M625" s="3">
        <v>40892</v>
      </c>
      <c r="N625" s="78">
        <f t="shared" si="172"/>
        <v>9</v>
      </c>
      <c r="O625" s="11">
        <v>0.33066942882363981</v>
      </c>
      <c r="P625" s="94">
        <f t="shared" si="180"/>
        <v>7</v>
      </c>
      <c r="Q625" s="94">
        <f t="shared" si="181"/>
        <v>56</v>
      </c>
      <c r="R625" s="94">
        <f t="shared" si="182"/>
        <v>10</v>
      </c>
      <c r="S625" s="94" t="str">
        <f>VLOOKUP(O625,'Lookup Values'!$I$2:$L$8,4,TRUE)</f>
        <v>Morning</v>
      </c>
      <c r="T625" t="s">
        <v>158</v>
      </c>
      <c r="U625" t="s">
        <v>161</v>
      </c>
      <c r="V625" t="str">
        <f t="shared" si="183"/>
        <v>Income: Gift Received</v>
      </c>
      <c r="W625" t="s">
        <v>164</v>
      </c>
      <c r="X625" t="s">
        <v>88</v>
      </c>
      <c r="Y625" s="1">
        <v>88</v>
      </c>
      <c r="Z625" s="1" t="str">
        <f t="shared" si="184"/>
        <v>Income: $88.00</v>
      </c>
      <c r="AA625" s="1">
        <f>IF(Y625="","",ROUND(Y625*'Lookup Values'!$A$2,2))</f>
        <v>7.81</v>
      </c>
      <c r="AB625" s="12" t="str">
        <f t="shared" si="185"/>
        <v>Income</v>
      </c>
      <c r="AC625" s="2" t="s">
        <v>703</v>
      </c>
      <c r="AD625" s="3">
        <f t="shared" si="186"/>
        <v>40883</v>
      </c>
      <c r="AE625" s="93" t="str">
        <f t="shared" si="187"/>
        <v>NO</v>
      </c>
      <c r="AF625" s="2" t="str">
        <f t="shared" si="188"/>
        <v>NO</v>
      </c>
      <c r="AG625" t="str">
        <f t="shared" si="189"/>
        <v>CRAP Transaction</v>
      </c>
    </row>
    <row r="626" spans="1:33" x14ac:dyDescent="0.25">
      <c r="A626" s="2">
        <v>625</v>
      </c>
      <c r="B626" s="3" t="str">
        <f t="shared" si="171"/>
        <v>081211-FO-CIT</v>
      </c>
      <c r="C626" s="3">
        <v>39793</v>
      </c>
      <c r="D626" s="3">
        <f t="shared" si="173"/>
        <v>39807</v>
      </c>
      <c r="E626" s="3">
        <f t="shared" si="174"/>
        <v>39855</v>
      </c>
      <c r="F626" s="3">
        <f t="shared" si="175"/>
        <v>39813</v>
      </c>
      <c r="G626" s="76">
        <f t="shared" si="176"/>
        <v>2008</v>
      </c>
      <c r="H626" s="76">
        <f t="shared" si="177"/>
        <v>12</v>
      </c>
      <c r="I626" s="76" t="str">
        <f>VLOOKUP(H626,'Lookup Values'!$C$2:$D$13,2,FALSE)</f>
        <v>DEC</v>
      </c>
      <c r="J626" s="76">
        <f t="shared" si="178"/>
        <v>11</v>
      </c>
      <c r="K626" s="76">
        <f t="shared" si="179"/>
        <v>5</v>
      </c>
      <c r="L626" s="76" t="str">
        <f>VLOOKUP(K626,'Lookup Values'!$F$2:$G$8,2,FALSE)</f>
        <v>Thursday</v>
      </c>
      <c r="M626" s="3">
        <v>39795</v>
      </c>
      <c r="N626" s="78">
        <f t="shared" si="172"/>
        <v>2</v>
      </c>
      <c r="O626" s="11">
        <v>0.55559509024964748</v>
      </c>
      <c r="P626" s="94">
        <f t="shared" si="180"/>
        <v>13</v>
      </c>
      <c r="Q626" s="94">
        <f t="shared" si="181"/>
        <v>20</v>
      </c>
      <c r="R626" s="94">
        <f t="shared" si="182"/>
        <v>3</v>
      </c>
      <c r="S626" s="94" t="str">
        <f>VLOOKUP(O626,'Lookup Values'!$I$2:$L$8,4,TRUE)</f>
        <v>Afternoon</v>
      </c>
      <c r="T626" t="s">
        <v>80</v>
      </c>
      <c r="U626" t="s">
        <v>105</v>
      </c>
      <c r="V626" t="str">
        <f t="shared" si="183"/>
        <v>Food: Coffee</v>
      </c>
      <c r="W626" t="s">
        <v>104</v>
      </c>
      <c r="X626" t="s">
        <v>88</v>
      </c>
      <c r="Y626" s="1">
        <v>378</v>
      </c>
      <c r="Z626" s="1" t="str">
        <f t="shared" si="184"/>
        <v>Food: $378.00</v>
      </c>
      <c r="AA626" s="1">
        <f>IF(Y626="","",ROUND(Y626*'Lookup Values'!$A$2,2))</f>
        <v>33.549999999999997</v>
      </c>
      <c r="AB626" s="12" t="str">
        <f t="shared" si="185"/>
        <v>Expense</v>
      </c>
      <c r="AC626" s="2" t="s">
        <v>704</v>
      </c>
      <c r="AD626" s="3">
        <f t="shared" si="186"/>
        <v>39793</v>
      </c>
      <c r="AE626" s="93" t="str">
        <f t="shared" si="187"/>
        <v>NO</v>
      </c>
      <c r="AF626" s="2" t="str">
        <f t="shared" si="188"/>
        <v>NO</v>
      </c>
      <c r="AG626" t="str">
        <f t="shared" si="189"/>
        <v>Awesome Transaction</v>
      </c>
    </row>
    <row r="627" spans="1:33" x14ac:dyDescent="0.25">
      <c r="A627" s="2">
        <v>626</v>
      </c>
      <c r="B627" s="3" t="str">
        <f t="shared" si="171"/>
        <v>090620-IN-EZE</v>
      </c>
      <c r="C627" s="3">
        <v>39984</v>
      </c>
      <c r="D627" s="3">
        <f t="shared" si="173"/>
        <v>39997</v>
      </c>
      <c r="E627" s="3">
        <f t="shared" si="174"/>
        <v>40045</v>
      </c>
      <c r="F627" s="3">
        <f t="shared" si="175"/>
        <v>39994</v>
      </c>
      <c r="G627" s="76">
        <f t="shared" si="176"/>
        <v>2009</v>
      </c>
      <c r="H627" s="76">
        <f t="shared" si="177"/>
        <v>6</v>
      </c>
      <c r="I627" s="76" t="str">
        <f>VLOOKUP(H627,'Lookup Values'!$C$2:$D$13,2,FALSE)</f>
        <v>JUN</v>
      </c>
      <c r="J627" s="76">
        <f t="shared" si="178"/>
        <v>20</v>
      </c>
      <c r="K627" s="76">
        <f t="shared" si="179"/>
        <v>7</v>
      </c>
      <c r="L627" s="76" t="str">
        <f>VLOOKUP(K627,'Lookup Values'!$F$2:$G$8,2,FALSE)</f>
        <v>Saturday</v>
      </c>
      <c r="M627" s="3">
        <v>39988</v>
      </c>
      <c r="N627" s="78">
        <f t="shared" si="172"/>
        <v>4</v>
      </c>
      <c r="O627" s="11">
        <v>0.83790220231029056</v>
      </c>
      <c r="P627" s="94">
        <f t="shared" si="180"/>
        <v>20</v>
      </c>
      <c r="Q627" s="94">
        <f t="shared" si="181"/>
        <v>6</v>
      </c>
      <c r="R627" s="94">
        <f t="shared" si="182"/>
        <v>35</v>
      </c>
      <c r="S627" s="94" t="str">
        <f>VLOOKUP(O627,'Lookup Values'!$I$2:$L$8,4,TRUE)</f>
        <v>Evening</v>
      </c>
      <c r="T627" t="s">
        <v>158</v>
      </c>
      <c r="U627" t="s">
        <v>159</v>
      </c>
      <c r="V627" t="str">
        <f t="shared" si="183"/>
        <v>Income: Salary</v>
      </c>
      <c r="W627" t="s">
        <v>162</v>
      </c>
      <c r="X627" t="s">
        <v>88</v>
      </c>
      <c r="Y627" s="1">
        <v>426</v>
      </c>
      <c r="Z627" s="1" t="str">
        <f t="shared" si="184"/>
        <v>Income: $426.00</v>
      </c>
      <c r="AA627" s="1">
        <f>IF(Y627="","",ROUND(Y627*'Lookup Values'!$A$2,2))</f>
        <v>37.81</v>
      </c>
      <c r="AB627" s="12" t="str">
        <f t="shared" si="185"/>
        <v>Income</v>
      </c>
      <c r="AC627" s="2" t="s">
        <v>424</v>
      </c>
      <c r="AD627" s="3">
        <f t="shared" si="186"/>
        <v>39984</v>
      </c>
      <c r="AE627" s="93" t="str">
        <f t="shared" si="187"/>
        <v>NO</v>
      </c>
      <c r="AF627" s="2" t="str">
        <f t="shared" si="188"/>
        <v>NO</v>
      </c>
      <c r="AG627" t="str">
        <f t="shared" si="189"/>
        <v>Late Transaction</v>
      </c>
    </row>
    <row r="628" spans="1:33" x14ac:dyDescent="0.25">
      <c r="A628" s="2">
        <v>627</v>
      </c>
      <c r="B628" s="3" t="str">
        <f t="shared" si="171"/>
        <v>080228-TR-MTA</v>
      </c>
      <c r="C628" s="3">
        <v>39506</v>
      </c>
      <c r="D628" s="3">
        <f t="shared" si="173"/>
        <v>39520</v>
      </c>
      <c r="E628" s="3">
        <f t="shared" si="174"/>
        <v>39566</v>
      </c>
      <c r="F628" s="3">
        <f t="shared" si="175"/>
        <v>39507</v>
      </c>
      <c r="G628" s="76">
        <f t="shared" si="176"/>
        <v>2008</v>
      </c>
      <c r="H628" s="76">
        <f t="shared" si="177"/>
        <v>2</v>
      </c>
      <c r="I628" s="76" t="str">
        <f>VLOOKUP(H628,'Lookup Values'!$C$2:$D$13,2,FALSE)</f>
        <v>FEB</v>
      </c>
      <c r="J628" s="76">
        <f t="shared" si="178"/>
        <v>28</v>
      </c>
      <c r="K628" s="76">
        <f t="shared" si="179"/>
        <v>5</v>
      </c>
      <c r="L628" s="76" t="str">
        <f>VLOOKUP(K628,'Lookup Values'!$F$2:$G$8,2,FALSE)</f>
        <v>Thursday</v>
      </c>
      <c r="M628" s="3">
        <v>39507</v>
      </c>
      <c r="N628" s="78">
        <f t="shared" si="172"/>
        <v>1</v>
      </c>
      <c r="O628" s="11">
        <v>0.83448117477098827</v>
      </c>
      <c r="P628" s="94">
        <f t="shared" si="180"/>
        <v>20</v>
      </c>
      <c r="Q628" s="94">
        <f t="shared" si="181"/>
        <v>1</v>
      </c>
      <c r="R628" s="94">
        <f t="shared" si="182"/>
        <v>39</v>
      </c>
      <c r="S628" s="94" t="str">
        <f>VLOOKUP(O628,'Lookup Values'!$I$2:$L$8,4,TRUE)</f>
        <v>Evening</v>
      </c>
      <c r="T628" t="s">
        <v>95</v>
      </c>
      <c r="U628" t="s">
        <v>96</v>
      </c>
      <c r="V628" t="str">
        <f t="shared" si="183"/>
        <v>Transportation: Subway</v>
      </c>
      <c r="W628" t="s">
        <v>94</v>
      </c>
      <c r="X628" t="s">
        <v>88</v>
      </c>
      <c r="Y628" s="1">
        <v>415</v>
      </c>
      <c r="Z628" s="1" t="str">
        <f t="shared" si="184"/>
        <v>Transportation: $415.00</v>
      </c>
      <c r="AA628" s="1">
        <f>IF(Y628="","",ROUND(Y628*'Lookup Values'!$A$2,2))</f>
        <v>36.83</v>
      </c>
      <c r="AB628" s="12" t="str">
        <f t="shared" si="185"/>
        <v>Expense</v>
      </c>
      <c r="AC628" s="2" t="s">
        <v>705</v>
      </c>
      <c r="AD628" s="3">
        <f t="shared" si="186"/>
        <v>39506</v>
      </c>
      <c r="AE628" s="93" t="str">
        <f t="shared" si="187"/>
        <v>YES</v>
      </c>
      <c r="AF628" s="2" t="str">
        <f t="shared" si="188"/>
        <v>YES</v>
      </c>
      <c r="AG628" t="str">
        <f t="shared" si="189"/>
        <v>Late Transaction</v>
      </c>
    </row>
    <row r="629" spans="1:33" x14ac:dyDescent="0.25">
      <c r="A629" s="2">
        <v>628</v>
      </c>
      <c r="B629" s="3" t="str">
        <f t="shared" si="171"/>
        <v>110611-HE-FRE</v>
      </c>
      <c r="C629" s="3">
        <v>40705</v>
      </c>
      <c r="D629" s="3">
        <f t="shared" si="173"/>
        <v>40718</v>
      </c>
      <c r="E629" s="3">
        <f t="shared" si="174"/>
        <v>40766</v>
      </c>
      <c r="F629" s="3">
        <f t="shared" si="175"/>
        <v>40724</v>
      </c>
      <c r="G629" s="76">
        <f t="shared" si="176"/>
        <v>2011</v>
      </c>
      <c r="H629" s="76">
        <f t="shared" si="177"/>
        <v>6</v>
      </c>
      <c r="I629" s="76" t="str">
        <f>VLOOKUP(H629,'Lookup Values'!$C$2:$D$13,2,FALSE)</f>
        <v>JUN</v>
      </c>
      <c r="J629" s="76">
        <f t="shared" si="178"/>
        <v>11</v>
      </c>
      <c r="K629" s="76">
        <f t="shared" si="179"/>
        <v>7</v>
      </c>
      <c r="L629" s="76" t="str">
        <f>VLOOKUP(K629,'Lookup Values'!$F$2:$G$8,2,FALSE)</f>
        <v>Saturday</v>
      </c>
      <c r="M629" s="3">
        <v>40708</v>
      </c>
      <c r="N629" s="78">
        <f t="shared" si="172"/>
        <v>3</v>
      </c>
      <c r="O629" s="11">
        <v>0.4914349089028679</v>
      </c>
      <c r="P629" s="94">
        <f t="shared" si="180"/>
        <v>11</v>
      </c>
      <c r="Q629" s="94">
        <f t="shared" si="181"/>
        <v>47</v>
      </c>
      <c r="R629" s="94">
        <f t="shared" si="182"/>
        <v>40</v>
      </c>
      <c r="S629" s="94" t="str">
        <f>VLOOKUP(O629,'Lookup Values'!$I$2:$L$8,4,TRUE)</f>
        <v>Late Morning</v>
      </c>
      <c r="T629" t="s">
        <v>107</v>
      </c>
      <c r="U629" t="s">
        <v>108</v>
      </c>
      <c r="V629" t="str">
        <f t="shared" si="183"/>
        <v>Health: Insurance Premium</v>
      </c>
      <c r="W629" t="s">
        <v>106</v>
      </c>
      <c r="X629" t="s">
        <v>91</v>
      </c>
      <c r="Y629" s="1">
        <v>318</v>
      </c>
      <c r="Z629" s="1" t="str">
        <f t="shared" si="184"/>
        <v>Health: $318.00</v>
      </c>
      <c r="AA629" s="1">
        <f>IF(Y629="","",ROUND(Y629*'Lookup Values'!$A$2,2))</f>
        <v>28.22</v>
      </c>
      <c r="AB629" s="12" t="str">
        <f t="shared" si="185"/>
        <v>Expense</v>
      </c>
      <c r="AC629" s="2" t="s">
        <v>607</v>
      </c>
      <c r="AD629" s="3">
        <f t="shared" si="186"/>
        <v>40705</v>
      </c>
      <c r="AE629" s="93" t="str">
        <f t="shared" si="187"/>
        <v>NO</v>
      </c>
      <c r="AF629" s="2" t="str">
        <f t="shared" si="188"/>
        <v>NO</v>
      </c>
      <c r="AG629" t="str">
        <f t="shared" si="189"/>
        <v>CRAP Transaction</v>
      </c>
    </row>
    <row r="630" spans="1:33" x14ac:dyDescent="0.25">
      <c r="A630" s="2">
        <v>629</v>
      </c>
      <c r="B630" s="3" t="str">
        <f t="shared" si="171"/>
        <v>110716-EN-FAN</v>
      </c>
      <c r="C630" s="3">
        <v>40740</v>
      </c>
      <c r="D630" s="3">
        <f t="shared" si="173"/>
        <v>40753</v>
      </c>
      <c r="E630" s="3">
        <f t="shared" si="174"/>
        <v>40802</v>
      </c>
      <c r="F630" s="3">
        <f t="shared" si="175"/>
        <v>40755</v>
      </c>
      <c r="G630" s="76">
        <f t="shared" si="176"/>
        <v>2011</v>
      </c>
      <c r="H630" s="76">
        <f t="shared" si="177"/>
        <v>7</v>
      </c>
      <c r="I630" s="76" t="str">
        <f>VLOOKUP(H630,'Lookup Values'!$C$2:$D$13,2,FALSE)</f>
        <v>JUL</v>
      </c>
      <c r="J630" s="76">
        <f t="shared" si="178"/>
        <v>16</v>
      </c>
      <c r="K630" s="76">
        <f t="shared" si="179"/>
        <v>7</v>
      </c>
      <c r="L630" s="76" t="str">
        <f>VLOOKUP(K630,'Lookup Values'!$F$2:$G$8,2,FALSE)</f>
        <v>Saturday</v>
      </c>
      <c r="M630" s="3">
        <v>40745</v>
      </c>
      <c r="N630" s="78">
        <f t="shared" si="172"/>
        <v>5</v>
      </c>
      <c r="O630" s="11">
        <v>2.4947985155129193E-2</v>
      </c>
      <c r="P630" s="94">
        <f t="shared" si="180"/>
        <v>0</v>
      </c>
      <c r="Q630" s="94">
        <f t="shared" si="181"/>
        <v>35</v>
      </c>
      <c r="R630" s="94">
        <f t="shared" si="182"/>
        <v>56</v>
      </c>
      <c r="S630" s="94" t="str">
        <f>VLOOKUP(O630,'Lookup Values'!$I$2:$L$8,4,TRUE)</f>
        <v>Dead of Night</v>
      </c>
      <c r="T630" t="s">
        <v>76</v>
      </c>
      <c r="U630" t="s">
        <v>90</v>
      </c>
      <c r="V630" t="str">
        <f t="shared" si="183"/>
        <v>Entertainment: Movies</v>
      </c>
      <c r="W630" t="s">
        <v>89</v>
      </c>
      <c r="X630" t="s">
        <v>91</v>
      </c>
      <c r="Y630" s="1">
        <v>29</v>
      </c>
      <c r="Z630" s="1" t="str">
        <f t="shared" si="184"/>
        <v>Entertainment: $29.00</v>
      </c>
      <c r="AA630" s="1">
        <f>IF(Y630="","",ROUND(Y630*'Lookup Values'!$A$2,2))</f>
        <v>2.57</v>
      </c>
      <c r="AB630" s="12" t="str">
        <f t="shared" si="185"/>
        <v>Expense</v>
      </c>
      <c r="AC630" s="2" t="s">
        <v>706</v>
      </c>
      <c r="AD630" s="3">
        <f t="shared" si="186"/>
        <v>40740</v>
      </c>
      <c r="AE630" s="93" t="str">
        <f t="shared" si="187"/>
        <v>NO</v>
      </c>
      <c r="AF630" s="2" t="str">
        <f t="shared" si="188"/>
        <v>NO</v>
      </c>
      <c r="AG630" t="str">
        <f t="shared" si="189"/>
        <v>CRAP Transaction</v>
      </c>
    </row>
    <row r="631" spans="1:33" x14ac:dyDescent="0.25">
      <c r="A631" s="2">
        <v>630</v>
      </c>
      <c r="B631" s="3" t="str">
        <f t="shared" si="171"/>
        <v>110219-EN-MOE</v>
      </c>
      <c r="C631" s="3">
        <v>40593</v>
      </c>
      <c r="D631" s="3">
        <f t="shared" si="173"/>
        <v>40606</v>
      </c>
      <c r="E631" s="3">
        <f t="shared" si="174"/>
        <v>40652</v>
      </c>
      <c r="F631" s="3">
        <f t="shared" si="175"/>
        <v>40602</v>
      </c>
      <c r="G631" s="76">
        <f t="shared" si="176"/>
        <v>2011</v>
      </c>
      <c r="H631" s="76">
        <f t="shared" si="177"/>
        <v>2</v>
      </c>
      <c r="I631" s="76" t="str">
        <f>VLOOKUP(H631,'Lookup Values'!$C$2:$D$13,2,FALSE)</f>
        <v>FEB</v>
      </c>
      <c r="J631" s="76">
        <f t="shared" si="178"/>
        <v>19</v>
      </c>
      <c r="K631" s="76">
        <f t="shared" si="179"/>
        <v>7</v>
      </c>
      <c r="L631" s="76" t="str">
        <f>VLOOKUP(K631,'Lookup Values'!$F$2:$G$8,2,FALSE)</f>
        <v>Saturday</v>
      </c>
      <c r="M631" s="3">
        <v>40596</v>
      </c>
      <c r="N631" s="78">
        <f t="shared" si="172"/>
        <v>3</v>
      </c>
      <c r="O631" s="11">
        <v>0.7497748749177332</v>
      </c>
      <c r="P631" s="94">
        <f t="shared" si="180"/>
        <v>17</v>
      </c>
      <c r="Q631" s="94">
        <f t="shared" si="181"/>
        <v>59</v>
      </c>
      <c r="R631" s="94">
        <f t="shared" si="182"/>
        <v>41</v>
      </c>
      <c r="S631" s="94" t="str">
        <f>VLOOKUP(O631,'Lookup Values'!$I$2:$L$8,4,TRUE)</f>
        <v>Evening</v>
      </c>
      <c r="T631" t="s">
        <v>76</v>
      </c>
      <c r="U631" t="s">
        <v>77</v>
      </c>
      <c r="V631" t="str">
        <f t="shared" si="183"/>
        <v>Entertainment: Alcohol</v>
      </c>
      <c r="W631" t="s">
        <v>75</v>
      </c>
      <c r="X631" t="s">
        <v>78</v>
      </c>
      <c r="Y631" s="1">
        <v>168</v>
      </c>
      <c r="Z631" s="1" t="str">
        <f t="shared" si="184"/>
        <v>Entertainment: $168.00</v>
      </c>
      <c r="AA631" s="1">
        <f>IF(Y631="","",ROUND(Y631*'Lookup Values'!$A$2,2))</f>
        <v>14.91</v>
      </c>
      <c r="AB631" s="12" t="str">
        <f t="shared" si="185"/>
        <v>Expense</v>
      </c>
      <c r="AC631" s="2" t="s">
        <v>707</v>
      </c>
      <c r="AD631" s="3">
        <f t="shared" si="186"/>
        <v>40593</v>
      </c>
      <c r="AE631" s="93" t="str">
        <f t="shared" si="187"/>
        <v>NO</v>
      </c>
      <c r="AF631" s="2" t="str">
        <f t="shared" si="188"/>
        <v>NO</v>
      </c>
      <c r="AG631" t="str">
        <f t="shared" si="189"/>
        <v>CRAP Transaction</v>
      </c>
    </row>
    <row r="632" spans="1:33" x14ac:dyDescent="0.25">
      <c r="A632" s="2">
        <v>631</v>
      </c>
      <c r="B632" s="3" t="str">
        <f t="shared" si="171"/>
        <v>110330-TR-MTA</v>
      </c>
      <c r="C632" s="3">
        <v>40632</v>
      </c>
      <c r="D632" s="3">
        <f t="shared" si="173"/>
        <v>40646</v>
      </c>
      <c r="E632" s="3">
        <f t="shared" si="174"/>
        <v>40693</v>
      </c>
      <c r="F632" s="3">
        <f t="shared" si="175"/>
        <v>40633</v>
      </c>
      <c r="G632" s="76">
        <f t="shared" si="176"/>
        <v>2011</v>
      </c>
      <c r="H632" s="76">
        <f t="shared" si="177"/>
        <v>3</v>
      </c>
      <c r="I632" s="76" t="str">
        <f>VLOOKUP(H632,'Lookup Values'!$C$2:$D$13,2,FALSE)</f>
        <v>MAR</v>
      </c>
      <c r="J632" s="76">
        <f t="shared" si="178"/>
        <v>30</v>
      </c>
      <c r="K632" s="76">
        <f t="shared" si="179"/>
        <v>4</v>
      </c>
      <c r="L632" s="76" t="str">
        <f>VLOOKUP(K632,'Lookup Values'!$F$2:$G$8,2,FALSE)</f>
        <v>Wednesday</v>
      </c>
      <c r="M632" s="3">
        <v>40641</v>
      </c>
      <c r="N632" s="78">
        <f t="shared" si="172"/>
        <v>9</v>
      </c>
      <c r="O632" s="11">
        <v>0.26721841508847488</v>
      </c>
      <c r="P632" s="94">
        <f t="shared" si="180"/>
        <v>6</v>
      </c>
      <c r="Q632" s="94">
        <f t="shared" si="181"/>
        <v>24</v>
      </c>
      <c r="R632" s="94">
        <f t="shared" si="182"/>
        <v>48</v>
      </c>
      <c r="S632" s="94" t="str">
        <f>VLOOKUP(O632,'Lookup Values'!$I$2:$L$8,4,TRUE)</f>
        <v>Early Morning</v>
      </c>
      <c r="T632" t="s">
        <v>95</v>
      </c>
      <c r="U632" t="s">
        <v>96</v>
      </c>
      <c r="V632" t="str">
        <f t="shared" si="183"/>
        <v>Transportation: Subway</v>
      </c>
      <c r="W632" t="s">
        <v>94</v>
      </c>
      <c r="X632" t="s">
        <v>78</v>
      </c>
      <c r="Y632" s="1">
        <v>120</v>
      </c>
      <c r="Z632" s="1" t="str">
        <f t="shared" si="184"/>
        <v>Transportation: $120.00</v>
      </c>
      <c r="AA632" s="1">
        <f>IF(Y632="","",ROUND(Y632*'Lookup Values'!$A$2,2))</f>
        <v>10.65</v>
      </c>
      <c r="AB632" s="12" t="str">
        <f t="shared" si="185"/>
        <v>Expense</v>
      </c>
      <c r="AC632" s="2" t="s">
        <v>708</v>
      </c>
      <c r="AD632" s="3">
        <f t="shared" si="186"/>
        <v>40632</v>
      </c>
      <c r="AE632" s="93" t="str">
        <f t="shared" si="187"/>
        <v>YES</v>
      </c>
      <c r="AF632" s="2" t="str">
        <f t="shared" si="188"/>
        <v>NO</v>
      </c>
      <c r="AG632" t="str">
        <f t="shared" si="189"/>
        <v>CRAP Transaction</v>
      </c>
    </row>
    <row r="633" spans="1:33" x14ac:dyDescent="0.25">
      <c r="A633" s="2">
        <v>632</v>
      </c>
      <c r="B633" s="3" t="str">
        <f t="shared" si="171"/>
        <v>090225-BI-CON</v>
      </c>
      <c r="C633" s="3">
        <v>39869</v>
      </c>
      <c r="D633" s="3">
        <f t="shared" si="173"/>
        <v>39883</v>
      </c>
      <c r="E633" s="3">
        <f t="shared" si="174"/>
        <v>39928</v>
      </c>
      <c r="F633" s="3">
        <f t="shared" si="175"/>
        <v>39872</v>
      </c>
      <c r="G633" s="76">
        <f t="shared" si="176"/>
        <v>2009</v>
      </c>
      <c r="H633" s="76">
        <f t="shared" si="177"/>
        <v>2</v>
      </c>
      <c r="I633" s="76" t="str">
        <f>VLOOKUP(H633,'Lookup Values'!$C$2:$D$13,2,FALSE)</f>
        <v>FEB</v>
      </c>
      <c r="J633" s="76">
        <f t="shared" si="178"/>
        <v>25</v>
      </c>
      <c r="K633" s="76">
        <f t="shared" si="179"/>
        <v>4</v>
      </c>
      <c r="L633" s="76" t="str">
        <f>VLOOKUP(K633,'Lookup Values'!$F$2:$G$8,2,FALSE)</f>
        <v>Wednesday</v>
      </c>
      <c r="M633" s="3">
        <v>39879</v>
      </c>
      <c r="N633" s="78">
        <f t="shared" si="172"/>
        <v>10</v>
      </c>
      <c r="O633" s="11">
        <v>0.10946366457495649</v>
      </c>
      <c r="P633" s="94">
        <f t="shared" si="180"/>
        <v>2</v>
      </c>
      <c r="Q633" s="94">
        <f t="shared" si="181"/>
        <v>37</v>
      </c>
      <c r="R633" s="94">
        <f t="shared" si="182"/>
        <v>38</v>
      </c>
      <c r="S633" s="94" t="str">
        <f>VLOOKUP(O633,'Lookup Values'!$I$2:$L$8,4,TRUE)</f>
        <v>Dead of Night</v>
      </c>
      <c r="T633" t="s">
        <v>110</v>
      </c>
      <c r="U633" t="s">
        <v>111</v>
      </c>
      <c r="V633" t="str">
        <f t="shared" si="183"/>
        <v>Bills: Utilities</v>
      </c>
      <c r="W633" t="s">
        <v>109</v>
      </c>
      <c r="X633" t="s">
        <v>88</v>
      </c>
      <c r="Y633" s="1">
        <v>460</v>
      </c>
      <c r="Z633" s="1" t="str">
        <f t="shared" si="184"/>
        <v>Bills: $460.00</v>
      </c>
      <c r="AA633" s="1">
        <f>IF(Y633="","",ROUND(Y633*'Lookup Values'!$A$2,2))</f>
        <v>40.83</v>
      </c>
      <c r="AB633" s="12" t="str">
        <f t="shared" si="185"/>
        <v>Expense</v>
      </c>
      <c r="AC633" s="2" t="s">
        <v>709</v>
      </c>
      <c r="AD633" s="3">
        <f t="shared" si="186"/>
        <v>39869</v>
      </c>
      <c r="AE633" s="93" t="str">
        <f t="shared" si="187"/>
        <v>NO</v>
      </c>
      <c r="AF633" s="2" t="str">
        <f t="shared" si="188"/>
        <v>NO</v>
      </c>
      <c r="AG633" t="str">
        <f t="shared" si="189"/>
        <v>Late Transaction</v>
      </c>
    </row>
    <row r="634" spans="1:33" x14ac:dyDescent="0.25">
      <c r="A634" s="2">
        <v>633</v>
      </c>
      <c r="B634" s="3" t="str">
        <f t="shared" si="171"/>
        <v>111221-EN-FAN</v>
      </c>
      <c r="C634" s="3">
        <v>40898</v>
      </c>
      <c r="D634" s="3">
        <f t="shared" si="173"/>
        <v>40912</v>
      </c>
      <c r="E634" s="3">
        <f t="shared" si="174"/>
        <v>40960</v>
      </c>
      <c r="F634" s="3">
        <f t="shared" si="175"/>
        <v>40908</v>
      </c>
      <c r="G634" s="76">
        <f t="shared" si="176"/>
        <v>2011</v>
      </c>
      <c r="H634" s="76">
        <f t="shared" si="177"/>
        <v>12</v>
      </c>
      <c r="I634" s="76" t="str">
        <f>VLOOKUP(H634,'Lookup Values'!$C$2:$D$13,2,FALSE)</f>
        <v>DEC</v>
      </c>
      <c r="J634" s="76">
        <f t="shared" si="178"/>
        <v>21</v>
      </c>
      <c r="K634" s="76">
        <f t="shared" si="179"/>
        <v>4</v>
      </c>
      <c r="L634" s="76" t="str">
        <f>VLOOKUP(K634,'Lookup Values'!$F$2:$G$8,2,FALSE)</f>
        <v>Wednesday</v>
      </c>
      <c r="M634" s="3">
        <v>40907</v>
      </c>
      <c r="N634" s="78">
        <f t="shared" si="172"/>
        <v>9</v>
      </c>
      <c r="O634" s="11">
        <v>0.91699989136520388</v>
      </c>
      <c r="P634" s="94">
        <f t="shared" si="180"/>
        <v>22</v>
      </c>
      <c r="Q634" s="94">
        <f t="shared" si="181"/>
        <v>0</v>
      </c>
      <c r="R634" s="94">
        <f t="shared" si="182"/>
        <v>29</v>
      </c>
      <c r="S634" s="94" t="str">
        <f>VLOOKUP(O634,'Lookup Values'!$I$2:$L$8,4,TRUE)</f>
        <v>Late Evening</v>
      </c>
      <c r="T634" t="s">
        <v>76</v>
      </c>
      <c r="U634" t="s">
        <v>90</v>
      </c>
      <c r="V634" t="str">
        <f t="shared" si="183"/>
        <v>Entertainment: Movies</v>
      </c>
      <c r="W634" t="s">
        <v>89</v>
      </c>
      <c r="X634" t="s">
        <v>88</v>
      </c>
      <c r="Y634" s="1">
        <v>456</v>
      </c>
      <c r="Z634" s="1" t="str">
        <f t="shared" si="184"/>
        <v>Entertainment: $456.00</v>
      </c>
      <c r="AA634" s="1">
        <f>IF(Y634="","",ROUND(Y634*'Lookup Values'!$A$2,2))</f>
        <v>40.47</v>
      </c>
      <c r="AB634" s="12" t="str">
        <f t="shared" si="185"/>
        <v>Expense</v>
      </c>
      <c r="AC634" s="2" t="s">
        <v>710</v>
      </c>
      <c r="AD634" s="3">
        <f t="shared" si="186"/>
        <v>40898</v>
      </c>
      <c r="AE634" s="93" t="str">
        <f t="shared" si="187"/>
        <v>NO</v>
      </c>
      <c r="AF634" s="2" t="str">
        <f t="shared" si="188"/>
        <v>NO</v>
      </c>
      <c r="AG634" t="str">
        <f t="shared" si="189"/>
        <v>CRAP Transaction</v>
      </c>
    </row>
    <row r="635" spans="1:33" x14ac:dyDescent="0.25">
      <c r="A635" s="2">
        <v>634</v>
      </c>
      <c r="B635" s="3" t="str">
        <f t="shared" si="171"/>
        <v>100509-IN-LEG</v>
      </c>
      <c r="C635" s="3">
        <v>40307</v>
      </c>
      <c r="D635" s="3">
        <f t="shared" si="173"/>
        <v>40319</v>
      </c>
      <c r="E635" s="3">
        <f t="shared" si="174"/>
        <v>40368</v>
      </c>
      <c r="F635" s="3">
        <f t="shared" si="175"/>
        <v>40329</v>
      </c>
      <c r="G635" s="76">
        <f t="shared" si="176"/>
        <v>2010</v>
      </c>
      <c r="H635" s="76">
        <f t="shared" si="177"/>
        <v>5</v>
      </c>
      <c r="I635" s="76" t="str">
        <f>VLOOKUP(H635,'Lookup Values'!$C$2:$D$13,2,FALSE)</f>
        <v>MAY</v>
      </c>
      <c r="J635" s="76">
        <f t="shared" si="178"/>
        <v>9</v>
      </c>
      <c r="K635" s="76">
        <f t="shared" si="179"/>
        <v>1</v>
      </c>
      <c r="L635" s="76" t="str">
        <f>VLOOKUP(K635,'Lookup Values'!$F$2:$G$8,2,FALSE)</f>
        <v>Sunday</v>
      </c>
      <c r="M635" s="3">
        <v>40312</v>
      </c>
      <c r="N635" s="78">
        <f t="shared" si="172"/>
        <v>5</v>
      </c>
      <c r="O635" s="11">
        <v>0.10239947962574214</v>
      </c>
      <c r="P635" s="94">
        <f t="shared" si="180"/>
        <v>2</v>
      </c>
      <c r="Q635" s="94">
        <f t="shared" si="181"/>
        <v>27</v>
      </c>
      <c r="R635" s="94">
        <f t="shared" si="182"/>
        <v>27</v>
      </c>
      <c r="S635" s="94" t="str">
        <f>VLOOKUP(O635,'Lookup Values'!$I$2:$L$8,4,TRUE)</f>
        <v>Dead of Night</v>
      </c>
      <c r="T635" t="s">
        <v>158</v>
      </c>
      <c r="U635" t="s">
        <v>160</v>
      </c>
      <c r="V635" t="str">
        <f t="shared" si="183"/>
        <v>Income: Freelance Project</v>
      </c>
      <c r="W635" t="s">
        <v>163</v>
      </c>
      <c r="X635" t="s">
        <v>78</v>
      </c>
      <c r="Y635" s="1">
        <v>6</v>
      </c>
      <c r="Z635" s="1" t="str">
        <f t="shared" si="184"/>
        <v>Income: $6.00</v>
      </c>
      <c r="AA635" s="1">
        <f>IF(Y635="","",ROUND(Y635*'Lookup Values'!$A$2,2))</f>
        <v>0.53</v>
      </c>
      <c r="AB635" s="12" t="str">
        <f t="shared" si="185"/>
        <v>Income</v>
      </c>
      <c r="AC635" s="2" t="s">
        <v>711</v>
      </c>
      <c r="AD635" s="3">
        <f t="shared" si="186"/>
        <v>40307</v>
      </c>
      <c r="AE635" s="93" t="str">
        <f t="shared" si="187"/>
        <v>NO</v>
      </c>
      <c r="AF635" s="2" t="str">
        <f t="shared" si="188"/>
        <v>NO</v>
      </c>
      <c r="AG635" t="str">
        <f t="shared" si="189"/>
        <v>Late Transaction</v>
      </c>
    </row>
    <row r="636" spans="1:33" x14ac:dyDescent="0.25">
      <c r="A636" s="2">
        <v>635</v>
      </c>
      <c r="B636" s="3" t="str">
        <f t="shared" si="171"/>
        <v>070802-IN-AUN</v>
      </c>
      <c r="C636" s="3">
        <v>39296</v>
      </c>
      <c r="D636" s="3">
        <f t="shared" si="173"/>
        <v>39310</v>
      </c>
      <c r="E636" s="3">
        <f t="shared" si="174"/>
        <v>39357</v>
      </c>
      <c r="F636" s="3">
        <f t="shared" si="175"/>
        <v>39325</v>
      </c>
      <c r="G636" s="76">
        <f t="shared" si="176"/>
        <v>2007</v>
      </c>
      <c r="H636" s="76">
        <f t="shared" si="177"/>
        <v>8</v>
      </c>
      <c r="I636" s="76" t="str">
        <f>VLOOKUP(H636,'Lookup Values'!$C$2:$D$13,2,FALSE)</f>
        <v>AUG</v>
      </c>
      <c r="J636" s="76">
        <f t="shared" si="178"/>
        <v>2</v>
      </c>
      <c r="K636" s="76">
        <f t="shared" si="179"/>
        <v>5</v>
      </c>
      <c r="L636" s="76" t="str">
        <f>VLOOKUP(K636,'Lookup Values'!$F$2:$G$8,2,FALSE)</f>
        <v>Thursday</v>
      </c>
      <c r="M636" s="3">
        <v>39303</v>
      </c>
      <c r="N636" s="78">
        <f t="shared" si="172"/>
        <v>7</v>
      </c>
      <c r="O636" s="11">
        <v>0.2772853562151566</v>
      </c>
      <c r="P636" s="94">
        <f t="shared" si="180"/>
        <v>6</v>
      </c>
      <c r="Q636" s="94">
        <f t="shared" si="181"/>
        <v>39</v>
      </c>
      <c r="R636" s="94">
        <f t="shared" si="182"/>
        <v>17</v>
      </c>
      <c r="S636" s="94" t="str">
        <f>VLOOKUP(O636,'Lookup Values'!$I$2:$L$8,4,TRUE)</f>
        <v>Early Morning</v>
      </c>
      <c r="T636" t="s">
        <v>158</v>
      </c>
      <c r="U636" t="s">
        <v>161</v>
      </c>
      <c r="V636" t="str">
        <f t="shared" si="183"/>
        <v>Income: Gift Received</v>
      </c>
      <c r="W636" t="s">
        <v>164</v>
      </c>
      <c r="X636" t="s">
        <v>88</v>
      </c>
      <c r="Y636" s="1">
        <v>45</v>
      </c>
      <c r="Z636" s="1" t="str">
        <f t="shared" si="184"/>
        <v>Income: $45.00</v>
      </c>
      <c r="AA636" s="1">
        <f>IF(Y636="","",ROUND(Y636*'Lookup Values'!$A$2,2))</f>
        <v>3.99</v>
      </c>
      <c r="AB636" s="12" t="str">
        <f t="shared" si="185"/>
        <v>Income</v>
      </c>
      <c r="AC636" s="2" t="s">
        <v>214</v>
      </c>
      <c r="AD636" s="3">
        <f t="shared" si="186"/>
        <v>39296</v>
      </c>
      <c r="AE636" s="93" t="str">
        <f t="shared" si="187"/>
        <v>NO</v>
      </c>
      <c r="AF636" s="2" t="str">
        <f t="shared" si="188"/>
        <v>NO</v>
      </c>
      <c r="AG636" t="str">
        <f t="shared" si="189"/>
        <v>Late Transaction</v>
      </c>
    </row>
    <row r="637" spans="1:33" x14ac:dyDescent="0.25">
      <c r="A637" s="2">
        <v>636</v>
      </c>
      <c r="B637" s="3" t="str">
        <f t="shared" si="171"/>
        <v>080703-BI-CON</v>
      </c>
      <c r="C637" s="3">
        <v>39632</v>
      </c>
      <c r="D637" s="3">
        <f t="shared" si="173"/>
        <v>39646</v>
      </c>
      <c r="E637" s="3">
        <f t="shared" si="174"/>
        <v>39694</v>
      </c>
      <c r="F637" s="3">
        <f t="shared" si="175"/>
        <v>39660</v>
      </c>
      <c r="G637" s="76">
        <f t="shared" si="176"/>
        <v>2008</v>
      </c>
      <c r="H637" s="76">
        <f t="shared" si="177"/>
        <v>7</v>
      </c>
      <c r="I637" s="76" t="str">
        <f>VLOOKUP(H637,'Lookup Values'!$C$2:$D$13,2,FALSE)</f>
        <v>JUL</v>
      </c>
      <c r="J637" s="76">
        <f t="shared" si="178"/>
        <v>3</v>
      </c>
      <c r="K637" s="76">
        <f t="shared" si="179"/>
        <v>5</v>
      </c>
      <c r="L637" s="76" t="str">
        <f>VLOOKUP(K637,'Lookup Values'!$F$2:$G$8,2,FALSE)</f>
        <v>Thursday</v>
      </c>
      <c r="M637" s="3">
        <v>39641</v>
      </c>
      <c r="N637" s="78">
        <f t="shared" si="172"/>
        <v>9</v>
      </c>
      <c r="O637" s="11">
        <v>6.2814367404057103E-2</v>
      </c>
      <c r="P637" s="94">
        <f t="shared" si="180"/>
        <v>1</v>
      </c>
      <c r="Q637" s="94">
        <f t="shared" si="181"/>
        <v>30</v>
      </c>
      <c r="R637" s="94">
        <f t="shared" si="182"/>
        <v>27</v>
      </c>
      <c r="S637" s="94" t="str">
        <f>VLOOKUP(O637,'Lookup Values'!$I$2:$L$8,4,TRUE)</f>
        <v>Dead of Night</v>
      </c>
      <c r="T637" t="s">
        <v>110</v>
      </c>
      <c r="U637" t="s">
        <v>111</v>
      </c>
      <c r="V637" t="str">
        <f t="shared" si="183"/>
        <v>Bills: Utilities</v>
      </c>
      <c r="W637" t="s">
        <v>109</v>
      </c>
      <c r="X637" t="s">
        <v>91</v>
      </c>
      <c r="Y637" s="1">
        <v>359</v>
      </c>
      <c r="Z637" s="1" t="str">
        <f t="shared" si="184"/>
        <v>Bills: $359.00</v>
      </c>
      <c r="AA637" s="1">
        <f>IF(Y637="","",ROUND(Y637*'Lookup Values'!$A$2,2))</f>
        <v>31.86</v>
      </c>
      <c r="AB637" s="12" t="str">
        <f t="shared" si="185"/>
        <v>Expense</v>
      </c>
      <c r="AC637" s="2" t="s">
        <v>712</v>
      </c>
      <c r="AD637" s="3">
        <f t="shared" si="186"/>
        <v>39632</v>
      </c>
      <c r="AE637" s="93" t="str">
        <f t="shared" si="187"/>
        <v>NO</v>
      </c>
      <c r="AF637" s="2" t="str">
        <f t="shared" si="188"/>
        <v>NO</v>
      </c>
      <c r="AG637" t="str">
        <f t="shared" si="189"/>
        <v>Late Transaction</v>
      </c>
    </row>
    <row r="638" spans="1:33" x14ac:dyDescent="0.25">
      <c r="A638" s="2">
        <v>637</v>
      </c>
      <c r="B638" s="3" t="str">
        <f t="shared" si="171"/>
        <v>070526-BI-CON</v>
      </c>
      <c r="C638" s="3">
        <v>39228</v>
      </c>
      <c r="D638" s="3">
        <f t="shared" si="173"/>
        <v>39241</v>
      </c>
      <c r="E638" s="3">
        <f t="shared" si="174"/>
        <v>39289</v>
      </c>
      <c r="F638" s="3">
        <f t="shared" si="175"/>
        <v>39233</v>
      </c>
      <c r="G638" s="76">
        <f t="shared" si="176"/>
        <v>2007</v>
      </c>
      <c r="H638" s="76">
        <f t="shared" si="177"/>
        <v>5</v>
      </c>
      <c r="I638" s="76" t="str">
        <f>VLOOKUP(H638,'Lookup Values'!$C$2:$D$13,2,FALSE)</f>
        <v>MAY</v>
      </c>
      <c r="J638" s="76">
        <f t="shared" si="178"/>
        <v>26</v>
      </c>
      <c r="K638" s="76">
        <f t="shared" si="179"/>
        <v>7</v>
      </c>
      <c r="L638" s="76" t="str">
        <f>VLOOKUP(K638,'Lookup Values'!$F$2:$G$8,2,FALSE)</f>
        <v>Saturday</v>
      </c>
      <c r="M638" s="3">
        <v>39238</v>
      </c>
      <c r="N638" s="78">
        <f t="shared" si="172"/>
        <v>10</v>
      </c>
      <c r="O638" s="11">
        <v>0.43701275153946217</v>
      </c>
      <c r="P638" s="94">
        <f t="shared" si="180"/>
        <v>10</v>
      </c>
      <c r="Q638" s="94">
        <f t="shared" si="181"/>
        <v>29</v>
      </c>
      <c r="R638" s="94">
        <f t="shared" si="182"/>
        <v>18</v>
      </c>
      <c r="S638" s="94" t="str">
        <f>VLOOKUP(O638,'Lookup Values'!$I$2:$L$8,4,TRUE)</f>
        <v>Late Morning</v>
      </c>
      <c r="T638" t="s">
        <v>110</v>
      </c>
      <c r="U638" t="s">
        <v>111</v>
      </c>
      <c r="V638" t="str">
        <f t="shared" si="183"/>
        <v>Bills: Utilities</v>
      </c>
      <c r="W638" t="s">
        <v>109</v>
      </c>
      <c r="X638" t="s">
        <v>88</v>
      </c>
      <c r="Y638" s="1">
        <v>29</v>
      </c>
      <c r="Z638" s="1" t="str">
        <f t="shared" si="184"/>
        <v>Bills: $29.00</v>
      </c>
      <c r="AA638" s="1">
        <f>IF(Y638="","",ROUND(Y638*'Lookup Values'!$A$2,2))</f>
        <v>2.57</v>
      </c>
      <c r="AB638" s="12" t="str">
        <f t="shared" si="185"/>
        <v>Expense</v>
      </c>
      <c r="AC638" s="2" t="s">
        <v>713</v>
      </c>
      <c r="AD638" s="3">
        <f t="shared" si="186"/>
        <v>39228</v>
      </c>
      <c r="AE638" s="93" t="str">
        <f t="shared" si="187"/>
        <v>NO</v>
      </c>
      <c r="AF638" s="2" t="str">
        <f t="shared" si="188"/>
        <v>NO</v>
      </c>
      <c r="AG638" t="str">
        <f t="shared" si="189"/>
        <v>Late Transaction</v>
      </c>
    </row>
    <row r="639" spans="1:33" x14ac:dyDescent="0.25">
      <c r="A639" s="2">
        <v>638</v>
      </c>
      <c r="B639" s="3" t="str">
        <f t="shared" si="171"/>
        <v>110321-FO-BAN</v>
      </c>
      <c r="C639" s="3">
        <v>40623</v>
      </c>
      <c r="D639" s="3">
        <f t="shared" si="173"/>
        <v>40637</v>
      </c>
      <c r="E639" s="3">
        <f t="shared" si="174"/>
        <v>40684</v>
      </c>
      <c r="F639" s="3">
        <f t="shared" si="175"/>
        <v>40633</v>
      </c>
      <c r="G639" s="76">
        <f t="shared" si="176"/>
        <v>2011</v>
      </c>
      <c r="H639" s="76">
        <f t="shared" si="177"/>
        <v>3</v>
      </c>
      <c r="I639" s="76" t="str">
        <f>VLOOKUP(H639,'Lookup Values'!$C$2:$D$13,2,FALSE)</f>
        <v>MAR</v>
      </c>
      <c r="J639" s="76">
        <f t="shared" si="178"/>
        <v>21</v>
      </c>
      <c r="K639" s="76">
        <f t="shared" si="179"/>
        <v>2</v>
      </c>
      <c r="L639" s="76" t="str">
        <f>VLOOKUP(K639,'Lookup Values'!$F$2:$G$8,2,FALSE)</f>
        <v>Monday</v>
      </c>
      <c r="M639" s="3">
        <v>40629</v>
      </c>
      <c r="N639" s="78">
        <f t="shared" si="172"/>
        <v>6</v>
      </c>
      <c r="O639" s="11">
        <v>0.34644635791895062</v>
      </c>
      <c r="P639" s="94">
        <f t="shared" si="180"/>
        <v>8</v>
      </c>
      <c r="Q639" s="94">
        <f t="shared" si="181"/>
        <v>18</v>
      </c>
      <c r="R639" s="94">
        <f t="shared" si="182"/>
        <v>53</v>
      </c>
      <c r="S639" s="94" t="str">
        <f>VLOOKUP(O639,'Lookup Values'!$I$2:$L$8,4,TRUE)</f>
        <v>Morning</v>
      </c>
      <c r="T639" t="s">
        <v>80</v>
      </c>
      <c r="U639" t="s">
        <v>81</v>
      </c>
      <c r="V639" t="str">
        <f t="shared" si="183"/>
        <v>Food: Restaurants</v>
      </c>
      <c r="W639" t="s">
        <v>79</v>
      </c>
      <c r="X639" t="s">
        <v>88</v>
      </c>
      <c r="Y639" s="1">
        <v>352</v>
      </c>
      <c r="Z639" s="1" t="str">
        <f t="shared" si="184"/>
        <v>Food: $352.00</v>
      </c>
      <c r="AA639" s="1">
        <f>IF(Y639="","",ROUND(Y639*'Lookup Values'!$A$2,2))</f>
        <v>31.24</v>
      </c>
      <c r="AB639" s="12" t="str">
        <f t="shared" si="185"/>
        <v>Expense</v>
      </c>
      <c r="AC639" s="2" t="s">
        <v>714</v>
      </c>
      <c r="AD639" s="3">
        <f t="shared" si="186"/>
        <v>40623</v>
      </c>
      <c r="AE639" s="93" t="str">
        <f t="shared" si="187"/>
        <v>NO</v>
      </c>
      <c r="AF639" s="2" t="str">
        <f t="shared" si="188"/>
        <v>NO</v>
      </c>
      <c r="AG639" t="str">
        <f t="shared" si="189"/>
        <v>CRAP Transaction</v>
      </c>
    </row>
    <row r="640" spans="1:33" x14ac:dyDescent="0.25">
      <c r="A640" s="2">
        <v>639</v>
      </c>
      <c r="B640" s="3" t="str">
        <f t="shared" si="171"/>
        <v>110415-HO-BED</v>
      </c>
      <c r="C640" s="3">
        <v>40648</v>
      </c>
      <c r="D640" s="3">
        <f t="shared" si="173"/>
        <v>40662</v>
      </c>
      <c r="E640" s="3">
        <f t="shared" si="174"/>
        <v>40709</v>
      </c>
      <c r="F640" s="3">
        <f t="shared" si="175"/>
        <v>40663</v>
      </c>
      <c r="G640" s="76">
        <f t="shared" si="176"/>
        <v>2011</v>
      </c>
      <c r="H640" s="76">
        <f t="shared" si="177"/>
        <v>4</v>
      </c>
      <c r="I640" s="76" t="str">
        <f>VLOOKUP(H640,'Lookup Values'!$C$2:$D$13,2,FALSE)</f>
        <v>APR</v>
      </c>
      <c r="J640" s="76">
        <f t="shared" si="178"/>
        <v>15</v>
      </c>
      <c r="K640" s="76">
        <f t="shared" si="179"/>
        <v>6</v>
      </c>
      <c r="L640" s="76" t="str">
        <f>VLOOKUP(K640,'Lookup Values'!$F$2:$G$8,2,FALSE)</f>
        <v>Friday</v>
      </c>
      <c r="M640" s="3">
        <v>40656</v>
      </c>
      <c r="N640" s="78">
        <f t="shared" si="172"/>
        <v>8</v>
      </c>
      <c r="O640" s="11">
        <v>0.28116546262908271</v>
      </c>
      <c r="P640" s="94">
        <f t="shared" si="180"/>
        <v>6</v>
      </c>
      <c r="Q640" s="94">
        <f t="shared" si="181"/>
        <v>44</v>
      </c>
      <c r="R640" s="94">
        <f t="shared" si="182"/>
        <v>53</v>
      </c>
      <c r="S640" s="94" t="str">
        <f>VLOOKUP(O640,'Lookup Values'!$I$2:$L$8,4,TRUE)</f>
        <v>Early Morning</v>
      </c>
      <c r="T640" t="s">
        <v>100</v>
      </c>
      <c r="U640" t="s">
        <v>101</v>
      </c>
      <c r="V640" t="str">
        <f t="shared" si="183"/>
        <v>Home: Cleaning Supplies</v>
      </c>
      <c r="W640" t="s">
        <v>99</v>
      </c>
      <c r="X640" t="s">
        <v>78</v>
      </c>
      <c r="Y640" s="1">
        <v>48</v>
      </c>
      <c r="Z640" s="1" t="str">
        <f t="shared" si="184"/>
        <v>Home: $48.00</v>
      </c>
      <c r="AA640" s="1">
        <f>IF(Y640="","",ROUND(Y640*'Lookup Values'!$A$2,2))</f>
        <v>4.26</v>
      </c>
      <c r="AB640" s="12" t="str">
        <f t="shared" si="185"/>
        <v>Expense</v>
      </c>
      <c r="AC640" s="2" t="s">
        <v>489</v>
      </c>
      <c r="AD640" s="3">
        <f t="shared" si="186"/>
        <v>40648</v>
      </c>
      <c r="AE640" s="93" t="str">
        <f t="shared" si="187"/>
        <v>NO</v>
      </c>
      <c r="AF640" s="2" t="str">
        <f t="shared" si="188"/>
        <v>NO</v>
      </c>
      <c r="AG640" t="str">
        <f t="shared" si="189"/>
        <v>CRAP Transaction</v>
      </c>
    </row>
    <row r="641" spans="1:33" x14ac:dyDescent="0.25">
      <c r="A641" s="2">
        <v>640</v>
      </c>
      <c r="B641" s="3" t="str">
        <f t="shared" si="171"/>
        <v>120821-IN-LEG</v>
      </c>
      <c r="C641" s="3">
        <v>41142</v>
      </c>
      <c r="D641" s="3">
        <f t="shared" si="173"/>
        <v>41156</v>
      </c>
      <c r="E641" s="3">
        <f t="shared" si="174"/>
        <v>41203</v>
      </c>
      <c r="F641" s="3">
        <f t="shared" si="175"/>
        <v>41152</v>
      </c>
      <c r="G641" s="76">
        <f t="shared" si="176"/>
        <v>2012</v>
      </c>
      <c r="H641" s="76">
        <f t="shared" si="177"/>
        <v>8</v>
      </c>
      <c r="I641" s="76" t="str">
        <f>VLOOKUP(H641,'Lookup Values'!$C$2:$D$13,2,FALSE)</f>
        <v>AUG</v>
      </c>
      <c r="J641" s="76">
        <f t="shared" si="178"/>
        <v>21</v>
      </c>
      <c r="K641" s="76">
        <f t="shared" si="179"/>
        <v>3</v>
      </c>
      <c r="L641" s="76" t="str">
        <f>VLOOKUP(K641,'Lookup Values'!$F$2:$G$8,2,FALSE)</f>
        <v>Tuesday</v>
      </c>
      <c r="M641" s="3">
        <v>41143</v>
      </c>
      <c r="N641" s="78">
        <f t="shared" si="172"/>
        <v>1</v>
      </c>
      <c r="O641" s="11">
        <v>0.19954305325260246</v>
      </c>
      <c r="P641" s="94">
        <f t="shared" si="180"/>
        <v>4</v>
      </c>
      <c r="Q641" s="94">
        <f t="shared" si="181"/>
        <v>47</v>
      </c>
      <c r="R641" s="94">
        <f t="shared" si="182"/>
        <v>21</v>
      </c>
      <c r="S641" s="94" t="str">
        <f>VLOOKUP(O641,'Lookup Values'!$I$2:$L$8,4,TRUE)</f>
        <v>Early Morning</v>
      </c>
      <c r="T641" t="s">
        <v>158</v>
      </c>
      <c r="U641" t="s">
        <v>160</v>
      </c>
      <c r="V641" t="str">
        <f t="shared" si="183"/>
        <v>Income: Freelance Project</v>
      </c>
      <c r="W641" t="s">
        <v>163</v>
      </c>
      <c r="X641" t="s">
        <v>78</v>
      </c>
      <c r="Y641" s="1">
        <v>255</v>
      </c>
      <c r="Z641" s="1" t="str">
        <f t="shared" si="184"/>
        <v>Income: $255.00</v>
      </c>
      <c r="AA641" s="1">
        <f>IF(Y641="","",ROUND(Y641*'Lookup Values'!$A$2,2))</f>
        <v>22.63</v>
      </c>
      <c r="AB641" s="12" t="str">
        <f t="shared" si="185"/>
        <v>Income</v>
      </c>
      <c r="AC641" s="2" t="s">
        <v>715</v>
      </c>
      <c r="AD641" s="3">
        <f t="shared" si="186"/>
        <v>41142</v>
      </c>
      <c r="AE641" s="93" t="str">
        <f t="shared" si="187"/>
        <v>NO</v>
      </c>
      <c r="AF641" s="2" t="str">
        <f t="shared" si="188"/>
        <v>NO</v>
      </c>
      <c r="AG641" t="str">
        <f t="shared" si="189"/>
        <v>CRAP Transaction</v>
      </c>
    </row>
    <row r="642" spans="1:33" x14ac:dyDescent="0.25">
      <c r="A642" s="2">
        <v>641</v>
      </c>
      <c r="B642" s="3" t="str">
        <f t="shared" ref="B642:B705" si="190">TEXT(C642,"yymmdd") &amp; "-" &amp; UPPER(LEFT(T642,2)) &amp; "-" &amp; UPPER(LEFT(W642,3))</f>
        <v>081222-EN-MOE</v>
      </c>
      <c r="C642" s="3">
        <v>39804</v>
      </c>
      <c r="D642" s="3">
        <f t="shared" si="173"/>
        <v>39818</v>
      </c>
      <c r="E642" s="3">
        <f t="shared" si="174"/>
        <v>39866</v>
      </c>
      <c r="F642" s="3">
        <f t="shared" si="175"/>
        <v>39813</v>
      </c>
      <c r="G642" s="76">
        <f t="shared" si="176"/>
        <v>2008</v>
      </c>
      <c r="H642" s="76">
        <f t="shared" si="177"/>
        <v>12</v>
      </c>
      <c r="I642" s="76" t="str">
        <f>VLOOKUP(H642,'Lookup Values'!$C$2:$D$13,2,FALSE)</f>
        <v>DEC</v>
      </c>
      <c r="J642" s="76">
        <f t="shared" si="178"/>
        <v>22</v>
      </c>
      <c r="K642" s="76">
        <f t="shared" si="179"/>
        <v>2</v>
      </c>
      <c r="L642" s="76" t="str">
        <f>VLOOKUP(K642,'Lookup Values'!$F$2:$G$8,2,FALSE)</f>
        <v>Monday</v>
      </c>
      <c r="M642" s="3">
        <v>39810</v>
      </c>
      <c r="N642" s="78">
        <f t="shared" ref="N642:N705" si="191">M642-C642</f>
        <v>6</v>
      </c>
      <c r="O642" s="11">
        <v>0.35916590267921122</v>
      </c>
      <c r="P642" s="94">
        <f t="shared" si="180"/>
        <v>8</v>
      </c>
      <c r="Q642" s="94">
        <f t="shared" si="181"/>
        <v>37</v>
      </c>
      <c r="R642" s="94">
        <f t="shared" si="182"/>
        <v>12</v>
      </c>
      <c r="S642" s="94" t="str">
        <f>VLOOKUP(O642,'Lookup Values'!$I$2:$L$8,4,TRUE)</f>
        <v>Morning</v>
      </c>
      <c r="T642" t="s">
        <v>76</v>
      </c>
      <c r="U642" t="s">
        <v>77</v>
      </c>
      <c r="V642" t="str">
        <f t="shared" si="183"/>
        <v>Entertainment: Alcohol</v>
      </c>
      <c r="W642" t="s">
        <v>75</v>
      </c>
      <c r="X642" t="s">
        <v>88</v>
      </c>
      <c r="Y642" s="1">
        <v>472</v>
      </c>
      <c r="Z642" s="1" t="str">
        <f t="shared" si="184"/>
        <v>Entertainment: $472.00</v>
      </c>
      <c r="AA642" s="1">
        <f>IF(Y642="","",ROUND(Y642*'Lookup Values'!$A$2,2))</f>
        <v>41.89</v>
      </c>
      <c r="AB642" s="12" t="str">
        <f t="shared" si="185"/>
        <v>Expense</v>
      </c>
      <c r="AC642" s="2" t="s">
        <v>716</v>
      </c>
      <c r="AD642" s="3">
        <f t="shared" si="186"/>
        <v>39804</v>
      </c>
      <c r="AE642" s="93" t="str">
        <f t="shared" si="187"/>
        <v>NO</v>
      </c>
      <c r="AF642" s="2" t="str">
        <f t="shared" si="188"/>
        <v>NO</v>
      </c>
      <c r="AG642" t="str">
        <f t="shared" si="189"/>
        <v>Awesome Transaction</v>
      </c>
    </row>
    <row r="643" spans="1:33" x14ac:dyDescent="0.25">
      <c r="A643" s="2">
        <v>642</v>
      </c>
      <c r="B643" s="3" t="str">
        <f t="shared" si="190"/>
        <v>110501-TR-MTA</v>
      </c>
      <c r="C643" s="3">
        <v>40664</v>
      </c>
      <c r="D643" s="3">
        <f t="shared" ref="D643:D706" si="192">WORKDAY(C643,10)</f>
        <v>40676</v>
      </c>
      <c r="E643" s="3">
        <f t="shared" ref="E643:E706" si="193">EDATE(C643,2)</f>
        <v>40725</v>
      </c>
      <c r="F643" s="3">
        <f t="shared" ref="F643:F706" si="194">EOMONTH(C643,0)</f>
        <v>40694</v>
      </c>
      <c r="G643" s="76">
        <f t="shared" ref="G643:G706" si="195">YEAR(C643)</f>
        <v>2011</v>
      </c>
      <c r="H643" s="76">
        <f t="shared" ref="H643:H706" si="196">MONTH(C643)</f>
        <v>5</v>
      </c>
      <c r="I643" s="76" t="str">
        <f>VLOOKUP(H643,'Lookup Values'!$C$2:$D$13,2,FALSE)</f>
        <v>MAY</v>
      </c>
      <c r="J643" s="76">
        <f t="shared" ref="J643:J706" si="197">DAY(C643)</f>
        <v>1</v>
      </c>
      <c r="K643" s="76">
        <f t="shared" ref="K643:K706" si="198">WEEKDAY(C643)</f>
        <v>1</v>
      </c>
      <c r="L643" s="76" t="str">
        <f>VLOOKUP(K643,'Lookup Values'!$F$2:$G$8,2,FALSE)</f>
        <v>Sunday</v>
      </c>
      <c r="M643" s="3">
        <v>40674</v>
      </c>
      <c r="N643" s="78">
        <f t="shared" si="191"/>
        <v>10</v>
      </c>
      <c r="O643" s="11">
        <v>0.78110871299242612</v>
      </c>
      <c r="P643" s="94">
        <f t="shared" ref="P643:P706" si="199">HOUR(O643)</f>
        <v>18</v>
      </c>
      <c r="Q643" s="94">
        <f t="shared" ref="Q643:Q706" si="200">MINUTE(O643)</f>
        <v>44</v>
      </c>
      <c r="R643" s="94">
        <f t="shared" ref="R643:R706" si="201">SECOND(O643)</f>
        <v>48</v>
      </c>
      <c r="S643" s="94" t="str">
        <f>VLOOKUP(O643,'Lookup Values'!$I$2:$L$8,4,TRUE)</f>
        <v>Evening</v>
      </c>
      <c r="T643" t="s">
        <v>95</v>
      </c>
      <c r="U643" t="s">
        <v>96</v>
      </c>
      <c r="V643" t="str">
        <f t="shared" ref="V643:V706" si="202">T643 &amp; ": " &amp; U643</f>
        <v>Transportation: Subway</v>
      </c>
      <c r="W643" t="s">
        <v>94</v>
      </c>
      <c r="X643" t="s">
        <v>88</v>
      </c>
      <c r="Y643" s="1">
        <v>264</v>
      </c>
      <c r="Z643" s="1" t="str">
        <f t="shared" ref="Z643:Z706" si="203">T643 &amp; ": " &amp; TEXT(Y643,"$#,###.00")</f>
        <v>Transportation: $264.00</v>
      </c>
      <c r="AA643" s="1">
        <f>IF(Y643="","",ROUND(Y643*'Lookup Values'!$A$2,2))</f>
        <v>23.43</v>
      </c>
      <c r="AB643" s="12" t="str">
        <f t="shared" ref="AB643:AB706" si="204">IF(T643="Income","Income","Expense")</f>
        <v>Expense</v>
      </c>
      <c r="AC643" s="2" t="s">
        <v>275</v>
      </c>
      <c r="AD643" s="3">
        <f t="shared" ref="AD643:AD706" si="205">VALUE(SUBSTITUTE(AC643,".","/"))</f>
        <v>40664</v>
      </c>
      <c r="AE643" s="93" t="str">
        <f t="shared" ref="AE643:AE706" si="206">IF(OR(T643="Transportation",U643="Professional Development",U643="Electronics"),"YES","NO")</f>
        <v>YES</v>
      </c>
      <c r="AF643" s="2" t="str">
        <f t="shared" ref="AF643:AF706" si="207">IF(AND(AE643="YES",Y643&gt;=400),"YES","NO")</f>
        <v>NO</v>
      </c>
      <c r="AG643" t="str">
        <f t="shared" ref="AG643:AG706" si="208">IF(AND(AND(G643&gt;=2007,G643&lt;=2009),OR(W643&lt;&gt;"MTA",W643&lt;&gt;"Fandango"),OR(T643="Food",T643="Shopping",T643="Entertainment")),"Awesome Transaction",IF(AND(G643&lt;=2010,U643&lt;&gt;"Alcohol"),"Late Transaction",IF(G643=2006,"Early Transaction","CRAP Transaction")))</f>
        <v>CRAP Transaction</v>
      </c>
    </row>
    <row r="644" spans="1:33" x14ac:dyDescent="0.25">
      <c r="A644" s="2">
        <v>643</v>
      </c>
      <c r="B644" s="3" t="str">
        <f t="shared" si="190"/>
        <v>110222-FO-CIT</v>
      </c>
      <c r="C644" s="3">
        <v>40596</v>
      </c>
      <c r="D644" s="3">
        <f t="shared" si="192"/>
        <v>40610</v>
      </c>
      <c r="E644" s="3">
        <f t="shared" si="193"/>
        <v>40655</v>
      </c>
      <c r="F644" s="3">
        <f t="shared" si="194"/>
        <v>40602</v>
      </c>
      <c r="G644" s="76">
        <f t="shared" si="195"/>
        <v>2011</v>
      </c>
      <c r="H644" s="76">
        <f t="shared" si="196"/>
        <v>2</v>
      </c>
      <c r="I644" s="76" t="str">
        <f>VLOOKUP(H644,'Lookup Values'!$C$2:$D$13,2,FALSE)</f>
        <v>FEB</v>
      </c>
      <c r="J644" s="76">
        <f t="shared" si="197"/>
        <v>22</v>
      </c>
      <c r="K644" s="76">
        <f t="shared" si="198"/>
        <v>3</v>
      </c>
      <c r="L644" s="76" t="str">
        <f>VLOOKUP(K644,'Lookup Values'!$F$2:$G$8,2,FALSE)</f>
        <v>Tuesday</v>
      </c>
      <c r="M644" s="3">
        <v>40604</v>
      </c>
      <c r="N644" s="78">
        <f t="shared" si="191"/>
        <v>8</v>
      </c>
      <c r="O644" s="11">
        <v>0.16518628092004817</v>
      </c>
      <c r="P644" s="94">
        <f t="shared" si="199"/>
        <v>3</v>
      </c>
      <c r="Q644" s="94">
        <f t="shared" si="200"/>
        <v>57</v>
      </c>
      <c r="R644" s="94">
        <f t="shared" si="201"/>
        <v>52</v>
      </c>
      <c r="S644" s="94" t="str">
        <f>VLOOKUP(O644,'Lookup Values'!$I$2:$L$8,4,TRUE)</f>
        <v>Dead of Night</v>
      </c>
      <c r="T644" t="s">
        <v>80</v>
      </c>
      <c r="U644" t="s">
        <v>105</v>
      </c>
      <c r="V644" t="str">
        <f t="shared" si="202"/>
        <v>Food: Coffee</v>
      </c>
      <c r="W644" t="s">
        <v>104</v>
      </c>
      <c r="X644" t="s">
        <v>88</v>
      </c>
      <c r="Y644" s="1">
        <v>37</v>
      </c>
      <c r="Z644" s="1" t="str">
        <f t="shared" si="203"/>
        <v>Food: $37.00</v>
      </c>
      <c r="AA644" s="1">
        <f>IF(Y644="","",ROUND(Y644*'Lookup Values'!$A$2,2))</f>
        <v>3.28</v>
      </c>
      <c r="AB644" s="12" t="str">
        <f t="shared" si="204"/>
        <v>Expense</v>
      </c>
      <c r="AC644" s="2" t="s">
        <v>717</v>
      </c>
      <c r="AD644" s="3">
        <f t="shared" si="205"/>
        <v>40596</v>
      </c>
      <c r="AE644" s="93" t="str">
        <f t="shared" si="206"/>
        <v>NO</v>
      </c>
      <c r="AF644" s="2" t="str">
        <f t="shared" si="207"/>
        <v>NO</v>
      </c>
      <c r="AG644" t="str">
        <f t="shared" si="208"/>
        <v>CRAP Transaction</v>
      </c>
    </row>
    <row r="645" spans="1:33" x14ac:dyDescent="0.25">
      <c r="A645" s="2">
        <v>644</v>
      </c>
      <c r="B645" s="3" t="str">
        <f t="shared" si="190"/>
        <v>070821-BI-CON</v>
      </c>
      <c r="C645" s="3">
        <v>39315</v>
      </c>
      <c r="D645" s="3">
        <f t="shared" si="192"/>
        <v>39329</v>
      </c>
      <c r="E645" s="3">
        <f t="shared" si="193"/>
        <v>39376</v>
      </c>
      <c r="F645" s="3">
        <f t="shared" si="194"/>
        <v>39325</v>
      </c>
      <c r="G645" s="76">
        <f t="shared" si="195"/>
        <v>2007</v>
      </c>
      <c r="H645" s="76">
        <f t="shared" si="196"/>
        <v>8</v>
      </c>
      <c r="I645" s="76" t="str">
        <f>VLOOKUP(H645,'Lookup Values'!$C$2:$D$13,2,FALSE)</f>
        <v>AUG</v>
      </c>
      <c r="J645" s="76">
        <f t="shared" si="197"/>
        <v>21</v>
      </c>
      <c r="K645" s="76">
        <f t="shared" si="198"/>
        <v>3</v>
      </c>
      <c r="L645" s="76" t="str">
        <f>VLOOKUP(K645,'Lookup Values'!$F$2:$G$8,2,FALSE)</f>
        <v>Tuesday</v>
      </c>
      <c r="M645" s="3">
        <v>39324</v>
      </c>
      <c r="N645" s="78">
        <f t="shared" si="191"/>
        <v>9</v>
      </c>
      <c r="O645" s="11">
        <v>0.19176773561702765</v>
      </c>
      <c r="P645" s="94">
        <f t="shared" si="199"/>
        <v>4</v>
      </c>
      <c r="Q645" s="94">
        <f t="shared" si="200"/>
        <v>36</v>
      </c>
      <c r="R645" s="94">
        <f t="shared" si="201"/>
        <v>9</v>
      </c>
      <c r="S645" s="94" t="str">
        <f>VLOOKUP(O645,'Lookup Values'!$I$2:$L$8,4,TRUE)</f>
        <v>Early Morning</v>
      </c>
      <c r="T645" t="s">
        <v>110</v>
      </c>
      <c r="U645" t="s">
        <v>111</v>
      </c>
      <c r="V645" t="str">
        <f t="shared" si="202"/>
        <v>Bills: Utilities</v>
      </c>
      <c r="W645" t="s">
        <v>109</v>
      </c>
      <c r="X645" t="s">
        <v>91</v>
      </c>
      <c r="Y645" s="1">
        <v>17</v>
      </c>
      <c r="Z645" s="1" t="str">
        <f t="shared" si="203"/>
        <v>Bills: $17.00</v>
      </c>
      <c r="AA645" s="1">
        <f>IF(Y645="","",ROUND(Y645*'Lookup Values'!$A$2,2))</f>
        <v>1.51</v>
      </c>
      <c r="AB645" s="12" t="str">
        <f t="shared" si="204"/>
        <v>Expense</v>
      </c>
      <c r="AC645" s="2" t="s">
        <v>718</v>
      </c>
      <c r="AD645" s="3">
        <f t="shared" si="205"/>
        <v>39315</v>
      </c>
      <c r="AE645" s="93" t="str">
        <f t="shared" si="206"/>
        <v>NO</v>
      </c>
      <c r="AF645" s="2" t="str">
        <f t="shared" si="207"/>
        <v>NO</v>
      </c>
      <c r="AG645" t="str">
        <f t="shared" si="208"/>
        <v>Late Transaction</v>
      </c>
    </row>
    <row r="646" spans="1:33" x14ac:dyDescent="0.25">
      <c r="A646" s="2">
        <v>645</v>
      </c>
      <c r="B646" s="3" t="str">
        <f t="shared" si="190"/>
        <v>090623-FO-BAN</v>
      </c>
      <c r="C646" s="3">
        <v>39987</v>
      </c>
      <c r="D646" s="3">
        <f t="shared" si="192"/>
        <v>40001</v>
      </c>
      <c r="E646" s="3">
        <f t="shared" si="193"/>
        <v>40048</v>
      </c>
      <c r="F646" s="3">
        <f t="shared" si="194"/>
        <v>39994</v>
      </c>
      <c r="G646" s="76">
        <f t="shared" si="195"/>
        <v>2009</v>
      </c>
      <c r="H646" s="76">
        <f t="shared" si="196"/>
        <v>6</v>
      </c>
      <c r="I646" s="76" t="str">
        <f>VLOOKUP(H646,'Lookup Values'!$C$2:$D$13,2,FALSE)</f>
        <v>JUN</v>
      </c>
      <c r="J646" s="76">
        <f t="shared" si="197"/>
        <v>23</v>
      </c>
      <c r="K646" s="76">
        <f t="shared" si="198"/>
        <v>3</v>
      </c>
      <c r="L646" s="76" t="str">
        <f>VLOOKUP(K646,'Lookup Values'!$F$2:$G$8,2,FALSE)</f>
        <v>Tuesday</v>
      </c>
      <c r="M646" s="3">
        <v>39988</v>
      </c>
      <c r="N646" s="78">
        <f t="shared" si="191"/>
        <v>1</v>
      </c>
      <c r="O646" s="11">
        <v>0.97808185028356165</v>
      </c>
      <c r="P646" s="94">
        <f t="shared" si="199"/>
        <v>23</v>
      </c>
      <c r="Q646" s="94">
        <f t="shared" si="200"/>
        <v>28</v>
      </c>
      <c r="R646" s="94">
        <f t="shared" si="201"/>
        <v>26</v>
      </c>
      <c r="S646" s="94" t="str">
        <f>VLOOKUP(O646,'Lookup Values'!$I$2:$L$8,4,TRUE)</f>
        <v>Late Evening</v>
      </c>
      <c r="T646" t="s">
        <v>80</v>
      </c>
      <c r="U646" t="s">
        <v>81</v>
      </c>
      <c r="V646" t="str">
        <f t="shared" si="202"/>
        <v>Food: Restaurants</v>
      </c>
      <c r="W646" t="s">
        <v>79</v>
      </c>
      <c r="X646" t="s">
        <v>88</v>
      </c>
      <c r="Y646" s="1">
        <v>200</v>
      </c>
      <c r="Z646" s="1" t="str">
        <f t="shared" si="203"/>
        <v>Food: $200.00</v>
      </c>
      <c r="AA646" s="1">
        <f>IF(Y646="","",ROUND(Y646*'Lookup Values'!$A$2,2))</f>
        <v>17.75</v>
      </c>
      <c r="AB646" s="12" t="str">
        <f t="shared" si="204"/>
        <v>Expense</v>
      </c>
      <c r="AC646" s="2" t="s">
        <v>719</v>
      </c>
      <c r="AD646" s="3">
        <f t="shared" si="205"/>
        <v>39987</v>
      </c>
      <c r="AE646" s="93" t="str">
        <f t="shared" si="206"/>
        <v>NO</v>
      </c>
      <c r="AF646" s="2" t="str">
        <f t="shared" si="207"/>
        <v>NO</v>
      </c>
      <c r="AG646" t="str">
        <f t="shared" si="208"/>
        <v>Awesome Transaction</v>
      </c>
    </row>
    <row r="647" spans="1:33" x14ac:dyDescent="0.25">
      <c r="A647" s="2">
        <v>646</v>
      </c>
      <c r="B647" s="3" t="str">
        <f t="shared" si="190"/>
        <v>070629-FO-CIT</v>
      </c>
      <c r="C647" s="3">
        <v>39262</v>
      </c>
      <c r="D647" s="3">
        <f t="shared" si="192"/>
        <v>39276</v>
      </c>
      <c r="E647" s="3">
        <f t="shared" si="193"/>
        <v>39323</v>
      </c>
      <c r="F647" s="3">
        <f t="shared" si="194"/>
        <v>39263</v>
      </c>
      <c r="G647" s="76">
        <f t="shared" si="195"/>
        <v>2007</v>
      </c>
      <c r="H647" s="76">
        <f t="shared" si="196"/>
        <v>6</v>
      </c>
      <c r="I647" s="76" t="str">
        <f>VLOOKUP(H647,'Lookup Values'!$C$2:$D$13,2,FALSE)</f>
        <v>JUN</v>
      </c>
      <c r="J647" s="76">
        <f t="shared" si="197"/>
        <v>29</v>
      </c>
      <c r="K647" s="76">
        <f t="shared" si="198"/>
        <v>6</v>
      </c>
      <c r="L647" s="76" t="str">
        <f>VLOOKUP(K647,'Lookup Values'!$F$2:$G$8,2,FALSE)</f>
        <v>Friday</v>
      </c>
      <c r="M647" s="3">
        <v>39268</v>
      </c>
      <c r="N647" s="78">
        <f t="shared" si="191"/>
        <v>6</v>
      </c>
      <c r="O647" s="11">
        <v>0.3857363028310874</v>
      </c>
      <c r="P647" s="94">
        <f t="shared" si="199"/>
        <v>9</v>
      </c>
      <c r="Q647" s="94">
        <f t="shared" si="200"/>
        <v>15</v>
      </c>
      <c r="R647" s="94">
        <f t="shared" si="201"/>
        <v>28</v>
      </c>
      <c r="S647" s="94" t="str">
        <f>VLOOKUP(O647,'Lookup Values'!$I$2:$L$8,4,TRUE)</f>
        <v>Morning</v>
      </c>
      <c r="T647" t="s">
        <v>80</v>
      </c>
      <c r="U647" t="s">
        <v>105</v>
      </c>
      <c r="V647" t="str">
        <f t="shared" si="202"/>
        <v>Food: Coffee</v>
      </c>
      <c r="W647" t="s">
        <v>104</v>
      </c>
      <c r="X647" t="s">
        <v>91</v>
      </c>
      <c r="Y647" s="1">
        <v>107</v>
      </c>
      <c r="Z647" s="1" t="str">
        <f t="shared" si="203"/>
        <v>Food: $107.00</v>
      </c>
      <c r="AA647" s="1">
        <f>IF(Y647="","",ROUND(Y647*'Lookup Values'!$A$2,2))</f>
        <v>9.5</v>
      </c>
      <c r="AB647" s="12" t="str">
        <f t="shared" si="204"/>
        <v>Expense</v>
      </c>
      <c r="AC647" s="2" t="s">
        <v>556</v>
      </c>
      <c r="AD647" s="3">
        <f t="shared" si="205"/>
        <v>39262</v>
      </c>
      <c r="AE647" s="93" t="str">
        <f t="shared" si="206"/>
        <v>NO</v>
      </c>
      <c r="AF647" s="2" t="str">
        <f t="shared" si="207"/>
        <v>NO</v>
      </c>
      <c r="AG647" t="str">
        <f t="shared" si="208"/>
        <v>Awesome Transaction</v>
      </c>
    </row>
    <row r="648" spans="1:33" x14ac:dyDescent="0.25">
      <c r="A648" s="2">
        <v>647</v>
      </c>
      <c r="B648" s="3" t="str">
        <f t="shared" si="190"/>
        <v>100221-BI-CON</v>
      </c>
      <c r="C648" s="3">
        <v>40230</v>
      </c>
      <c r="D648" s="3">
        <f t="shared" si="192"/>
        <v>40242</v>
      </c>
      <c r="E648" s="3">
        <f t="shared" si="193"/>
        <v>40289</v>
      </c>
      <c r="F648" s="3">
        <f t="shared" si="194"/>
        <v>40237</v>
      </c>
      <c r="G648" s="76">
        <f t="shared" si="195"/>
        <v>2010</v>
      </c>
      <c r="H648" s="76">
        <f t="shared" si="196"/>
        <v>2</v>
      </c>
      <c r="I648" s="76" t="str">
        <f>VLOOKUP(H648,'Lookup Values'!$C$2:$D$13,2,FALSE)</f>
        <v>FEB</v>
      </c>
      <c r="J648" s="76">
        <f t="shared" si="197"/>
        <v>21</v>
      </c>
      <c r="K648" s="76">
        <f t="shared" si="198"/>
        <v>1</v>
      </c>
      <c r="L648" s="76" t="str">
        <f>VLOOKUP(K648,'Lookup Values'!$F$2:$G$8,2,FALSE)</f>
        <v>Sunday</v>
      </c>
      <c r="M648" s="3">
        <v>40237</v>
      </c>
      <c r="N648" s="78">
        <f t="shared" si="191"/>
        <v>7</v>
      </c>
      <c r="O648" s="11">
        <v>0.6517462193737259</v>
      </c>
      <c r="P648" s="94">
        <f t="shared" si="199"/>
        <v>15</v>
      </c>
      <c r="Q648" s="94">
        <f t="shared" si="200"/>
        <v>38</v>
      </c>
      <c r="R648" s="94">
        <f t="shared" si="201"/>
        <v>31</v>
      </c>
      <c r="S648" s="94" t="str">
        <f>VLOOKUP(O648,'Lookup Values'!$I$2:$L$8,4,TRUE)</f>
        <v>Afternoon</v>
      </c>
      <c r="T648" t="s">
        <v>110</v>
      </c>
      <c r="U648" t="s">
        <v>111</v>
      </c>
      <c r="V648" t="str">
        <f t="shared" si="202"/>
        <v>Bills: Utilities</v>
      </c>
      <c r="W648" t="s">
        <v>109</v>
      </c>
      <c r="X648" t="s">
        <v>78</v>
      </c>
      <c r="Y648" s="1">
        <v>82</v>
      </c>
      <c r="Z648" s="1" t="str">
        <f t="shared" si="203"/>
        <v>Bills: $82.00</v>
      </c>
      <c r="AA648" s="1">
        <f>IF(Y648="","",ROUND(Y648*'Lookup Values'!$A$2,2))</f>
        <v>7.28</v>
      </c>
      <c r="AB648" s="12" t="str">
        <f t="shared" si="204"/>
        <v>Expense</v>
      </c>
      <c r="AC648" s="2" t="s">
        <v>720</v>
      </c>
      <c r="AD648" s="3">
        <f t="shared" si="205"/>
        <v>40230</v>
      </c>
      <c r="AE648" s="93" t="str">
        <f t="shared" si="206"/>
        <v>NO</v>
      </c>
      <c r="AF648" s="2" t="str">
        <f t="shared" si="207"/>
        <v>NO</v>
      </c>
      <c r="AG648" t="str">
        <f t="shared" si="208"/>
        <v>Late Transaction</v>
      </c>
    </row>
    <row r="649" spans="1:33" x14ac:dyDescent="0.25">
      <c r="A649" s="2">
        <v>648</v>
      </c>
      <c r="B649" s="3" t="str">
        <f t="shared" si="190"/>
        <v>120820-IN-EZE</v>
      </c>
      <c r="C649" s="3">
        <v>41141</v>
      </c>
      <c r="D649" s="3">
        <f t="shared" si="192"/>
        <v>41155</v>
      </c>
      <c r="E649" s="3">
        <f t="shared" si="193"/>
        <v>41202</v>
      </c>
      <c r="F649" s="3">
        <f t="shared" si="194"/>
        <v>41152</v>
      </c>
      <c r="G649" s="76">
        <f t="shared" si="195"/>
        <v>2012</v>
      </c>
      <c r="H649" s="76">
        <f t="shared" si="196"/>
        <v>8</v>
      </c>
      <c r="I649" s="76" t="str">
        <f>VLOOKUP(H649,'Lookup Values'!$C$2:$D$13,2,FALSE)</f>
        <v>AUG</v>
      </c>
      <c r="J649" s="76">
        <f t="shared" si="197"/>
        <v>20</v>
      </c>
      <c r="K649" s="76">
        <f t="shared" si="198"/>
        <v>2</v>
      </c>
      <c r="L649" s="76" t="str">
        <f>VLOOKUP(K649,'Lookup Values'!$F$2:$G$8,2,FALSE)</f>
        <v>Monday</v>
      </c>
      <c r="M649" s="3">
        <v>41150</v>
      </c>
      <c r="N649" s="78">
        <f t="shared" si="191"/>
        <v>9</v>
      </c>
      <c r="O649" s="11">
        <v>7.3047391194347444E-3</v>
      </c>
      <c r="P649" s="94">
        <f t="shared" si="199"/>
        <v>0</v>
      </c>
      <c r="Q649" s="94">
        <f t="shared" si="200"/>
        <v>10</v>
      </c>
      <c r="R649" s="94">
        <f t="shared" si="201"/>
        <v>31</v>
      </c>
      <c r="S649" s="94" t="str">
        <f>VLOOKUP(O649,'Lookup Values'!$I$2:$L$8,4,TRUE)</f>
        <v>Dead of Night</v>
      </c>
      <c r="T649" t="s">
        <v>158</v>
      </c>
      <c r="U649" t="s">
        <v>159</v>
      </c>
      <c r="V649" t="str">
        <f t="shared" si="202"/>
        <v>Income: Salary</v>
      </c>
      <c r="W649" t="s">
        <v>162</v>
      </c>
      <c r="X649" t="s">
        <v>91</v>
      </c>
      <c r="Y649" s="1">
        <v>379</v>
      </c>
      <c r="Z649" s="1" t="str">
        <f t="shared" si="203"/>
        <v>Income: $379.00</v>
      </c>
      <c r="AA649" s="1">
        <f>IF(Y649="","",ROUND(Y649*'Lookup Values'!$A$2,2))</f>
        <v>33.64</v>
      </c>
      <c r="AB649" s="12" t="str">
        <f t="shared" si="204"/>
        <v>Income</v>
      </c>
      <c r="AC649" s="2" t="s">
        <v>721</v>
      </c>
      <c r="AD649" s="3">
        <f t="shared" si="205"/>
        <v>41141</v>
      </c>
      <c r="AE649" s="93" t="str">
        <f t="shared" si="206"/>
        <v>NO</v>
      </c>
      <c r="AF649" s="2" t="str">
        <f t="shared" si="207"/>
        <v>NO</v>
      </c>
      <c r="AG649" t="str">
        <f t="shared" si="208"/>
        <v>CRAP Transaction</v>
      </c>
    </row>
    <row r="650" spans="1:33" x14ac:dyDescent="0.25">
      <c r="A650" s="2">
        <v>649</v>
      </c>
      <c r="B650" s="3" t="str">
        <f t="shared" si="190"/>
        <v>110406-TR-MTA</v>
      </c>
      <c r="C650" s="3">
        <v>40639</v>
      </c>
      <c r="D650" s="3">
        <f t="shared" si="192"/>
        <v>40653</v>
      </c>
      <c r="E650" s="3">
        <f t="shared" si="193"/>
        <v>40700</v>
      </c>
      <c r="F650" s="3">
        <f t="shared" si="194"/>
        <v>40663</v>
      </c>
      <c r="G650" s="76">
        <f t="shared" si="195"/>
        <v>2011</v>
      </c>
      <c r="H650" s="76">
        <f t="shared" si="196"/>
        <v>4</v>
      </c>
      <c r="I650" s="76" t="str">
        <f>VLOOKUP(H650,'Lookup Values'!$C$2:$D$13,2,FALSE)</f>
        <v>APR</v>
      </c>
      <c r="J650" s="76">
        <f t="shared" si="197"/>
        <v>6</v>
      </c>
      <c r="K650" s="76">
        <f t="shared" si="198"/>
        <v>4</v>
      </c>
      <c r="L650" s="76" t="str">
        <f>VLOOKUP(K650,'Lookup Values'!$F$2:$G$8,2,FALSE)</f>
        <v>Wednesday</v>
      </c>
      <c r="M650" s="3">
        <v>40646</v>
      </c>
      <c r="N650" s="78">
        <f t="shared" si="191"/>
        <v>7</v>
      </c>
      <c r="O650" s="11">
        <v>0.79312798464640311</v>
      </c>
      <c r="P650" s="94">
        <f t="shared" si="199"/>
        <v>19</v>
      </c>
      <c r="Q650" s="94">
        <f t="shared" si="200"/>
        <v>2</v>
      </c>
      <c r="R650" s="94">
        <f t="shared" si="201"/>
        <v>6</v>
      </c>
      <c r="S650" s="94" t="str">
        <f>VLOOKUP(O650,'Lookup Values'!$I$2:$L$8,4,TRUE)</f>
        <v>Evening</v>
      </c>
      <c r="T650" t="s">
        <v>95</v>
      </c>
      <c r="U650" t="s">
        <v>96</v>
      </c>
      <c r="V650" t="str">
        <f t="shared" si="202"/>
        <v>Transportation: Subway</v>
      </c>
      <c r="W650" t="s">
        <v>94</v>
      </c>
      <c r="X650" t="s">
        <v>88</v>
      </c>
      <c r="Y650" s="1">
        <v>139</v>
      </c>
      <c r="Z650" s="1" t="str">
        <f t="shared" si="203"/>
        <v>Transportation: $139.00</v>
      </c>
      <c r="AA650" s="1">
        <f>IF(Y650="","",ROUND(Y650*'Lookup Values'!$A$2,2))</f>
        <v>12.34</v>
      </c>
      <c r="AB650" s="12" t="str">
        <f t="shared" si="204"/>
        <v>Expense</v>
      </c>
      <c r="AC650" s="2" t="s">
        <v>722</v>
      </c>
      <c r="AD650" s="3">
        <f t="shared" si="205"/>
        <v>40639</v>
      </c>
      <c r="AE650" s="93" t="str">
        <f t="shared" si="206"/>
        <v>YES</v>
      </c>
      <c r="AF650" s="2" t="str">
        <f t="shared" si="207"/>
        <v>NO</v>
      </c>
      <c r="AG650" t="str">
        <f t="shared" si="208"/>
        <v>CRAP Transaction</v>
      </c>
    </row>
    <row r="651" spans="1:33" x14ac:dyDescent="0.25">
      <c r="A651" s="2">
        <v>650</v>
      </c>
      <c r="B651" s="3" t="str">
        <f t="shared" si="190"/>
        <v>080729-SH-AMA</v>
      </c>
      <c r="C651" s="3">
        <v>39658</v>
      </c>
      <c r="D651" s="3">
        <f t="shared" si="192"/>
        <v>39672</v>
      </c>
      <c r="E651" s="3">
        <f t="shared" si="193"/>
        <v>39720</v>
      </c>
      <c r="F651" s="3">
        <f t="shared" si="194"/>
        <v>39660</v>
      </c>
      <c r="G651" s="76">
        <f t="shared" si="195"/>
        <v>2008</v>
      </c>
      <c r="H651" s="76">
        <f t="shared" si="196"/>
        <v>7</v>
      </c>
      <c r="I651" s="76" t="str">
        <f>VLOOKUP(H651,'Lookup Values'!$C$2:$D$13,2,FALSE)</f>
        <v>JUL</v>
      </c>
      <c r="J651" s="76">
        <f t="shared" si="197"/>
        <v>29</v>
      </c>
      <c r="K651" s="76">
        <f t="shared" si="198"/>
        <v>3</v>
      </c>
      <c r="L651" s="76" t="str">
        <f>VLOOKUP(K651,'Lookup Values'!$F$2:$G$8,2,FALSE)</f>
        <v>Tuesday</v>
      </c>
      <c r="M651" s="3">
        <v>39663</v>
      </c>
      <c r="N651" s="78">
        <f t="shared" si="191"/>
        <v>5</v>
      </c>
      <c r="O651" s="11">
        <v>0.98433521555284886</v>
      </c>
      <c r="P651" s="94">
        <f t="shared" si="199"/>
        <v>23</v>
      </c>
      <c r="Q651" s="94">
        <f t="shared" si="200"/>
        <v>37</v>
      </c>
      <c r="R651" s="94">
        <f t="shared" si="201"/>
        <v>27</v>
      </c>
      <c r="S651" s="94" t="str">
        <f>VLOOKUP(O651,'Lookup Values'!$I$2:$L$8,4,TRUE)</f>
        <v>Late Evening</v>
      </c>
      <c r="T651" t="s">
        <v>83</v>
      </c>
      <c r="U651" t="s">
        <v>84</v>
      </c>
      <c r="V651" t="str">
        <f t="shared" si="202"/>
        <v>Shopping: Electronics</v>
      </c>
      <c r="W651" t="s">
        <v>82</v>
      </c>
      <c r="X651" t="s">
        <v>91</v>
      </c>
      <c r="Y651" s="1">
        <v>303</v>
      </c>
      <c r="Z651" s="1" t="str">
        <f t="shared" si="203"/>
        <v>Shopping: $303.00</v>
      </c>
      <c r="AA651" s="1">
        <f>IF(Y651="","",ROUND(Y651*'Lookup Values'!$A$2,2))</f>
        <v>26.89</v>
      </c>
      <c r="AB651" s="12" t="str">
        <f t="shared" si="204"/>
        <v>Expense</v>
      </c>
      <c r="AC651" s="2" t="s">
        <v>723</v>
      </c>
      <c r="AD651" s="3">
        <f t="shared" si="205"/>
        <v>39658</v>
      </c>
      <c r="AE651" s="93" t="str">
        <f t="shared" si="206"/>
        <v>YES</v>
      </c>
      <c r="AF651" s="2" t="str">
        <f t="shared" si="207"/>
        <v>NO</v>
      </c>
      <c r="AG651" t="str">
        <f t="shared" si="208"/>
        <v>Awesome Transaction</v>
      </c>
    </row>
    <row r="652" spans="1:33" x14ac:dyDescent="0.25">
      <c r="A652" s="2">
        <v>651</v>
      </c>
      <c r="B652" s="3" t="str">
        <f t="shared" si="190"/>
        <v>110328-SH-EXP</v>
      </c>
      <c r="C652" s="3">
        <v>40630</v>
      </c>
      <c r="D652" s="3">
        <f t="shared" si="192"/>
        <v>40644</v>
      </c>
      <c r="E652" s="3">
        <f t="shared" si="193"/>
        <v>40691</v>
      </c>
      <c r="F652" s="3">
        <f t="shared" si="194"/>
        <v>40633</v>
      </c>
      <c r="G652" s="76">
        <f t="shared" si="195"/>
        <v>2011</v>
      </c>
      <c r="H652" s="76">
        <f t="shared" si="196"/>
        <v>3</v>
      </c>
      <c r="I652" s="76" t="str">
        <f>VLOOKUP(H652,'Lookup Values'!$C$2:$D$13,2,FALSE)</f>
        <v>MAR</v>
      </c>
      <c r="J652" s="76">
        <f t="shared" si="197"/>
        <v>28</v>
      </c>
      <c r="K652" s="76">
        <f t="shared" si="198"/>
        <v>2</v>
      </c>
      <c r="L652" s="76" t="str">
        <f>VLOOKUP(K652,'Lookup Values'!$F$2:$G$8,2,FALSE)</f>
        <v>Monday</v>
      </c>
      <c r="M652" s="3">
        <v>40640</v>
      </c>
      <c r="N652" s="78">
        <f t="shared" si="191"/>
        <v>10</v>
      </c>
      <c r="O652" s="11">
        <v>0.79906329650840457</v>
      </c>
      <c r="P652" s="94">
        <f t="shared" si="199"/>
        <v>19</v>
      </c>
      <c r="Q652" s="94">
        <f t="shared" si="200"/>
        <v>10</v>
      </c>
      <c r="R652" s="94">
        <f t="shared" si="201"/>
        <v>39</v>
      </c>
      <c r="S652" s="94" t="str">
        <f>VLOOKUP(O652,'Lookup Values'!$I$2:$L$8,4,TRUE)</f>
        <v>Evening</v>
      </c>
      <c r="T652" t="s">
        <v>83</v>
      </c>
      <c r="U652" t="s">
        <v>103</v>
      </c>
      <c r="V652" t="str">
        <f t="shared" si="202"/>
        <v>Shopping: Clothing</v>
      </c>
      <c r="W652" t="s">
        <v>102</v>
      </c>
      <c r="X652" t="s">
        <v>91</v>
      </c>
      <c r="Y652" s="1">
        <v>221</v>
      </c>
      <c r="Z652" s="1" t="str">
        <f t="shared" si="203"/>
        <v>Shopping: $221.00</v>
      </c>
      <c r="AA652" s="1">
        <f>IF(Y652="","",ROUND(Y652*'Lookup Values'!$A$2,2))</f>
        <v>19.61</v>
      </c>
      <c r="AB652" s="12" t="str">
        <f t="shared" si="204"/>
        <v>Expense</v>
      </c>
      <c r="AC652" s="2" t="s">
        <v>610</v>
      </c>
      <c r="AD652" s="3">
        <f t="shared" si="205"/>
        <v>40630</v>
      </c>
      <c r="AE652" s="93" t="str">
        <f t="shared" si="206"/>
        <v>NO</v>
      </c>
      <c r="AF652" s="2" t="str">
        <f t="shared" si="207"/>
        <v>NO</v>
      </c>
      <c r="AG652" t="str">
        <f t="shared" si="208"/>
        <v>CRAP Transaction</v>
      </c>
    </row>
    <row r="653" spans="1:33" x14ac:dyDescent="0.25">
      <c r="A653" s="2">
        <v>652</v>
      </c>
      <c r="B653" s="3" t="str">
        <f t="shared" si="190"/>
        <v>080325-SH-EXP</v>
      </c>
      <c r="C653" s="3">
        <v>39532</v>
      </c>
      <c r="D653" s="3">
        <f t="shared" si="192"/>
        <v>39546</v>
      </c>
      <c r="E653" s="3">
        <f t="shared" si="193"/>
        <v>39593</v>
      </c>
      <c r="F653" s="3">
        <f t="shared" si="194"/>
        <v>39538</v>
      </c>
      <c r="G653" s="76">
        <f t="shared" si="195"/>
        <v>2008</v>
      </c>
      <c r="H653" s="76">
        <f t="shared" si="196"/>
        <v>3</v>
      </c>
      <c r="I653" s="76" t="str">
        <f>VLOOKUP(H653,'Lookup Values'!$C$2:$D$13,2,FALSE)</f>
        <v>MAR</v>
      </c>
      <c r="J653" s="76">
        <f t="shared" si="197"/>
        <v>25</v>
      </c>
      <c r="K653" s="76">
        <f t="shared" si="198"/>
        <v>3</v>
      </c>
      <c r="L653" s="76" t="str">
        <f>VLOOKUP(K653,'Lookup Values'!$F$2:$G$8,2,FALSE)</f>
        <v>Tuesday</v>
      </c>
      <c r="M653" s="3">
        <v>39537</v>
      </c>
      <c r="N653" s="78">
        <f t="shared" si="191"/>
        <v>5</v>
      </c>
      <c r="O653" s="11">
        <v>0.20113174382775478</v>
      </c>
      <c r="P653" s="94">
        <f t="shared" si="199"/>
        <v>4</v>
      </c>
      <c r="Q653" s="94">
        <f t="shared" si="200"/>
        <v>49</v>
      </c>
      <c r="R653" s="94">
        <f t="shared" si="201"/>
        <v>38</v>
      </c>
      <c r="S653" s="94" t="str">
        <f>VLOOKUP(O653,'Lookup Values'!$I$2:$L$8,4,TRUE)</f>
        <v>Early Morning</v>
      </c>
      <c r="T653" t="s">
        <v>83</v>
      </c>
      <c r="U653" t="s">
        <v>103</v>
      </c>
      <c r="V653" t="str">
        <f t="shared" si="202"/>
        <v>Shopping: Clothing</v>
      </c>
      <c r="W653" t="s">
        <v>102</v>
      </c>
      <c r="X653" t="s">
        <v>91</v>
      </c>
      <c r="Y653" s="1">
        <v>369</v>
      </c>
      <c r="Z653" s="1" t="str">
        <f t="shared" si="203"/>
        <v>Shopping: $369.00</v>
      </c>
      <c r="AA653" s="1">
        <f>IF(Y653="","",ROUND(Y653*'Lookup Values'!$A$2,2))</f>
        <v>32.75</v>
      </c>
      <c r="AB653" s="12" t="str">
        <f t="shared" si="204"/>
        <v>Expense</v>
      </c>
      <c r="AC653" s="2" t="s">
        <v>491</v>
      </c>
      <c r="AD653" s="3">
        <f t="shared" si="205"/>
        <v>39532</v>
      </c>
      <c r="AE653" s="93" t="str">
        <f t="shared" si="206"/>
        <v>NO</v>
      </c>
      <c r="AF653" s="2" t="str">
        <f t="shared" si="207"/>
        <v>NO</v>
      </c>
      <c r="AG653" t="str">
        <f t="shared" si="208"/>
        <v>Awesome Transaction</v>
      </c>
    </row>
    <row r="654" spans="1:33" x14ac:dyDescent="0.25">
      <c r="A654" s="2">
        <v>653</v>
      </c>
      <c r="B654" s="3" t="str">
        <f t="shared" si="190"/>
        <v>081113-ED-SKI</v>
      </c>
      <c r="C654" s="3">
        <v>39765</v>
      </c>
      <c r="D654" s="3">
        <f t="shared" si="192"/>
        <v>39779</v>
      </c>
      <c r="E654" s="3">
        <f t="shared" si="193"/>
        <v>39826</v>
      </c>
      <c r="F654" s="3">
        <f t="shared" si="194"/>
        <v>39782</v>
      </c>
      <c r="G654" s="76">
        <f t="shared" si="195"/>
        <v>2008</v>
      </c>
      <c r="H654" s="76">
        <f t="shared" si="196"/>
        <v>11</v>
      </c>
      <c r="I654" s="76" t="str">
        <f>VLOOKUP(H654,'Lookup Values'!$C$2:$D$13,2,FALSE)</f>
        <v>NOV</v>
      </c>
      <c r="J654" s="76">
        <f t="shared" si="197"/>
        <v>13</v>
      </c>
      <c r="K654" s="76">
        <f t="shared" si="198"/>
        <v>5</v>
      </c>
      <c r="L654" s="76" t="str">
        <f>VLOOKUP(K654,'Lookup Values'!$F$2:$G$8,2,FALSE)</f>
        <v>Thursday</v>
      </c>
      <c r="M654" s="3">
        <v>39774</v>
      </c>
      <c r="N654" s="78">
        <f t="shared" si="191"/>
        <v>9</v>
      </c>
      <c r="O654" s="11">
        <v>3.9601934485067325E-2</v>
      </c>
      <c r="P654" s="94">
        <f t="shared" si="199"/>
        <v>0</v>
      </c>
      <c r="Q654" s="94">
        <f t="shared" si="200"/>
        <v>57</v>
      </c>
      <c r="R654" s="94">
        <f t="shared" si="201"/>
        <v>2</v>
      </c>
      <c r="S654" s="94" t="str">
        <f>VLOOKUP(O654,'Lookup Values'!$I$2:$L$8,4,TRUE)</f>
        <v>Dead of Night</v>
      </c>
      <c r="T654" t="s">
        <v>86</v>
      </c>
      <c r="U654" t="s">
        <v>98</v>
      </c>
      <c r="V654" t="str">
        <f t="shared" si="202"/>
        <v>Education: Professional Development</v>
      </c>
      <c r="W654" t="s">
        <v>97</v>
      </c>
      <c r="X654" t="s">
        <v>88</v>
      </c>
      <c r="Y654" s="1">
        <v>471</v>
      </c>
      <c r="Z654" s="1" t="str">
        <f t="shared" si="203"/>
        <v>Education: $471.00</v>
      </c>
      <c r="AA654" s="1">
        <f>IF(Y654="","",ROUND(Y654*'Lookup Values'!$A$2,2))</f>
        <v>41.8</v>
      </c>
      <c r="AB654" s="12" t="str">
        <f t="shared" si="204"/>
        <v>Expense</v>
      </c>
      <c r="AC654" s="2" t="s">
        <v>449</v>
      </c>
      <c r="AD654" s="3">
        <f t="shared" si="205"/>
        <v>39765</v>
      </c>
      <c r="AE654" s="93" t="str">
        <f t="shared" si="206"/>
        <v>YES</v>
      </c>
      <c r="AF654" s="2" t="str">
        <f t="shared" si="207"/>
        <v>YES</v>
      </c>
      <c r="AG654" t="str">
        <f t="shared" si="208"/>
        <v>Late Transaction</v>
      </c>
    </row>
    <row r="655" spans="1:33" x14ac:dyDescent="0.25">
      <c r="A655" s="2">
        <v>654</v>
      </c>
      <c r="B655" s="3" t="str">
        <f t="shared" si="190"/>
        <v>100423-ED-SKI</v>
      </c>
      <c r="C655" s="3">
        <v>40291</v>
      </c>
      <c r="D655" s="3">
        <f t="shared" si="192"/>
        <v>40305</v>
      </c>
      <c r="E655" s="3">
        <f t="shared" si="193"/>
        <v>40352</v>
      </c>
      <c r="F655" s="3">
        <f t="shared" si="194"/>
        <v>40298</v>
      </c>
      <c r="G655" s="76">
        <f t="shared" si="195"/>
        <v>2010</v>
      </c>
      <c r="H655" s="76">
        <f t="shared" si="196"/>
        <v>4</v>
      </c>
      <c r="I655" s="76" t="str">
        <f>VLOOKUP(H655,'Lookup Values'!$C$2:$D$13,2,FALSE)</f>
        <v>APR</v>
      </c>
      <c r="J655" s="76">
        <f t="shared" si="197"/>
        <v>23</v>
      </c>
      <c r="K655" s="76">
        <f t="shared" si="198"/>
        <v>6</v>
      </c>
      <c r="L655" s="76" t="str">
        <f>VLOOKUP(K655,'Lookup Values'!$F$2:$G$8,2,FALSE)</f>
        <v>Friday</v>
      </c>
      <c r="M655" s="3">
        <v>40299</v>
      </c>
      <c r="N655" s="78">
        <f t="shared" si="191"/>
        <v>8</v>
      </c>
      <c r="O655" s="11">
        <v>0.8339546501800853</v>
      </c>
      <c r="P655" s="94">
        <f t="shared" si="199"/>
        <v>20</v>
      </c>
      <c r="Q655" s="94">
        <f t="shared" si="200"/>
        <v>0</v>
      </c>
      <c r="R655" s="94">
        <f t="shared" si="201"/>
        <v>54</v>
      </c>
      <c r="S655" s="94" t="str">
        <f>VLOOKUP(O655,'Lookup Values'!$I$2:$L$8,4,TRUE)</f>
        <v>Evening</v>
      </c>
      <c r="T655" t="s">
        <v>86</v>
      </c>
      <c r="U655" t="s">
        <v>98</v>
      </c>
      <c r="V655" t="str">
        <f t="shared" si="202"/>
        <v>Education: Professional Development</v>
      </c>
      <c r="W655" t="s">
        <v>97</v>
      </c>
      <c r="X655" t="s">
        <v>88</v>
      </c>
      <c r="Y655" s="1">
        <v>195</v>
      </c>
      <c r="Z655" s="1" t="str">
        <f t="shared" si="203"/>
        <v>Education: $195.00</v>
      </c>
      <c r="AA655" s="1">
        <f>IF(Y655="","",ROUND(Y655*'Lookup Values'!$A$2,2))</f>
        <v>17.309999999999999</v>
      </c>
      <c r="AB655" s="12" t="str">
        <f t="shared" si="204"/>
        <v>Expense</v>
      </c>
      <c r="AC655" s="2" t="s">
        <v>434</v>
      </c>
      <c r="AD655" s="3">
        <f t="shared" si="205"/>
        <v>40291</v>
      </c>
      <c r="AE655" s="93" t="str">
        <f t="shared" si="206"/>
        <v>YES</v>
      </c>
      <c r="AF655" s="2" t="str">
        <f t="shared" si="207"/>
        <v>NO</v>
      </c>
      <c r="AG655" t="str">
        <f t="shared" si="208"/>
        <v>Late Transaction</v>
      </c>
    </row>
    <row r="656" spans="1:33" x14ac:dyDescent="0.25">
      <c r="A656" s="2">
        <v>655</v>
      </c>
      <c r="B656" s="3" t="str">
        <f t="shared" si="190"/>
        <v>070429-IN-EZE</v>
      </c>
      <c r="C656" s="3">
        <v>39201</v>
      </c>
      <c r="D656" s="3">
        <f t="shared" si="192"/>
        <v>39213</v>
      </c>
      <c r="E656" s="3">
        <f t="shared" si="193"/>
        <v>39262</v>
      </c>
      <c r="F656" s="3">
        <f t="shared" si="194"/>
        <v>39202</v>
      </c>
      <c r="G656" s="76">
        <f t="shared" si="195"/>
        <v>2007</v>
      </c>
      <c r="H656" s="76">
        <f t="shared" si="196"/>
        <v>4</v>
      </c>
      <c r="I656" s="76" t="str">
        <f>VLOOKUP(H656,'Lookup Values'!$C$2:$D$13,2,FALSE)</f>
        <v>APR</v>
      </c>
      <c r="J656" s="76">
        <f t="shared" si="197"/>
        <v>29</v>
      </c>
      <c r="K656" s="76">
        <f t="shared" si="198"/>
        <v>1</v>
      </c>
      <c r="L656" s="76" t="str">
        <f>VLOOKUP(K656,'Lookup Values'!$F$2:$G$8,2,FALSE)</f>
        <v>Sunday</v>
      </c>
      <c r="M656" s="3">
        <v>39202</v>
      </c>
      <c r="N656" s="78">
        <f t="shared" si="191"/>
        <v>1</v>
      </c>
      <c r="O656" s="11">
        <v>0.74408183192039723</v>
      </c>
      <c r="P656" s="94">
        <f t="shared" si="199"/>
        <v>17</v>
      </c>
      <c r="Q656" s="94">
        <f t="shared" si="200"/>
        <v>51</v>
      </c>
      <c r="R656" s="94">
        <f t="shared" si="201"/>
        <v>29</v>
      </c>
      <c r="S656" s="94" t="str">
        <f>VLOOKUP(O656,'Lookup Values'!$I$2:$L$8,4,TRUE)</f>
        <v>Evening</v>
      </c>
      <c r="T656" t="s">
        <v>158</v>
      </c>
      <c r="U656" t="s">
        <v>159</v>
      </c>
      <c r="V656" t="str">
        <f t="shared" si="202"/>
        <v>Income: Salary</v>
      </c>
      <c r="W656" t="s">
        <v>162</v>
      </c>
      <c r="X656" t="s">
        <v>88</v>
      </c>
      <c r="Y656" s="1">
        <v>288</v>
      </c>
      <c r="Z656" s="1" t="str">
        <f t="shared" si="203"/>
        <v>Income: $288.00</v>
      </c>
      <c r="AA656" s="1">
        <f>IF(Y656="","",ROUND(Y656*'Lookup Values'!$A$2,2))</f>
        <v>25.56</v>
      </c>
      <c r="AB656" s="12" t="str">
        <f t="shared" si="204"/>
        <v>Income</v>
      </c>
      <c r="AC656" s="2" t="s">
        <v>724</v>
      </c>
      <c r="AD656" s="3">
        <f t="shared" si="205"/>
        <v>39201</v>
      </c>
      <c r="AE656" s="93" t="str">
        <f t="shared" si="206"/>
        <v>NO</v>
      </c>
      <c r="AF656" s="2" t="str">
        <f t="shared" si="207"/>
        <v>NO</v>
      </c>
      <c r="AG656" t="str">
        <f t="shared" si="208"/>
        <v>Late Transaction</v>
      </c>
    </row>
    <row r="657" spans="1:33" x14ac:dyDescent="0.25">
      <c r="A657" s="2">
        <v>656</v>
      </c>
      <c r="B657" s="3" t="str">
        <f t="shared" si="190"/>
        <v>090529-FO-TRA</v>
      </c>
      <c r="C657" s="3">
        <v>39962</v>
      </c>
      <c r="D657" s="3">
        <f t="shared" si="192"/>
        <v>39976</v>
      </c>
      <c r="E657" s="3">
        <f t="shared" si="193"/>
        <v>40023</v>
      </c>
      <c r="F657" s="3">
        <f t="shared" si="194"/>
        <v>39964</v>
      </c>
      <c r="G657" s="76">
        <f t="shared" si="195"/>
        <v>2009</v>
      </c>
      <c r="H657" s="76">
        <f t="shared" si="196"/>
        <v>5</v>
      </c>
      <c r="I657" s="76" t="str">
        <f>VLOOKUP(H657,'Lookup Values'!$C$2:$D$13,2,FALSE)</f>
        <v>MAY</v>
      </c>
      <c r="J657" s="76">
        <f t="shared" si="197"/>
        <v>29</v>
      </c>
      <c r="K657" s="76">
        <f t="shared" si="198"/>
        <v>6</v>
      </c>
      <c r="L657" s="76" t="str">
        <f>VLOOKUP(K657,'Lookup Values'!$F$2:$G$8,2,FALSE)</f>
        <v>Friday</v>
      </c>
      <c r="M657" s="3">
        <v>39970</v>
      </c>
      <c r="N657" s="78">
        <f t="shared" si="191"/>
        <v>8</v>
      </c>
      <c r="O657" s="11">
        <v>0.36400425175900475</v>
      </c>
      <c r="P657" s="94">
        <f t="shared" si="199"/>
        <v>8</v>
      </c>
      <c r="Q657" s="94">
        <f t="shared" si="200"/>
        <v>44</v>
      </c>
      <c r="R657" s="94">
        <f t="shared" si="201"/>
        <v>10</v>
      </c>
      <c r="S657" s="94" t="str">
        <f>VLOOKUP(O657,'Lookup Values'!$I$2:$L$8,4,TRUE)</f>
        <v>Morning</v>
      </c>
      <c r="T657" t="s">
        <v>80</v>
      </c>
      <c r="U657" t="s">
        <v>93</v>
      </c>
      <c r="V657" t="str">
        <f t="shared" si="202"/>
        <v>Food: Groceries</v>
      </c>
      <c r="W657" t="s">
        <v>92</v>
      </c>
      <c r="X657" t="s">
        <v>91</v>
      </c>
      <c r="Y657" s="1">
        <v>417</v>
      </c>
      <c r="Z657" s="1" t="str">
        <f t="shared" si="203"/>
        <v>Food: $417.00</v>
      </c>
      <c r="AA657" s="1">
        <f>IF(Y657="","",ROUND(Y657*'Lookup Values'!$A$2,2))</f>
        <v>37.01</v>
      </c>
      <c r="AB657" s="12" t="str">
        <f t="shared" si="204"/>
        <v>Expense</v>
      </c>
      <c r="AC657" s="2" t="s">
        <v>725</v>
      </c>
      <c r="AD657" s="3">
        <f t="shared" si="205"/>
        <v>39962</v>
      </c>
      <c r="AE657" s="93" t="str">
        <f t="shared" si="206"/>
        <v>NO</v>
      </c>
      <c r="AF657" s="2" t="str">
        <f t="shared" si="207"/>
        <v>NO</v>
      </c>
      <c r="AG657" t="str">
        <f t="shared" si="208"/>
        <v>Awesome Transaction</v>
      </c>
    </row>
    <row r="658" spans="1:33" x14ac:dyDescent="0.25">
      <c r="A658" s="2">
        <v>657</v>
      </c>
      <c r="B658" s="3" t="str">
        <f t="shared" si="190"/>
        <v>071121-ED-SKI</v>
      </c>
      <c r="C658" s="3">
        <v>39407</v>
      </c>
      <c r="D658" s="3">
        <f t="shared" si="192"/>
        <v>39421</v>
      </c>
      <c r="E658" s="3">
        <f t="shared" si="193"/>
        <v>39468</v>
      </c>
      <c r="F658" s="3">
        <f t="shared" si="194"/>
        <v>39416</v>
      </c>
      <c r="G658" s="76">
        <f t="shared" si="195"/>
        <v>2007</v>
      </c>
      <c r="H658" s="76">
        <f t="shared" si="196"/>
        <v>11</v>
      </c>
      <c r="I658" s="76" t="str">
        <f>VLOOKUP(H658,'Lookup Values'!$C$2:$D$13,2,FALSE)</f>
        <v>NOV</v>
      </c>
      <c r="J658" s="76">
        <f t="shared" si="197"/>
        <v>21</v>
      </c>
      <c r="K658" s="76">
        <f t="shared" si="198"/>
        <v>4</v>
      </c>
      <c r="L658" s="76" t="str">
        <f>VLOOKUP(K658,'Lookup Values'!$F$2:$G$8,2,FALSE)</f>
        <v>Wednesday</v>
      </c>
      <c r="M658" s="3">
        <v>39410</v>
      </c>
      <c r="N658" s="78">
        <f t="shared" si="191"/>
        <v>3</v>
      </c>
      <c r="O658" s="11">
        <v>0.5868156063817519</v>
      </c>
      <c r="P658" s="94">
        <f t="shared" si="199"/>
        <v>14</v>
      </c>
      <c r="Q658" s="94">
        <f t="shared" si="200"/>
        <v>5</v>
      </c>
      <c r="R658" s="94">
        <f t="shared" si="201"/>
        <v>1</v>
      </c>
      <c r="S658" s="94" t="str">
        <f>VLOOKUP(O658,'Lookup Values'!$I$2:$L$8,4,TRUE)</f>
        <v>Afternoon</v>
      </c>
      <c r="T658" t="s">
        <v>86</v>
      </c>
      <c r="U658" t="s">
        <v>98</v>
      </c>
      <c r="V658" t="str">
        <f t="shared" si="202"/>
        <v>Education: Professional Development</v>
      </c>
      <c r="W658" t="s">
        <v>97</v>
      </c>
      <c r="X658" t="s">
        <v>91</v>
      </c>
      <c r="Y658" s="1">
        <v>211</v>
      </c>
      <c r="Z658" s="1" t="str">
        <f t="shared" si="203"/>
        <v>Education: $211.00</v>
      </c>
      <c r="AA658" s="1">
        <f>IF(Y658="","",ROUND(Y658*'Lookup Values'!$A$2,2))</f>
        <v>18.73</v>
      </c>
      <c r="AB658" s="12" t="str">
        <f t="shared" si="204"/>
        <v>Expense</v>
      </c>
      <c r="AC658" s="2" t="s">
        <v>726</v>
      </c>
      <c r="AD658" s="3">
        <f t="shared" si="205"/>
        <v>39407</v>
      </c>
      <c r="AE658" s="93" t="str">
        <f t="shared" si="206"/>
        <v>YES</v>
      </c>
      <c r="AF658" s="2" t="str">
        <f t="shared" si="207"/>
        <v>NO</v>
      </c>
      <c r="AG658" t="str">
        <f t="shared" si="208"/>
        <v>Late Transaction</v>
      </c>
    </row>
    <row r="659" spans="1:33" x14ac:dyDescent="0.25">
      <c r="A659" s="2">
        <v>658</v>
      </c>
      <c r="B659" s="3" t="str">
        <f t="shared" si="190"/>
        <v>111002-FO-BAN</v>
      </c>
      <c r="C659" s="3">
        <v>40818</v>
      </c>
      <c r="D659" s="3">
        <f t="shared" si="192"/>
        <v>40830</v>
      </c>
      <c r="E659" s="3">
        <f t="shared" si="193"/>
        <v>40879</v>
      </c>
      <c r="F659" s="3">
        <f t="shared" si="194"/>
        <v>40847</v>
      </c>
      <c r="G659" s="76">
        <f t="shared" si="195"/>
        <v>2011</v>
      </c>
      <c r="H659" s="76">
        <f t="shared" si="196"/>
        <v>10</v>
      </c>
      <c r="I659" s="76" t="str">
        <f>VLOOKUP(H659,'Lookup Values'!$C$2:$D$13,2,FALSE)</f>
        <v>OCT</v>
      </c>
      <c r="J659" s="76">
        <f t="shared" si="197"/>
        <v>2</v>
      </c>
      <c r="K659" s="76">
        <f t="shared" si="198"/>
        <v>1</v>
      </c>
      <c r="L659" s="76" t="str">
        <f>VLOOKUP(K659,'Lookup Values'!$F$2:$G$8,2,FALSE)</f>
        <v>Sunday</v>
      </c>
      <c r="M659" s="3">
        <v>40821</v>
      </c>
      <c r="N659" s="78">
        <f t="shared" si="191"/>
        <v>3</v>
      </c>
      <c r="O659" s="11">
        <v>0.89638560536015388</v>
      </c>
      <c r="P659" s="94">
        <f t="shared" si="199"/>
        <v>21</v>
      </c>
      <c r="Q659" s="94">
        <f t="shared" si="200"/>
        <v>30</v>
      </c>
      <c r="R659" s="94">
        <f t="shared" si="201"/>
        <v>48</v>
      </c>
      <c r="S659" s="94" t="str">
        <f>VLOOKUP(O659,'Lookup Values'!$I$2:$L$8,4,TRUE)</f>
        <v>Late Evening</v>
      </c>
      <c r="T659" t="s">
        <v>80</v>
      </c>
      <c r="U659" t="s">
        <v>81</v>
      </c>
      <c r="V659" t="str">
        <f t="shared" si="202"/>
        <v>Food: Restaurants</v>
      </c>
      <c r="W659" t="s">
        <v>79</v>
      </c>
      <c r="X659" t="s">
        <v>78</v>
      </c>
      <c r="Y659" s="1">
        <v>202</v>
      </c>
      <c r="Z659" s="1" t="str">
        <f t="shared" si="203"/>
        <v>Food: $202.00</v>
      </c>
      <c r="AA659" s="1">
        <f>IF(Y659="","",ROUND(Y659*'Lookup Values'!$A$2,2))</f>
        <v>17.93</v>
      </c>
      <c r="AB659" s="12" t="str">
        <f t="shared" si="204"/>
        <v>Expense</v>
      </c>
      <c r="AC659" s="2" t="s">
        <v>727</v>
      </c>
      <c r="AD659" s="3">
        <f t="shared" si="205"/>
        <v>40818</v>
      </c>
      <c r="AE659" s="93" t="str">
        <f t="shared" si="206"/>
        <v>NO</v>
      </c>
      <c r="AF659" s="2" t="str">
        <f t="shared" si="207"/>
        <v>NO</v>
      </c>
      <c r="AG659" t="str">
        <f t="shared" si="208"/>
        <v>CRAP Transaction</v>
      </c>
    </row>
    <row r="660" spans="1:33" x14ac:dyDescent="0.25">
      <c r="A660" s="2">
        <v>659</v>
      </c>
      <c r="B660" s="3" t="str">
        <f t="shared" si="190"/>
        <v>080825-EN-FAN</v>
      </c>
      <c r="C660" s="3">
        <v>39685</v>
      </c>
      <c r="D660" s="3">
        <f t="shared" si="192"/>
        <v>39699</v>
      </c>
      <c r="E660" s="3">
        <f t="shared" si="193"/>
        <v>39746</v>
      </c>
      <c r="F660" s="3">
        <f t="shared" si="194"/>
        <v>39691</v>
      </c>
      <c r="G660" s="76">
        <f t="shared" si="195"/>
        <v>2008</v>
      </c>
      <c r="H660" s="76">
        <f t="shared" si="196"/>
        <v>8</v>
      </c>
      <c r="I660" s="76" t="str">
        <f>VLOOKUP(H660,'Lookup Values'!$C$2:$D$13,2,FALSE)</f>
        <v>AUG</v>
      </c>
      <c r="J660" s="76">
        <f t="shared" si="197"/>
        <v>25</v>
      </c>
      <c r="K660" s="76">
        <f t="shared" si="198"/>
        <v>2</v>
      </c>
      <c r="L660" s="76" t="str">
        <f>VLOOKUP(K660,'Lookup Values'!$F$2:$G$8,2,FALSE)</f>
        <v>Monday</v>
      </c>
      <c r="M660" s="3">
        <v>39688</v>
      </c>
      <c r="N660" s="78">
        <f t="shared" si="191"/>
        <v>3</v>
      </c>
      <c r="O660" s="11">
        <v>8.2162639845878571E-2</v>
      </c>
      <c r="P660" s="94">
        <f t="shared" si="199"/>
        <v>1</v>
      </c>
      <c r="Q660" s="94">
        <f t="shared" si="200"/>
        <v>58</v>
      </c>
      <c r="R660" s="94">
        <f t="shared" si="201"/>
        <v>19</v>
      </c>
      <c r="S660" s="94" t="str">
        <f>VLOOKUP(O660,'Lookup Values'!$I$2:$L$8,4,TRUE)</f>
        <v>Dead of Night</v>
      </c>
      <c r="T660" t="s">
        <v>76</v>
      </c>
      <c r="U660" t="s">
        <v>90</v>
      </c>
      <c r="V660" t="str">
        <f t="shared" si="202"/>
        <v>Entertainment: Movies</v>
      </c>
      <c r="W660" t="s">
        <v>89</v>
      </c>
      <c r="X660" t="s">
        <v>91</v>
      </c>
      <c r="Y660" s="1">
        <v>308</v>
      </c>
      <c r="Z660" s="1" t="str">
        <f t="shared" si="203"/>
        <v>Entertainment: $308.00</v>
      </c>
      <c r="AA660" s="1">
        <f>IF(Y660="","",ROUND(Y660*'Lookup Values'!$A$2,2))</f>
        <v>27.34</v>
      </c>
      <c r="AB660" s="12" t="str">
        <f t="shared" si="204"/>
        <v>Expense</v>
      </c>
      <c r="AC660" s="2" t="s">
        <v>728</v>
      </c>
      <c r="AD660" s="3">
        <f t="shared" si="205"/>
        <v>39685</v>
      </c>
      <c r="AE660" s="93" t="str">
        <f t="shared" si="206"/>
        <v>NO</v>
      </c>
      <c r="AF660" s="2" t="str">
        <f t="shared" si="207"/>
        <v>NO</v>
      </c>
      <c r="AG660" t="str">
        <f t="shared" si="208"/>
        <v>Awesome Transaction</v>
      </c>
    </row>
    <row r="661" spans="1:33" x14ac:dyDescent="0.25">
      <c r="A661" s="2">
        <v>660</v>
      </c>
      <c r="B661" s="3" t="str">
        <f t="shared" si="190"/>
        <v>110522-FO-BAN</v>
      </c>
      <c r="C661" s="3">
        <v>40685</v>
      </c>
      <c r="D661" s="3">
        <f t="shared" si="192"/>
        <v>40697</v>
      </c>
      <c r="E661" s="3">
        <f t="shared" si="193"/>
        <v>40746</v>
      </c>
      <c r="F661" s="3">
        <f t="shared" si="194"/>
        <v>40694</v>
      </c>
      <c r="G661" s="76">
        <f t="shared" si="195"/>
        <v>2011</v>
      </c>
      <c r="H661" s="76">
        <f t="shared" si="196"/>
        <v>5</v>
      </c>
      <c r="I661" s="76" t="str">
        <f>VLOOKUP(H661,'Lookup Values'!$C$2:$D$13,2,FALSE)</f>
        <v>MAY</v>
      </c>
      <c r="J661" s="76">
        <f t="shared" si="197"/>
        <v>22</v>
      </c>
      <c r="K661" s="76">
        <f t="shared" si="198"/>
        <v>1</v>
      </c>
      <c r="L661" s="76" t="str">
        <f>VLOOKUP(K661,'Lookup Values'!$F$2:$G$8,2,FALSE)</f>
        <v>Sunday</v>
      </c>
      <c r="M661" s="3">
        <v>40686</v>
      </c>
      <c r="N661" s="78">
        <f t="shared" si="191"/>
        <v>1</v>
      </c>
      <c r="O661" s="11">
        <v>0.33611777224690331</v>
      </c>
      <c r="P661" s="94">
        <f t="shared" si="199"/>
        <v>8</v>
      </c>
      <c r="Q661" s="94">
        <f t="shared" si="200"/>
        <v>4</v>
      </c>
      <c r="R661" s="94">
        <f t="shared" si="201"/>
        <v>1</v>
      </c>
      <c r="S661" s="94" t="str">
        <f>VLOOKUP(O661,'Lookup Values'!$I$2:$L$8,4,TRUE)</f>
        <v>Morning</v>
      </c>
      <c r="T661" t="s">
        <v>80</v>
      </c>
      <c r="U661" t="s">
        <v>81</v>
      </c>
      <c r="V661" t="str">
        <f t="shared" si="202"/>
        <v>Food: Restaurants</v>
      </c>
      <c r="W661" t="s">
        <v>79</v>
      </c>
      <c r="X661" t="s">
        <v>91</v>
      </c>
      <c r="Y661" s="1">
        <v>98</v>
      </c>
      <c r="Z661" s="1" t="str">
        <f t="shared" si="203"/>
        <v>Food: $98.00</v>
      </c>
      <c r="AA661" s="1">
        <f>IF(Y661="","",ROUND(Y661*'Lookup Values'!$A$2,2))</f>
        <v>8.6999999999999993</v>
      </c>
      <c r="AB661" s="12" t="str">
        <f t="shared" si="204"/>
        <v>Expense</v>
      </c>
      <c r="AC661" s="2" t="s">
        <v>729</v>
      </c>
      <c r="AD661" s="3">
        <f t="shared" si="205"/>
        <v>40685</v>
      </c>
      <c r="AE661" s="93" t="str">
        <f t="shared" si="206"/>
        <v>NO</v>
      </c>
      <c r="AF661" s="2" t="str">
        <f t="shared" si="207"/>
        <v>NO</v>
      </c>
      <c r="AG661" t="str">
        <f t="shared" si="208"/>
        <v>CRAP Transaction</v>
      </c>
    </row>
    <row r="662" spans="1:33" x14ac:dyDescent="0.25">
      <c r="A662" s="2">
        <v>661</v>
      </c>
      <c r="B662" s="3" t="str">
        <f t="shared" si="190"/>
        <v>090403-FO-BAN</v>
      </c>
      <c r="C662" s="3">
        <v>39906</v>
      </c>
      <c r="D662" s="3">
        <f t="shared" si="192"/>
        <v>39920</v>
      </c>
      <c r="E662" s="3">
        <f t="shared" si="193"/>
        <v>39967</v>
      </c>
      <c r="F662" s="3">
        <f t="shared" si="194"/>
        <v>39933</v>
      </c>
      <c r="G662" s="76">
        <f t="shared" si="195"/>
        <v>2009</v>
      </c>
      <c r="H662" s="76">
        <f t="shared" si="196"/>
        <v>4</v>
      </c>
      <c r="I662" s="76" t="str">
        <f>VLOOKUP(H662,'Lookup Values'!$C$2:$D$13,2,FALSE)</f>
        <v>APR</v>
      </c>
      <c r="J662" s="76">
        <f t="shared" si="197"/>
        <v>3</v>
      </c>
      <c r="K662" s="76">
        <f t="shared" si="198"/>
        <v>6</v>
      </c>
      <c r="L662" s="76" t="str">
        <f>VLOOKUP(K662,'Lookup Values'!$F$2:$G$8,2,FALSE)</f>
        <v>Friday</v>
      </c>
      <c r="M662" s="3">
        <v>39912</v>
      </c>
      <c r="N662" s="78">
        <f t="shared" si="191"/>
        <v>6</v>
      </c>
      <c r="O662" s="11">
        <v>0.78761743897770253</v>
      </c>
      <c r="P662" s="94">
        <f t="shared" si="199"/>
        <v>18</v>
      </c>
      <c r="Q662" s="94">
        <f t="shared" si="200"/>
        <v>54</v>
      </c>
      <c r="R662" s="94">
        <f t="shared" si="201"/>
        <v>10</v>
      </c>
      <c r="S662" s="94" t="str">
        <f>VLOOKUP(O662,'Lookup Values'!$I$2:$L$8,4,TRUE)</f>
        <v>Evening</v>
      </c>
      <c r="T662" t="s">
        <v>80</v>
      </c>
      <c r="U662" t="s">
        <v>81</v>
      </c>
      <c r="V662" t="str">
        <f t="shared" si="202"/>
        <v>Food: Restaurants</v>
      </c>
      <c r="W662" t="s">
        <v>79</v>
      </c>
      <c r="X662" t="s">
        <v>91</v>
      </c>
      <c r="Y662" s="1">
        <v>290</v>
      </c>
      <c r="Z662" s="1" t="str">
        <f t="shared" si="203"/>
        <v>Food: $290.00</v>
      </c>
      <c r="AA662" s="1">
        <f>IF(Y662="","",ROUND(Y662*'Lookup Values'!$A$2,2))</f>
        <v>25.74</v>
      </c>
      <c r="AB662" s="12" t="str">
        <f t="shared" si="204"/>
        <v>Expense</v>
      </c>
      <c r="AC662" s="2" t="s">
        <v>574</v>
      </c>
      <c r="AD662" s="3">
        <f t="shared" si="205"/>
        <v>39906</v>
      </c>
      <c r="AE662" s="93" t="str">
        <f t="shared" si="206"/>
        <v>NO</v>
      </c>
      <c r="AF662" s="2" t="str">
        <f t="shared" si="207"/>
        <v>NO</v>
      </c>
      <c r="AG662" t="str">
        <f t="shared" si="208"/>
        <v>Awesome Transaction</v>
      </c>
    </row>
    <row r="663" spans="1:33" x14ac:dyDescent="0.25">
      <c r="A663" s="2">
        <v>662</v>
      </c>
      <c r="B663" s="3" t="str">
        <f t="shared" si="190"/>
        <v>100318-ED-SKI</v>
      </c>
      <c r="C663" s="3">
        <v>40255</v>
      </c>
      <c r="D663" s="3">
        <f t="shared" si="192"/>
        <v>40269</v>
      </c>
      <c r="E663" s="3">
        <f t="shared" si="193"/>
        <v>40316</v>
      </c>
      <c r="F663" s="3">
        <f t="shared" si="194"/>
        <v>40268</v>
      </c>
      <c r="G663" s="76">
        <f t="shared" si="195"/>
        <v>2010</v>
      </c>
      <c r="H663" s="76">
        <f t="shared" si="196"/>
        <v>3</v>
      </c>
      <c r="I663" s="76" t="str">
        <f>VLOOKUP(H663,'Lookup Values'!$C$2:$D$13,2,FALSE)</f>
        <v>MAR</v>
      </c>
      <c r="J663" s="76">
        <f t="shared" si="197"/>
        <v>18</v>
      </c>
      <c r="K663" s="76">
        <f t="shared" si="198"/>
        <v>5</v>
      </c>
      <c r="L663" s="76" t="str">
        <f>VLOOKUP(K663,'Lookup Values'!$F$2:$G$8,2,FALSE)</f>
        <v>Thursday</v>
      </c>
      <c r="M663" s="3">
        <v>40264</v>
      </c>
      <c r="N663" s="78">
        <f t="shared" si="191"/>
        <v>9</v>
      </c>
      <c r="O663" s="11">
        <v>0.20273987160475826</v>
      </c>
      <c r="P663" s="94">
        <f t="shared" si="199"/>
        <v>4</v>
      </c>
      <c r="Q663" s="94">
        <f t="shared" si="200"/>
        <v>51</v>
      </c>
      <c r="R663" s="94">
        <f t="shared" si="201"/>
        <v>57</v>
      </c>
      <c r="S663" s="94" t="str">
        <f>VLOOKUP(O663,'Lookup Values'!$I$2:$L$8,4,TRUE)</f>
        <v>Early Morning</v>
      </c>
      <c r="T663" t="s">
        <v>86</v>
      </c>
      <c r="U663" t="s">
        <v>98</v>
      </c>
      <c r="V663" t="str">
        <f t="shared" si="202"/>
        <v>Education: Professional Development</v>
      </c>
      <c r="W663" t="s">
        <v>97</v>
      </c>
      <c r="X663" t="s">
        <v>88</v>
      </c>
      <c r="Y663" s="1">
        <v>280</v>
      </c>
      <c r="Z663" s="1" t="str">
        <f t="shared" si="203"/>
        <v>Education: $280.00</v>
      </c>
      <c r="AA663" s="1">
        <f>IF(Y663="","",ROUND(Y663*'Lookup Values'!$A$2,2))</f>
        <v>24.85</v>
      </c>
      <c r="AB663" s="12" t="str">
        <f t="shared" si="204"/>
        <v>Expense</v>
      </c>
      <c r="AC663" s="2" t="s">
        <v>598</v>
      </c>
      <c r="AD663" s="3">
        <f t="shared" si="205"/>
        <v>40255</v>
      </c>
      <c r="AE663" s="93" t="str">
        <f t="shared" si="206"/>
        <v>YES</v>
      </c>
      <c r="AF663" s="2" t="str">
        <f t="shared" si="207"/>
        <v>NO</v>
      </c>
      <c r="AG663" t="str">
        <f t="shared" si="208"/>
        <v>Late Transaction</v>
      </c>
    </row>
    <row r="664" spans="1:33" x14ac:dyDescent="0.25">
      <c r="A664" s="2">
        <v>663</v>
      </c>
      <c r="B664" s="3" t="str">
        <f t="shared" si="190"/>
        <v>081228-IN-EZE</v>
      </c>
      <c r="C664" s="3">
        <v>39810</v>
      </c>
      <c r="D664" s="3">
        <f t="shared" si="192"/>
        <v>39822</v>
      </c>
      <c r="E664" s="3">
        <f t="shared" si="193"/>
        <v>39872</v>
      </c>
      <c r="F664" s="3">
        <f t="shared" si="194"/>
        <v>39813</v>
      </c>
      <c r="G664" s="76">
        <f t="shared" si="195"/>
        <v>2008</v>
      </c>
      <c r="H664" s="76">
        <f t="shared" si="196"/>
        <v>12</v>
      </c>
      <c r="I664" s="76" t="str">
        <f>VLOOKUP(H664,'Lookup Values'!$C$2:$D$13,2,FALSE)</f>
        <v>DEC</v>
      </c>
      <c r="J664" s="76">
        <f t="shared" si="197"/>
        <v>28</v>
      </c>
      <c r="K664" s="76">
        <f t="shared" si="198"/>
        <v>1</v>
      </c>
      <c r="L664" s="76" t="str">
        <f>VLOOKUP(K664,'Lookup Values'!$F$2:$G$8,2,FALSE)</f>
        <v>Sunday</v>
      </c>
      <c r="M664" s="3">
        <v>39814</v>
      </c>
      <c r="N664" s="78">
        <f t="shared" si="191"/>
        <v>4</v>
      </c>
      <c r="O664" s="11">
        <v>0.9470283583331035</v>
      </c>
      <c r="P664" s="94">
        <f t="shared" si="199"/>
        <v>22</v>
      </c>
      <c r="Q664" s="94">
        <f t="shared" si="200"/>
        <v>43</v>
      </c>
      <c r="R664" s="94">
        <f t="shared" si="201"/>
        <v>43</v>
      </c>
      <c r="S664" s="94" t="str">
        <f>VLOOKUP(O664,'Lookup Values'!$I$2:$L$8,4,TRUE)</f>
        <v>Late Evening</v>
      </c>
      <c r="T664" t="s">
        <v>158</v>
      </c>
      <c r="U664" t="s">
        <v>159</v>
      </c>
      <c r="V664" t="str">
        <f t="shared" si="202"/>
        <v>Income: Salary</v>
      </c>
      <c r="W664" t="s">
        <v>162</v>
      </c>
      <c r="X664" t="s">
        <v>91</v>
      </c>
      <c r="Y664" s="1">
        <v>275</v>
      </c>
      <c r="Z664" s="1" t="str">
        <f t="shared" si="203"/>
        <v>Income: $275.00</v>
      </c>
      <c r="AA664" s="1">
        <f>IF(Y664="","",ROUND(Y664*'Lookup Values'!$A$2,2))</f>
        <v>24.41</v>
      </c>
      <c r="AB664" s="12" t="str">
        <f t="shared" si="204"/>
        <v>Income</v>
      </c>
      <c r="AC664" s="2" t="s">
        <v>730</v>
      </c>
      <c r="AD664" s="3">
        <f t="shared" si="205"/>
        <v>39810</v>
      </c>
      <c r="AE664" s="93" t="str">
        <f t="shared" si="206"/>
        <v>NO</v>
      </c>
      <c r="AF664" s="2" t="str">
        <f t="shared" si="207"/>
        <v>NO</v>
      </c>
      <c r="AG664" t="str">
        <f t="shared" si="208"/>
        <v>Late Transaction</v>
      </c>
    </row>
    <row r="665" spans="1:33" x14ac:dyDescent="0.25">
      <c r="A665" s="2">
        <v>664</v>
      </c>
      <c r="B665" s="3" t="str">
        <f t="shared" si="190"/>
        <v>070426-EN-MOE</v>
      </c>
      <c r="C665" s="3">
        <v>39198</v>
      </c>
      <c r="D665" s="3">
        <f t="shared" si="192"/>
        <v>39212</v>
      </c>
      <c r="E665" s="3">
        <f t="shared" si="193"/>
        <v>39259</v>
      </c>
      <c r="F665" s="3">
        <f t="shared" si="194"/>
        <v>39202</v>
      </c>
      <c r="G665" s="76">
        <f t="shared" si="195"/>
        <v>2007</v>
      </c>
      <c r="H665" s="76">
        <f t="shared" si="196"/>
        <v>4</v>
      </c>
      <c r="I665" s="76" t="str">
        <f>VLOOKUP(H665,'Lookup Values'!$C$2:$D$13,2,FALSE)</f>
        <v>APR</v>
      </c>
      <c r="J665" s="76">
        <f t="shared" si="197"/>
        <v>26</v>
      </c>
      <c r="K665" s="76">
        <f t="shared" si="198"/>
        <v>5</v>
      </c>
      <c r="L665" s="76" t="str">
        <f>VLOOKUP(K665,'Lookup Values'!$F$2:$G$8,2,FALSE)</f>
        <v>Thursday</v>
      </c>
      <c r="M665" s="3">
        <v>39206</v>
      </c>
      <c r="N665" s="78">
        <f t="shared" si="191"/>
        <v>8</v>
      </c>
      <c r="O665" s="11">
        <v>0.25174924303701396</v>
      </c>
      <c r="P665" s="94">
        <f t="shared" si="199"/>
        <v>6</v>
      </c>
      <c r="Q665" s="94">
        <f t="shared" si="200"/>
        <v>2</v>
      </c>
      <c r="R665" s="94">
        <f t="shared" si="201"/>
        <v>31</v>
      </c>
      <c r="S665" s="94" t="str">
        <f>VLOOKUP(O665,'Lookup Values'!$I$2:$L$8,4,TRUE)</f>
        <v>Early Morning</v>
      </c>
      <c r="T665" t="s">
        <v>76</v>
      </c>
      <c r="U665" t="s">
        <v>77</v>
      </c>
      <c r="V665" t="str">
        <f t="shared" si="202"/>
        <v>Entertainment: Alcohol</v>
      </c>
      <c r="W665" t="s">
        <v>75</v>
      </c>
      <c r="X665" t="s">
        <v>91</v>
      </c>
      <c r="Y665" s="1">
        <v>500</v>
      </c>
      <c r="Z665" s="1" t="str">
        <f t="shared" si="203"/>
        <v>Entertainment: $500.00</v>
      </c>
      <c r="AA665" s="1">
        <f>IF(Y665="","",ROUND(Y665*'Lookup Values'!$A$2,2))</f>
        <v>44.38</v>
      </c>
      <c r="AB665" s="12" t="str">
        <f t="shared" si="204"/>
        <v>Expense</v>
      </c>
      <c r="AC665" s="2" t="s">
        <v>731</v>
      </c>
      <c r="AD665" s="3">
        <f t="shared" si="205"/>
        <v>39198</v>
      </c>
      <c r="AE665" s="93" t="str">
        <f t="shared" si="206"/>
        <v>NO</v>
      </c>
      <c r="AF665" s="2" t="str">
        <f t="shared" si="207"/>
        <v>NO</v>
      </c>
      <c r="AG665" t="str">
        <f t="shared" si="208"/>
        <v>Awesome Transaction</v>
      </c>
    </row>
    <row r="666" spans="1:33" x14ac:dyDescent="0.25">
      <c r="A666" s="2">
        <v>665</v>
      </c>
      <c r="B666" s="3" t="str">
        <f t="shared" si="190"/>
        <v>120627-SH-AMA</v>
      </c>
      <c r="C666" s="3">
        <v>41087</v>
      </c>
      <c r="D666" s="3">
        <f t="shared" si="192"/>
        <v>41101</v>
      </c>
      <c r="E666" s="3">
        <f t="shared" si="193"/>
        <v>41148</v>
      </c>
      <c r="F666" s="3">
        <f t="shared" si="194"/>
        <v>41090</v>
      </c>
      <c r="G666" s="76">
        <f t="shared" si="195"/>
        <v>2012</v>
      </c>
      <c r="H666" s="76">
        <f t="shared" si="196"/>
        <v>6</v>
      </c>
      <c r="I666" s="76" t="str">
        <f>VLOOKUP(H666,'Lookup Values'!$C$2:$D$13,2,FALSE)</f>
        <v>JUN</v>
      </c>
      <c r="J666" s="76">
        <f t="shared" si="197"/>
        <v>27</v>
      </c>
      <c r="K666" s="76">
        <f t="shared" si="198"/>
        <v>4</v>
      </c>
      <c r="L666" s="76" t="str">
        <f>VLOOKUP(K666,'Lookup Values'!$F$2:$G$8,2,FALSE)</f>
        <v>Wednesday</v>
      </c>
      <c r="M666" s="3">
        <v>41097</v>
      </c>
      <c r="N666" s="78">
        <f t="shared" si="191"/>
        <v>10</v>
      </c>
      <c r="O666" s="11">
        <v>0.11432050251003278</v>
      </c>
      <c r="P666" s="94">
        <f t="shared" si="199"/>
        <v>2</v>
      </c>
      <c r="Q666" s="94">
        <f t="shared" si="200"/>
        <v>44</v>
      </c>
      <c r="R666" s="94">
        <f t="shared" si="201"/>
        <v>37</v>
      </c>
      <c r="S666" s="94" t="str">
        <f>VLOOKUP(O666,'Lookup Values'!$I$2:$L$8,4,TRUE)</f>
        <v>Dead of Night</v>
      </c>
      <c r="T666" t="s">
        <v>83</v>
      </c>
      <c r="U666" t="s">
        <v>84</v>
      </c>
      <c r="V666" t="str">
        <f t="shared" si="202"/>
        <v>Shopping: Electronics</v>
      </c>
      <c r="W666" t="s">
        <v>82</v>
      </c>
      <c r="X666" t="s">
        <v>88</v>
      </c>
      <c r="Y666" s="1">
        <v>227</v>
      </c>
      <c r="Z666" s="1" t="str">
        <f t="shared" si="203"/>
        <v>Shopping: $227.00</v>
      </c>
      <c r="AA666" s="1">
        <f>IF(Y666="","",ROUND(Y666*'Lookup Values'!$A$2,2))</f>
        <v>20.149999999999999</v>
      </c>
      <c r="AB666" s="12" t="str">
        <f t="shared" si="204"/>
        <v>Expense</v>
      </c>
      <c r="AC666" s="2" t="s">
        <v>732</v>
      </c>
      <c r="AD666" s="3">
        <f t="shared" si="205"/>
        <v>41087</v>
      </c>
      <c r="AE666" s="93" t="str">
        <f t="shared" si="206"/>
        <v>YES</v>
      </c>
      <c r="AF666" s="2" t="str">
        <f t="shared" si="207"/>
        <v>NO</v>
      </c>
      <c r="AG666" t="str">
        <f t="shared" si="208"/>
        <v>CRAP Transaction</v>
      </c>
    </row>
    <row r="667" spans="1:33" x14ac:dyDescent="0.25">
      <c r="A667" s="2">
        <v>666</v>
      </c>
      <c r="B667" s="3" t="str">
        <f t="shared" si="190"/>
        <v>120214-ED-ANT</v>
      </c>
      <c r="C667" s="3">
        <v>40953</v>
      </c>
      <c r="D667" s="3">
        <f t="shared" si="192"/>
        <v>40967</v>
      </c>
      <c r="E667" s="3">
        <f t="shared" si="193"/>
        <v>41013</v>
      </c>
      <c r="F667" s="3">
        <f t="shared" si="194"/>
        <v>40968</v>
      </c>
      <c r="G667" s="76">
        <f t="shared" si="195"/>
        <v>2012</v>
      </c>
      <c r="H667" s="76">
        <f t="shared" si="196"/>
        <v>2</v>
      </c>
      <c r="I667" s="76" t="str">
        <f>VLOOKUP(H667,'Lookup Values'!$C$2:$D$13,2,FALSE)</f>
        <v>FEB</v>
      </c>
      <c r="J667" s="76">
        <f t="shared" si="197"/>
        <v>14</v>
      </c>
      <c r="K667" s="76">
        <f t="shared" si="198"/>
        <v>3</v>
      </c>
      <c r="L667" s="76" t="str">
        <f>VLOOKUP(K667,'Lookup Values'!$F$2:$G$8,2,FALSE)</f>
        <v>Tuesday</v>
      </c>
      <c r="M667" s="3">
        <v>40954</v>
      </c>
      <c r="N667" s="78">
        <f t="shared" si="191"/>
        <v>1</v>
      </c>
      <c r="O667" s="11">
        <v>0.52615558725419542</v>
      </c>
      <c r="P667" s="94">
        <f t="shared" si="199"/>
        <v>12</v>
      </c>
      <c r="Q667" s="94">
        <f t="shared" si="200"/>
        <v>37</v>
      </c>
      <c r="R667" s="94">
        <f t="shared" si="201"/>
        <v>40</v>
      </c>
      <c r="S667" s="94" t="str">
        <f>VLOOKUP(O667,'Lookup Values'!$I$2:$L$8,4,TRUE)</f>
        <v>Afternoon</v>
      </c>
      <c r="T667" t="s">
        <v>86</v>
      </c>
      <c r="U667" t="s">
        <v>87</v>
      </c>
      <c r="V667" t="str">
        <f t="shared" si="202"/>
        <v>Education: Tango Lessons</v>
      </c>
      <c r="W667" t="s">
        <v>85</v>
      </c>
      <c r="X667" t="s">
        <v>78</v>
      </c>
      <c r="Y667" s="1">
        <v>23</v>
      </c>
      <c r="Z667" s="1" t="str">
        <f t="shared" si="203"/>
        <v>Education: $23.00</v>
      </c>
      <c r="AA667" s="1">
        <f>IF(Y667="","",ROUND(Y667*'Lookup Values'!$A$2,2))</f>
        <v>2.04</v>
      </c>
      <c r="AB667" s="12" t="str">
        <f t="shared" si="204"/>
        <v>Expense</v>
      </c>
      <c r="AC667" s="2" t="s">
        <v>269</v>
      </c>
      <c r="AD667" s="3">
        <f t="shared" si="205"/>
        <v>40953</v>
      </c>
      <c r="AE667" s="93" t="str">
        <f t="shared" si="206"/>
        <v>NO</v>
      </c>
      <c r="AF667" s="2" t="str">
        <f t="shared" si="207"/>
        <v>NO</v>
      </c>
      <c r="AG667" t="str">
        <f t="shared" si="208"/>
        <v>CRAP Transaction</v>
      </c>
    </row>
    <row r="668" spans="1:33" x14ac:dyDescent="0.25">
      <c r="A668" s="2">
        <v>667</v>
      </c>
      <c r="B668" s="3" t="str">
        <f t="shared" si="190"/>
        <v>080318-BI-CON</v>
      </c>
      <c r="C668" s="3">
        <v>39525</v>
      </c>
      <c r="D668" s="3">
        <f t="shared" si="192"/>
        <v>39539</v>
      </c>
      <c r="E668" s="3">
        <f t="shared" si="193"/>
        <v>39586</v>
      </c>
      <c r="F668" s="3">
        <f t="shared" si="194"/>
        <v>39538</v>
      </c>
      <c r="G668" s="76">
        <f t="shared" si="195"/>
        <v>2008</v>
      </c>
      <c r="H668" s="76">
        <f t="shared" si="196"/>
        <v>3</v>
      </c>
      <c r="I668" s="76" t="str">
        <f>VLOOKUP(H668,'Lookup Values'!$C$2:$D$13,2,FALSE)</f>
        <v>MAR</v>
      </c>
      <c r="J668" s="76">
        <f t="shared" si="197"/>
        <v>18</v>
      </c>
      <c r="K668" s="76">
        <f t="shared" si="198"/>
        <v>3</v>
      </c>
      <c r="L668" s="76" t="str">
        <f>VLOOKUP(K668,'Lookup Values'!$F$2:$G$8,2,FALSE)</f>
        <v>Tuesday</v>
      </c>
      <c r="M668" s="3">
        <v>39526</v>
      </c>
      <c r="N668" s="78">
        <f t="shared" si="191"/>
        <v>1</v>
      </c>
      <c r="O668" s="11">
        <v>0.85151852088721447</v>
      </c>
      <c r="P668" s="94">
        <f t="shared" si="199"/>
        <v>20</v>
      </c>
      <c r="Q668" s="94">
        <f t="shared" si="200"/>
        <v>26</v>
      </c>
      <c r="R668" s="94">
        <f t="shared" si="201"/>
        <v>11</v>
      </c>
      <c r="S668" s="94" t="str">
        <f>VLOOKUP(O668,'Lookup Values'!$I$2:$L$8,4,TRUE)</f>
        <v>Evening</v>
      </c>
      <c r="T668" t="s">
        <v>110</v>
      </c>
      <c r="U668" t="s">
        <v>111</v>
      </c>
      <c r="V668" t="str">
        <f t="shared" si="202"/>
        <v>Bills: Utilities</v>
      </c>
      <c r="W668" t="s">
        <v>109</v>
      </c>
      <c r="X668" t="s">
        <v>78</v>
      </c>
      <c r="Y668" s="1">
        <v>368</v>
      </c>
      <c r="Z668" s="1" t="str">
        <f t="shared" si="203"/>
        <v>Bills: $368.00</v>
      </c>
      <c r="AA668" s="1">
        <f>IF(Y668="","",ROUND(Y668*'Lookup Values'!$A$2,2))</f>
        <v>32.659999999999997</v>
      </c>
      <c r="AB668" s="12" t="str">
        <f t="shared" si="204"/>
        <v>Expense</v>
      </c>
      <c r="AC668" s="2" t="s">
        <v>733</v>
      </c>
      <c r="AD668" s="3">
        <f t="shared" si="205"/>
        <v>39525</v>
      </c>
      <c r="AE668" s="93" t="str">
        <f t="shared" si="206"/>
        <v>NO</v>
      </c>
      <c r="AF668" s="2" t="str">
        <f t="shared" si="207"/>
        <v>NO</v>
      </c>
      <c r="AG668" t="str">
        <f t="shared" si="208"/>
        <v>Late Transaction</v>
      </c>
    </row>
    <row r="669" spans="1:33" x14ac:dyDescent="0.25">
      <c r="A669" s="2">
        <v>668</v>
      </c>
      <c r="B669" s="3" t="str">
        <f t="shared" si="190"/>
        <v>080222-ED-SKI</v>
      </c>
      <c r="C669" s="3">
        <v>39500</v>
      </c>
      <c r="D669" s="3">
        <f t="shared" si="192"/>
        <v>39514</v>
      </c>
      <c r="E669" s="3">
        <f t="shared" si="193"/>
        <v>39560</v>
      </c>
      <c r="F669" s="3">
        <f t="shared" si="194"/>
        <v>39507</v>
      </c>
      <c r="G669" s="76">
        <f t="shared" si="195"/>
        <v>2008</v>
      </c>
      <c r="H669" s="76">
        <f t="shared" si="196"/>
        <v>2</v>
      </c>
      <c r="I669" s="76" t="str">
        <f>VLOOKUP(H669,'Lookup Values'!$C$2:$D$13,2,FALSE)</f>
        <v>FEB</v>
      </c>
      <c r="J669" s="76">
        <f t="shared" si="197"/>
        <v>22</v>
      </c>
      <c r="K669" s="76">
        <f t="shared" si="198"/>
        <v>6</v>
      </c>
      <c r="L669" s="76" t="str">
        <f>VLOOKUP(K669,'Lookup Values'!$F$2:$G$8,2,FALSE)</f>
        <v>Friday</v>
      </c>
      <c r="M669" s="3">
        <v>39501</v>
      </c>
      <c r="N669" s="78">
        <f t="shared" si="191"/>
        <v>1</v>
      </c>
      <c r="O669" s="11">
        <v>0.15802709629778122</v>
      </c>
      <c r="P669" s="94">
        <f t="shared" si="199"/>
        <v>3</v>
      </c>
      <c r="Q669" s="94">
        <f t="shared" si="200"/>
        <v>47</v>
      </c>
      <c r="R669" s="94">
        <f t="shared" si="201"/>
        <v>34</v>
      </c>
      <c r="S669" s="94" t="str">
        <f>VLOOKUP(O669,'Lookup Values'!$I$2:$L$8,4,TRUE)</f>
        <v>Dead of Night</v>
      </c>
      <c r="T669" t="s">
        <v>86</v>
      </c>
      <c r="U669" t="s">
        <v>98</v>
      </c>
      <c r="V669" t="str">
        <f t="shared" si="202"/>
        <v>Education: Professional Development</v>
      </c>
      <c r="W669" t="s">
        <v>97</v>
      </c>
      <c r="X669" t="s">
        <v>88</v>
      </c>
      <c r="Y669" s="1">
        <v>137</v>
      </c>
      <c r="Z669" s="1" t="str">
        <f t="shared" si="203"/>
        <v>Education: $137.00</v>
      </c>
      <c r="AA669" s="1">
        <f>IF(Y669="","",ROUND(Y669*'Lookup Values'!$A$2,2))</f>
        <v>12.16</v>
      </c>
      <c r="AB669" s="12" t="str">
        <f t="shared" si="204"/>
        <v>Expense</v>
      </c>
      <c r="AC669" s="2" t="s">
        <v>516</v>
      </c>
      <c r="AD669" s="3">
        <f t="shared" si="205"/>
        <v>39500</v>
      </c>
      <c r="AE669" s="93" t="str">
        <f t="shared" si="206"/>
        <v>YES</v>
      </c>
      <c r="AF669" s="2" t="str">
        <f t="shared" si="207"/>
        <v>NO</v>
      </c>
      <c r="AG669" t="str">
        <f t="shared" si="208"/>
        <v>Late Transaction</v>
      </c>
    </row>
    <row r="670" spans="1:33" x14ac:dyDescent="0.25">
      <c r="A670" s="2">
        <v>669</v>
      </c>
      <c r="B670" s="3" t="str">
        <f t="shared" si="190"/>
        <v>110302-FO-TRA</v>
      </c>
      <c r="C670" s="3">
        <v>40604</v>
      </c>
      <c r="D670" s="3">
        <f t="shared" si="192"/>
        <v>40618</v>
      </c>
      <c r="E670" s="3">
        <f t="shared" si="193"/>
        <v>40665</v>
      </c>
      <c r="F670" s="3">
        <f t="shared" si="194"/>
        <v>40633</v>
      </c>
      <c r="G670" s="76">
        <f t="shared" si="195"/>
        <v>2011</v>
      </c>
      <c r="H670" s="76">
        <f t="shared" si="196"/>
        <v>3</v>
      </c>
      <c r="I670" s="76" t="str">
        <f>VLOOKUP(H670,'Lookup Values'!$C$2:$D$13,2,FALSE)</f>
        <v>MAR</v>
      </c>
      <c r="J670" s="76">
        <f t="shared" si="197"/>
        <v>2</v>
      </c>
      <c r="K670" s="76">
        <f t="shared" si="198"/>
        <v>4</v>
      </c>
      <c r="L670" s="76" t="str">
        <f>VLOOKUP(K670,'Lookup Values'!$F$2:$G$8,2,FALSE)</f>
        <v>Wednesday</v>
      </c>
      <c r="M670" s="3">
        <v>40613</v>
      </c>
      <c r="N670" s="78">
        <f t="shared" si="191"/>
        <v>9</v>
      </c>
      <c r="O670" s="11">
        <v>0.14208779089353163</v>
      </c>
      <c r="P670" s="94">
        <f t="shared" si="199"/>
        <v>3</v>
      </c>
      <c r="Q670" s="94">
        <f t="shared" si="200"/>
        <v>24</v>
      </c>
      <c r="R670" s="94">
        <f t="shared" si="201"/>
        <v>36</v>
      </c>
      <c r="S670" s="94" t="str">
        <f>VLOOKUP(O670,'Lookup Values'!$I$2:$L$8,4,TRUE)</f>
        <v>Dead of Night</v>
      </c>
      <c r="T670" t="s">
        <v>80</v>
      </c>
      <c r="U670" t="s">
        <v>93</v>
      </c>
      <c r="V670" t="str">
        <f t="shared" si="202"/>
        <v>Food: Groceries</v>
      </c>
      <c r="W670" t="s">
        <v>92</v>
      </c>
      <c r="X670" t="s">
        <v>91</v>
      </c>
      <c r="Y670" s="1">
        <v>167</v>
      </c>
      <c r="Z670" s="1" t="str">
        <f t="shared" si="203"/>
        <v>Food: $167.00</v>
      </c>
      <c r="AA670" s="1">
        <f>IF(Y670="","",ROUND(Y670*'Lookup Values'!$A$2,2))</f>
        <v>14.82</v>
      </c>
      <c r="AB670" s="12" t="str">
        <f t="shared" si="204"/>
        <v>Expense</v>
      </c>
      <c r="AC670" s="2" t="s">
        <v>734</v>
      </c>
      <c r="AD670" s="3">
        <f t="shared" si="205"/>
        <v>40604</v>
      </c>
      <c r="AE670" s="93" t="str">
        <f t="shared" si="206"/>
        <v>NO</v>
      </c>
      <c r="AF670" s="2" t="str">
        <f t="shared" si="207"/>
        <v>NO</v>
      </c>
      <c r="AG670" t="str">
        <f t="shared" si="208"/>
        <v>CRAP Transaction</v>
      </c>
    </row>
    <row r="671" spans="1:33" x14ac:dyDescent="0.25">
      <c r="A671" s="2">
        <v>670</v>
      </c>
      <c r="B671" s="3" t="str">
        <f t="shared" si="190"/>
        <v>100506-FO-TRA</v>
      </c>
      <c r="C671" s="3">
        <v>40304</v>
      </c>
      <c r="D671" s="3">
        <f t="shared" si="192"/>
        <v>40318</v>
      </c>
      <c r="E671" s="3">
        <f t="shared" si="193"/>
        <v>40365</v>
      </c>
      <c r="F671" s="3">
        <f t="shared" si="194"/>
        <v>40329</v>
      </c>
      <c r="G671" s="76">
        <f t="shared" si="195"/>
        <v>2010</v>
      </c>
      <c r="H671" s="76">
        <f t="shared" si="196"/>
        <v>5</v>
      </c>
      <c r="I671" s="76" t="str">
        <f>VLOOKUP(H671,'Lookup Values'!$C$2:$D$13,2,FALSE)</f>
        <v>MAY</v>
      </c>
      <c r="J671" s="76">
        <f t="shared" si="197"/>
        <v>6</v>
      </c>
      <c r="K671" s="76">
        <f t="shared" si="198"/>
        <v>5</v>
      </c>
      <c r="L671" s="76" t="str">
        <f>VLOOKUP(K671,'Lookup Values'!$F$2:$G$8,2,FALSE)</f>
        <v>Thursday</v>
      </c>
      <c r="M671" s="3">
        <v>40306</v>
      </c>
      <c r="N671" s="78">
        <f t="shared" si="191"/>
        <v>2</v>
      </c>
      <c r="O671" s="11">
        <v>0.37275452879836635</v>
      </c>
      <c r="P671" s="94">
        <f t="shared" si="199"/>
        <v>8</v>
      </c>
      <c r="Q671" s="94">
        <f t="shared" si="200"/>
        <v>56</v>
      </c>
      <c r="R671" s="94">
        <f t="shared" si="201"/>
        <v>46</v>
      </c>
      <c r="S671" s="94" t="str">
        <f>VLOOKUP(O671,'Lookup Values'!$I$2:$L$8,4,TRUE)</f>
        <v>Morning</v>
      </c>
      <c r="T671" t="s">
        <v>80</v>
      </c>
      <c r="U671" t="s">
        <v>93</v>
      </c>
      <c r="V671" t="str">
        <f t="shared" si="202"/>
        <v>Food: Groceries</v>
      </c>
      <c r="W671" t="s">
        <v>92</v>
      </c>
      <c r="X671" t="s">
        <v>88</v>
      </c>
      <c r="Y671" s="1">
        <v>199</v>
      </c>
      <c r="Z671" s="1" t="str">
        <f t="shared" si="203"/>
        <v>Food: $199.00</v>
      </c>
      <c r="AA671" s="1">
        <f>IF(Y671="","",ROUND(Y671*'Lookup Values'!$A$2,2))</f>
        <v>17.66</v>
      </c>
      <c r="AB671" s="12" t="str">
        <f t="shared" si="204"/>
        <v>Expense</v>
      </c>
      <c r="AC671" s="2" t="s">
        <v>609</v>
      </c>
      <c r="AD671" s="3">
        <f t="shared" si="205"/>
        <v>40304</v>
      </c>
      <c r="AE671" s="93" t="str">
        <f t="shared" si="206"/>
        <v>NO</v>
      </c>
      <c r="AF671" s="2" t="str">
        <f t="shared" si="207"/>
        <v>NO</v>
      </c>
      <c r="AG671" t="str">
        <f t="shared" si="208"/>
        <v>Late Transaction</v>
      </c>
    </row>
    <row r="672" spans="1:33" x14ac:dyDescent="0.25">
      <c r="A672" s="2">
        <v>671</v>
      </c>
      <c r="B672" s="3" t="str">
        <f t="shared" si="190"/>
        <v>111122-IN-EZE</v>
      </c>
      <c r="C672" s="3">
        <v>40869</v>
      </c>
      <c r="D672" s="3">
        <f t="shared" si="192"/>
        <v>40883</v>
      </c>
      <c r="E672" s="3">
        <f t="shared" si="193"/>
        <v>40930</v>
      </c>
      <c r="F672" s="3">
        <f t="shared" si="194"/>
        <v>40877</v>
      </c>
      <c r="G672" s="76">
        <f t="shared" si="195"/>
        <v>2011</v>
      </c>
      <c r="H672" s="76">
        <f t="shared" si="196"/>
        <v>11</v>
      </c>
      <c r="I672" s="76" t="str">
        <f>VLOOKUP(H672,'Lookup Values'!$C$2:$D$13,2,FALSE)</f>
        <v>NOV</v>
      </c>
      <c r="J672" s="76">
        <f t="shared" si="197"/>
        <v>22</v>
      </c>
      <c r="K672" s="76">
        <f t="shared" si="198"/>
        <v>3</v>
      </c>
      <c r="L672" s="76" t="str">
        <f>VLOOKUP(K672,'Lookup Values'!$F$2:$G$8,2,FALSE)</f>
        <v>Tuesday</v>
      </c>
      <c r="M672" s="3">
        <v>40877</v>
      </c>
      <c r="N672" s="78">
        <f t="shared" si="191"/>
        <v>8</v>
      </c>
      <c r="O672" s="11">
        <v>0.39516608948997534</v>
      </c>
      <c r="P672" s="94">
        <f t="shared" si="199"/>
        <v>9</v>
      </c>
      <c r="Q672" s="94">
        <f t="shared" si="200"/>
        <v>29</v>
      </c>
      <c r="R672" s="94">
        <f t="shared" si="201"/>
        <v>2</v>
      </c>
      <c r="S672" s="94" t="str">
        <f>VLOOKUP(O672,'Lookup Values'!$I$2:$L$8,4,TRUE)</f>
        <v>Morning</v>
      </c>
      <c r="T672" t="s">
        <v>158</v>
      </c>
      <c r="U672" t="s">
        <v>159</v>
      </c>
      <c r="V672" t="str">
        <f t="shared" si="202"/>
        <v>Income: Salary</v>
      </c>
      <c r="W672" t="s">
        <v>162</v>
      </c>
      <c r="X672" t="s">
        <v>88</v>
      </c>
      <c r="Y672" s="1">
        <v>336</v>
      </c>
      <c r="Z672" s="1" t="str">
        <f t="shared" si="203"/>
        <v>Income: $336.00</v>
      </c>
      <c r="AA672" s="1">
        <f>IF(Y672="","",ROUND(Y672*'Lookup Values'!$A$2,2))</f>
        <v>29.82</v>
      </c>
      <c r="AB672" s="12" t="str">
        <f t="shared" si="204"/>
        <v>Income</v>
      </c>
      <c r="AC672" s="2" t="s">
        <v>735</v>
      </c>
      <c r="AD672" s="3">
        <f t="shared" si="205"/>
        <v>40869</v>
      </c>
      <c r="AE672" s="93" t="str">
        <f t="shared" si="206"/>
        <v>NO</v>
      </c>
      <c r="AF672" s="2" t="str">
        <f t="shared" si="207"/>
        <v>NO</v>
      </c>
      <c r="AG672" t="str">
        <f t="shared" si="208"/>
        <v>CRAP Transaction</v>
      </c>
    </row>
    <row r="673" spans="1:33" x14ac:dyDescent="0.25">
      <c r="A673" s="2">
        <v>672</v>
      </c>
      <c r="B673" s="3" t="str">
        <f t="shared" si="190"/>
        <v>091018-HO-BED</v>
      </c>
      <c r="C673" s="3">
        <v>40104</v>
      </c>
      <c r="D673" s="3">
        <f t="shared" si="192"/>
        <v>40116</v>
      </c>
      <c r="E673" s="3">
        <f t="shared" si="193"/>
        <v>40165</v>
      </c>
      <c r="F673" s="3">
        <f t="shared" si="194"/>
        <v>40117</v>
      </c>
      <c r="G673" s="76">
        <f t="shared" si="195"/>
        <v>2009</v>
      </c>
      <c r="H673" s="76">
        <f t="shared" si="196"/>
        <v>10</v>
      </c>
      <c r="I673" s="76" t="str">
        <f>VLOOKUP(H673,'Lookup Values'!$C$2:$D$13,2,FALSE)</f>
        <v>OCT</v>
      </c>
      <c r="J673" s="76">
        <f t="shared" si="197"/>
        <v>18</v>
      </c>
      <c r="K673" s="76">
        <f t="shared" si="198"/>
        <v>1</v>
      </c>
      <c r="L673" s="76" t="str">
        <f>VLOOKUP(K673,'Lookup Values'!$F$2:$G$8,2,FALSE)</f>
        <v>Sunday</v>
      </c>
      <c r="M673" s="3">
        <v>40106</v>
      </c>
      <c r="N673" s="78">
        <f t="shared" si="191"/>
        <v>2</v>
      </c>
      <c r="O673" s="11">
        <v>0.43407504407630171</v>
      </c>
      <c r="P673" s="94">
        <f t="shared" si="199"/>
        <v>10</v>
      </c>
      <c r="Q673" s="94">
        <f t="shared" si="200"/>
        <v>25</v>
      </c>
      <c r="R673" s="94">
        <f t="shared" si="201"/>
        <v>4</v>
      </c>
      <c r="S673" s="94" t="str">
        <f>VLOOKUP(O673,'Lookup Values'!$I$2:$L$8,4,TRUE)</f>
        <v>Late Morning</v>
      </c>
      <c r="T673" t="s">
        <v>100</v>
      </c>
      <c r="U673" t="s">
        <v>101</v>
      </c>
      <c r="V673" t="str">
        <f t="shared" si="202"/>
        <v>Home: Cleaning Supplies</v>
      </c>
      <c r="W673" t="s">
        <v>99</v>
      </c>
      <c r="X673" t="s">
        <v>91</v>
      </c>
      <c r="Y673" s="1">
        <v>204</v>
      </c>
      <c r="Z673" s="1" t="str">
        <f t="shared" si="203"/>
        <v>Home: $204.00</v>
      </c>
      <c r="AA673" s="1">
        <f>IF(Y673="","",ROUND(Y673*'Lookup Values'!$A$2,2))</f>
        <v>18.11</v>
      </c>
      <c r="AB673" s="12" t="str">
        <f t="shared" si="204"/>
        <v>Expense</v>
      </c>
      <c r="AC673" s="2" t="s">
        <v>736</v>
      </c>
      <c r="AD673" s="3">
        <f t="shared" si="205"/>
        <v>40104</v>
      </c>
      <c r="AE673" s="93" t="str">
        <f t="shared" si="206"/>
        <v>NO</v>
      </c>
      <c r="AF673" s="2" t="str">
        <f t="shared" si="207"/>
        <v>NO</v>
      </c>
      <c r="AG673" t="str">
        <f t="shared" si="208"/>
        <v>Late Transaction</v>
      </c>
    </row>
    <row r="674" spans="1:33" x14ac:dyDescent="0.25">
      <c r="A674" s="2">
        <v>673</v>
      </c>
      <c r="B674" s="3" t="str">
        <f t="shared" si="190"/>
        <v>080331-FO-CIT</v>
      </c>
      <c r="C674" s="3">
        <v>39538</v>
      </c>
      <c r="D674" s="3">
        <f t="shared" si="192"/>
        <v>39552</v>
      </c>
      <c r="E674" s="3">
        <f t="shared" si="193"/>
        <v>39599</v>
      </c>
      <c r="F674" s="3">
        <f t="shared" si="194"/>
        <v>39538</v>
      </c>
      <c r="G674" s="76">
        <f t="shared" si="195"/>
        <v>2008</v>
      </c>
      <c r="H674" s="76">
        <f t="shared" si="196"/>
        <v>3</v>
      </c>
      <c r="I674" s="76" t="str">
        <f>VLOOKUP(H674,'Lookup Values'!$C$2:$D$13,2,FALSE)</f>
        <v>MAR</v>
      </c>
      <c r="J674" s="76">
        <f t="shared" si="197"/>
        <v>31</v>
      </c>
      <c r="K674" s="76">
        <f t="shared" si="198"/>
        <v>2</v>
      </c>
      <c r="L674" s="76" t="str">
        <f>VLOOKUP(K674,'Lookup Values'!$F$2:$G$8,2,FALSE)</f>
        <v>Monday</v>
      </c>
      <c r="M674" s="3">
        <v>39539</v>
      </c>
      <c r="N674" s="78">
        <f t="shared" si="191"/>
        <v>1</v>
      </c>
      <c r="O674" s="11">
        <v>0.61263579026428494</v>
      </c>
      <c r="P674" s="94">
        <f t="shared" si="199"/>
        <v>14</v>
      </c>
      <c r="Q674" s="94">
        <f t="shared" si="200"/>
        <v>42</v>
      </c>
      <c r="R674" s="94">
        <f t="shared" si="201"/>
        <v>12</v>
      </c>
      <c r="S674" s="94" t="str">
        <f>VLOOKUP(O674,'Lookup Values'!$I$2:$L$8,4,TRUE)</f>
        <v>Afternoon</v>
      </c>
      <c r="T674" t="s">
        <v>80</v>
      </c>
      <c r="U674" t="s">
        <v>105</v>
      </c>
      <c r="V674" t="str">
        <f t="shared" si="202"/>
        <v>Food: Coffee</v>
      </c>
      <c r="W674" t="s">
        <v>104</v>
      </c>
      <c r="X674" t="s">
        <v>88</v>
      </c>
      <c r="Y674" s="1">
        <v>88</v>
      </c>
      <c r="Z674" s="1" t="str">
        <f t="shared" si="203"/>
        <v>Food: $88.00</v>
      </c>
      <c r="AA674" s="1">
        <f>IF(Y674="","",ROUND(Y674*'Lookup Values'!$A$2,2))</f>
        <v>7.81</v>
      </c>
      <c r="AB674" s="12" t="str">
        <f t="shared" si="204"/>
        <v>Expense</v>
      </c>
      <c r="AC674" s="2" t="s">
        <v>737</v>
      </c>
      <c r="AD674" s="3">
        <f t="shared" si="205"/>
        <v>39538</v>
      </c>
      <c r="AE674" s="93" t="str">
        <f t="shared" si="206"/>
        <v>NO</v>
      </c>
      <c r="AF674" s="2" t="str">
        <f t="shared" si="207"/>
        <v>NO</v>
      </c>
      <c r="AG674" t="str">
        <f t="shared" si="208"/>
        <v>Awesome Transaction</v>
      </c>
    </row>
    <row r="675" spans="1:33" x14ac:dyDescent="0.25">
      <c r="A675" s="2">
        <v>674</v>
      </c>
      <c r="B675" s="3" t="str">
        <f t="shared" si="190"/>
        <v>080608-BI-CON</v>
      </c>
      <c r="C675" s="3">
        <v>39607</v>
      </c>
      <c r="D675" s="3">
        <f t="shared" si="192"/>
        <v>39619</v>
      </c>
      <c r="E675" s="3">
        <f t="shared" si="193"/>
        <v>39668</v>
      </c>
      <c r="F675" s="3">
        <f t="shared" si="194"/>
        <v>39629</v>
      </c>
      <c r="G675" s="76">
        <f t="shared" si="195"/>
        <v>2008</v>
      </c>
      <c r="H675" s="76">
        <f t="shared" si="196"/>
        <v>6</v>
      </c>
      <c r="I675" s="76" t="str">
        <f>VLOOKUP(H675,'Lookup Values'!$C$2:$D$13,2,FALSE)</f>
        <v>JUN</v>
      </c>
      <c r="J675" s="76">
        <f t="shared" si="197"/>
        <v>8</v>
      </c>
      <c r="K675" s="76">
        <f t="shared" si="198"/>
        <v>1</v>
      </c>
      <c r="L675" s="76" t="str">
        <f>VLOOKUP(K675,'Lookup Values'!$F$2:$G$8,2,FALSE)</f>
        <v>Sunday</v>
      </c>
      <c r="M675" s="3">
        <v>39617</v>
      </c>
      <c r="N675" s="78">
        <f t="shared" si="191"/>
        <v>10</v>
      </c>
      <c r="O675" s="11">
        <v>0.76171436101360768</v>
      </c>
      <c r="P675" s="94">
        <f t="shared" si="199"/>
        <v>18</v>
      </c>
      <c r="Q675" s="94">
        <f t="shared" si="200"/>
        <v>16</v>
      </c>
      <c r="R675" s="94">
        <f t="shared" si="201"/>
        <v>52</v>
      </c>
      <c r="S675" s="94" t="str">
        <f>VLOOKUP(O675,'Lookup Values'!$I$2:$L$8,4,TRUE)</f>
        <v>Evening</v>
      </c>
      <c r="T675" t="s">
        <v>110</v>
      </c>
      <c r="U675" t="s">
        <v>111</v>
      </c>
      <c r="V675" t="str">
        <f t="shared" si="202"/>
        <v>Bills: Utilities</v>
      </c>
      <c r="W675" t="s">
        <v>109</v>
      </c>
      <c r="X675" t="s">
        <v>91</v>
      </c>
      <c r="Y675" s="1">
        <v>340</v>
      </c>
      <c r="Z675" s="1" t="str">
        <f t="shared" si="203"/>
        <v>Bills: $340.00</v>
      </c>
      <c r="AA675" s="1">
        <f>IF(Y675="","",ROUND(Y675*'Lookup Values'!$A$2,2))</f>
        <v>30.18</v>
      </c>
      <c r="AB675" s="12" t="str">
        <f t="shared" si="204"/>
        <v>Expense</v>
      </c>
      <c r="AC675" s="2" t="s">
        <v>738</v>
      </c>
      <c r="AD675" s="3">
        <f t="shared" si="205"/>
        <v>39607</v>
      </c>
      <c r="AE675" s="93" t="str">
        <f t="shared" si="206"/>
        <v>NO</v>
      </c>
      <c r="AF675" s="2" t="str">
        <f t="shared" si="207"/>
        <v>NO</v>
      </c>
      <c r="AG675" t="str">
        <f t="shared" si="208"/>
        <v>Late Transaction</v>
      </c>
    </row>
    <row r="676" spans="1:33" x14ac:dyDescent="0.25">
      <c r="A676" s="2">
        <v>675</v>
      </c>
      <c r="B676" s="3" t="str">
        <f t="shared" si="190"/>
        <v>121007-SH-EXP</v>
      </c>
      <c r="C676" s="3">
        <v>41189</v>
      </c>
      <c r="D676" s="3">
        <f t="shared" si="192"/>
        <v>41201</v>
      </c>
      <c r="E676" s="3">
        <f t="shared" si="193"/>
        <v>41250</v>
      </c>
      <c r="F676" s="3">
        <f t="shared" si="194"/>
        <v>41213</v>
      </c>
      <c r="G676" s="76">
        <f t="shared" si="195"/>
        <v>2012</v>
      </c>
      <c r="H676" s="76">
        <f t="shared" si="196"/>
        <v>10</v>
      </c>
      <c r="I676" s="76" t="str">
        <f>VLOOKUP(H676,'Lookup Values'!$C$2:$D$13,2,FALSE)</f>
        <v>OCT</v>
      </c>
      <c r="J676" s="76">
        <f t="shared" si="197"/>
        <v>7</v>
      </c>
      <c r="K676" s="76">
        <f t="shared" si="198"/>
        <v>1</v>
      </c>
      <c r="L676" s="76" t="str">
        <f>VLOOKUP(K676,'Lookup Values'!$F$2:$G$8,2,FALSE)</f>
        <v>Sunday</v>
      </c>
      <c r="M676" s="3">
        <v>41194</v>
      </c>
      <c r="N676" s="78">
        <f t="shared" si="191"/>
        <v>5</v>
      </c>
      <c r="O676" s="11">
        <v>0.53478043696116473</v>
      </c>
      <c r="P676" s="94">
        <f t="shared" si="199"/>
        <v>12</v>
      </c>
      <c r="Q676" s="94">
        <f t="shared" si="200"/>
        <v>50</v>
      </c>
      <c r="R676" s="94">
        <f t="shared" si="201"/>
        <v>5</v>
      </c>
      <c r="S676" s="94" t="str">
        <f>VLOOKUP(O676,'Lookup Values'!$I$2:$L$8,4,TRUE)</f>
        <v>Afternoon</v>
      </c>
      <c r="T676" t="s">
        <v>83</v>
      </c>
      <c r="U676" t="s">
        <v>103</v>
      </c>
      <c r="V676" t="str">
        <f t="shared" si="202"/>
        <v>Shopping: Clothing</v>
      </c>
      <c r="W676" t="s">
        <v>102</v>
      </c>
      <c r="X676" t="s">
        <v>88</v>
      </c>
      <c r="Y676" s="1">
        <v>224</v>
      </c>
      <c r="Z676" s="1" t="str">
        <f t="shared" si="203"/>
        <v>Shopping: $224.00</v>
      </c>
      <c r="AA676" s="1">
        <f>IF(Y676="","",ROUND(Y676*'Lookup Values'!$A$2,2))</f>
        <v>19.88</v>
      </c>
      <c r="AB676" s="12" t="str">
        <f t="shared" si="204"/>
        <v>Expense</v>
      </c>
      <c r="AC676" s="2" t="s">
        <v>739</v>
      </c>
      <c r="AD676" s="3">
        <f t="shared" si="205"/>
        <v>41189</v>
      </c>
      <c r="AE676" s="93" t="str">
        <f t="shared" si="206"/>
        <v>NO</v>
      </c>
      <c r="AF676" s="2" t="str">
        <f t="shared" si="207"/>
        <v>NO</v>
      </c>
      <c r="AG676" t="str">
        <f t="shared" si="208"/>
        <v>CRAP Transaction</v>
      </c>
    </row>
    <row r="677" spans="1:33" x14ac:dyDescent="0.25">
      <c r="A677" s="2">
        <v>676</v>
      </c>
      <c r="B677" s="3" t="str">
        <f t="shared" si="190"/>
        <v>120403-EN-MOE</v>
      </c>
      <c r="C677" s="3">
        <v>41002</v>
      </c>
      <c r="D677" s="3">
        <f t="shared" si="192"/>
        <v>41016</v>
      </c>
      <c r="E677" s="3">
        <f t="shared" si="193"/>
        <v>41063</v>
      </c>
      <c r="F677" s="3">
        <f t="shared" si="194"/>
        <v>41029</v>
      </c>
      <c r="G677" s="76">
        <f t="shared" si="195"/>
        <v>2012</v>
      </c>
      <c r="H677" s="76">
        <f t="shared" si="196"/>
        <v>4</v>
      </c>
      <c r="I677" s="76" t="str">
        <f>VLOOKUP(H677,'Lookup Values'!$C$2:$D$13,2,FALSE)</f>
        <v>APR</v>
      </c>
      <c r="J677" s="76">
        <f t="shared" si="197"/>
        <v>3</v>
      </c>
      <c r="K677" s="76">
        <f t="shared" si="198"/>
        <v>3</v>
      </c>
      <c r="L677" s="76" t="str">
        <f>VLOOKUP(K677,'Lookup Values'!$F$2:$G$8,2,FALSE)</f>
        <v>Tuesday</v>
      </c>
      <c r="M677" s="3">
        <v>41006</v>
      </c>
      <c r="N677" s="78">
        <f t="shared" si="191"/>
        <v>4</v>
      </c>
      <c r="O677" s="11">
        <v>6.7397014039197622E-2</v>
      </c>
      <c r="P677" s="94">
        <f t="shared" si="199"/>
        <v>1</v>
      </c>
      <c r="Q677" s="94">
        <f t="shared" si="200"/>
        <v>37</v>
      </c>
      <c r="R677" s="94">
        <f t="shared" si="201"/>
        <v>3</v>
      </c>
      <c r="S677" s="94" t="str">
        <f>VLOOKUP(O677,'Lookup Values'!$I$2:$L$8,4,TRUE)</f>
        <v>Dead of Night</v>
      </c>
      <c r="T677" t="s">
        <v>76</v>
      </c>
      <c r="U677" t="s">
        <v>77</v>
      </c>
      <c r="V677" t="str">
        <f t="shared" si="202"/>
        <v>Entertainment: Alcohol</v>
      </c>
      <c r="W677" t="s">
        <v>75</v>
      </c>
      <c r="X677" t="s">
        <v>78</v>
      </c>
      <c r="Y677" s="1">
        <v>187</v>
      </c>
      <c r="Z677" s="1" t="str">
        <f t="shared" si="203"/>
        <v>Entertainment: $187.00</v>
      </c>
      <c r="AA677" s="1">
        <f>IF(Y677="","",ROUND(Y677*'Lookup Values'!$A$2,2))</f>
        <v>16.600000000000001</v>
      </c>
      <c r="AB677" s="12" t="str">
        <f t="shared" si="204"/>
        <v>Expense</v>
      </c>
      <c r="AC677" s="2" t="s">
        <v>355</v>
      </c>
      <c r="AD677" s="3">
        <f t="shared" si="205"/>
        <v>41002</v>
      </c>
      <c r="AE677" s="93" t="str">
        <f t="shared" si="206"/>
        <v>NO</v>
      </c>
      <c r="AF677" s="2" t="str">
        <f t="shared" si="207"/>
        <v>NO</v>
      </c>
      <c r="AG677" t="str">
        <f t="shared" si="208"/>
        <v>CRAP Transaction</v>
      </c>
    </row>
    <row r="678" spans="1:33" x14ac:dyDescent="0.25">
      <c r="A678" s="2">
        <v>677</v>
      </c>
      <c r="B678" s="3" t="str">
        <f t="shared" si="190"/>
        <v>090615-ED-SKI</v>
      </c>
      <c r="C678" s="3">
        <v>39979</v>
      </c>
      <c r="D678" s="3">
        <f t="shared" si="192"/>
        <v>39993</v>
      </c>
      <c r="E678" s="3">
        <f t="shared" si="193"/>
        <v>40040</v>
      </c>
      <c r="F678" s="3">
        <f t="shared" si="194"/>
        <v>39994</v>
      </c>
      <c r="G678" s="76">
        <f t="shared" si="195"/>
        <v>2009</v>
      </c>
      <c r="H678" s="76">
        <f t="shared" si="196"/>
        <v>6</v>
      </c>
      <c r="I678" s="76" t="str">
        <f>VLOOKUP(H678,'Lookup Values'!$C$2:$D$13,2,FALSE)</f>
        <v>JUN</v>
      </c>
      <c r="J678" s="76">
        <f t="shared" si="197"/>
        <v>15</v>
      </c>
      <c r="K678" s="76">
        <f t="shared" si="198"/>
        <v>2</v>
      </c>
      <c r="L678" s="76" t="str">
        <f>VLOOKUP(K678,'Lookup Values'!$F$2:$G$8,2,FALSE)</f>
        <v>Monday</v>
      </c>
      <c r="M678" s="3">
        <v>39985</v>
      </c>
      <c r="N678" s="78">
        <f t="shared" si="191"/>
        <v>6</v>
      </c>
      <c r="O678" s="11">
        <v>0.66206426015284314</v>
      </c>
      <c r="P678" s="94">
        <f t="shared" si="199"/>
        <v>15</v>
      </c>
      <c r="Q678" s="94">
        <f t="shared" si="200"/>
        <v>53</v>
      </c>
      <c r="R678" s="94">
        <f t="shared" si="201"/>
        <v>22</v>
      </c>
      <c r="S678" s="94" t="str">
        <f>VLOOKUP(O678,'Lookup Values'!$I$2:$L$8,4,TRUE)</f>
        <v>Afternoon</v>
      </c>
      <c r="T678" t="s">
        <v>86</v>
      </c>
      <c r="U678" t="s">
        <v>98</v>
      </c>
      <c r="V678" t="str">
        <f t="shared" si="202"/>
        <v>Education: Professional Development</v>
      </c>
      <c r="W678" t="s">
        <v>97</v>
      </c>
      <c r="X678" t="s">
        <v>91</v>
      </c>
      <c r="Y678" s="1">
        <v>214</v>
      </c>
      <c r="Z678" s="1" t="str">
        <f t="shared" si="203"/>
        <v>Education: $214.00</v>
      </c>
      <c r="AA678" s="1">
        <f>IF(Y678="","",ROUND(Y678*'Lookup Values'!$A$2,2))</f>
        <v>18.989999999999998</v>
      </c>
      <c r="AB678" s="12" t="str">
        <f t="shared" si="204"/>
        <v>Expense</v>
      </c>
      <c r="AC678" s="2" t="s">
        <v>740</v>
      </c>
      <c r="AD678" s="3">
        <f t="shared" si="205"/>
        <v>39979</v>
      </c>
      <c r="AE678" s="93" t="str">
        <f t="shared" si="206"/>
        <v>YES</v>
      </c>
      <c r="AF678" s="2" t="str">
        <f t="shared" si="207"/>
        <v>NO</v>
      </c>
      <c r="AG678" t="str">
        <f t="shared" si="208"/>
        <v>Late Transaction</v>
      </c>
    </row>
    <row r="679" spans="1:33" x14ac:dyDescent="0.25">
      <c r="A679" s="2">
        <v>678</v>
      </c>
      <c r="B679" s="3" t="str">
        <f t="shared" si="190"/>
        <v>070210-SH-EXP</v>
      </c>
      <c r="C679" s="3">
        <v>39123</v>
      </c>
      <c r="D679" s="3">
        <f t="shared" si="192"/>
        <v>39136</v>
      </c>
      <c r="E679" s="3">
        <f t="shared" si="193"/>
        <v>39182</v>
      </c>
      <c r="F679" s="3">
        <f t="shared" si="194"/>
        <v>39141</v>
      </c>
      <c r="G679" s="76">
        <f t="shared" si="195"/>
        <v>2007</v>
      </c>
      <c r="H679" s="76">
        <f t="shared" si="196"/>
        <v>2</v>
      </c>
      <c r="I679" s="76" t="str">
        <f>VLOOKUP(H679,'Lookup Values'!$C$2:$D$13,2,FALSE)</f>
        <v>FEB</v>
      </c>
      <c r="J679" s="76">
        <f t="shared" si="197"/>
        <v>10</v>
      </c>
      <c r="K679" s="76">
        <f t="shared" si="198"/>
        <v>7</v>
      </c>
      <c r="L679" s="76" t="str">
        <f>VLOOKUP(K679,'Lookup Values'!$F$2:$G$8,2,FALSE)</f>
        <v>Saturday</v>
      </c>
      <c r="M679" s="3">
        <v>39126</v>
      </c>
      <c r="N679" s="78">
        <f t="shared" si="191"/>
        <v>3</v>
      </c>
      <c r="O679" s="11">
        <v>0.52768703638679659</v>
      </c>
      <c r="P679" s="94">
        <f t="shared" si="199"/>
        <v>12</v>
      </c>
      <c r="Q679" s="94">
        <f t="shared" si="200"/>
        <v>39</v>
      </c>
      <c r="R679" s="94">
        <f t="shared" si="201"/>
        <v>52</v>
      </c>
      <c r="S679" s="94" t="str">
        <f>VLOOKUP(O679,'Lookup Values'!$I$2:$L$8,4,TRUE)</f>
        <v>Afternoon</v>
      </c>
      <c r="T679" t="s">
        <v>83</v>
      </c>
      <c r="U679" t="s">
        <v>103</v>
      </c>
      <c r="V679" t="str">
        <f t="shared" si="202"/>
        <v>Shopping: Clothing</v>
      </c>
      <c r="W679" t="s">
        <v>102</v>
      </c>
      <c r="X679" t="s">
        <v>78</v>
      </c>
      <c r="Y679" s="1">
        <v>112</v>
      </c>
      <c r="Z679" s="1" t="str">
        <f t="shared" si="203"/>
        <v>Shopping: $112.00</v>
      </c>
      <c r="AA679" s="1">
        <f>IF(Y679="","",ROUND(Y679*'Lookup Values'!$A$2,2))</f>
        <v>9.94</v>
      </c>
      <c r="AB679" s="12" t="str">
        <f t="shared" si="204"/>
        <v>Expense</v>
      </c>
      <c r="AC679" s="2" t="s">
        <v>741</v>
      </c>
      <c r="AD679" s="3">
        <f t="shared" si="205"/>
        <v>39123</v>
      </c>
      <c r="AE679" s="93" t="str">
        <f t="shared" si="206"/>
        <v>NO</v>
      </c>
      <c r="AF679" s="2" t="str">
        <f t="shared" si="207"/>
        <v>NO</v>
      </c>
      <c r="AG679" t="str">
        <f t="shared" si="208"/>
        <v>Awesome Transaction</v>
      </c>
    </row>
    <row r="680" spans="1:33" x14ac:dyDescent="0.25">
      <c r="A680" s="2">
        <v>679</v>
      </c>
      <c r="B680" s="3" t="str">
        <f t="shared" si="190"/>
        <v>091119-IN-LEG</v>
      </c>
      <c r="C680" s="3">
        <v>40136</v>
      </c>
      <c r="D680" s="3">
        <f t="shared" si="192"/>
        <v>40150</v>
      </c>
      <c r="E680" s="3">
        <f t="shared" si="193"/>
        <v>40197</v>
      </c>
      <c r="F680" s="3">
        <f t="shared" si="194"/>
        <v>40147</v>
      </c>
      <c r="G680" s="76">
        <f t="shared" si="195"/>
        <v>2009</v>
      </c>
      <c r="H680" s="76">
        <f t="shared" si="196"/>
        <v>11</v>
      </c>
      <c r="I680" s="76" t="str">
        <f>VLOOKUP(H680,'Lookup Values'!$C$2:$D$13,2,FALSE)</f>
        <v>NOV</v>
      </c>
      <c r="J680" s="76">
        <f t="shared" si="197"/>
        <v>19</v>
      </c>
      <c r="K680" s="76">
        <f t="shared" si="198"/>
        <v>5</v>
      </c>
      <c r="L680" s="76" t="str">
        <f>VLOOKUP(K680,'Lookup Values'!$F$2:$G$8,2,FALSE)</f>
        <v>Thursday</v>
      </c>
      <c r="M680" s="3">
        <v>40137</v>
      </c>
      <c r="N680" s="78">
        <f t="shared" si="191"/>
        <v>1</v>
      </c>
      <c r="O680" s="11">
        <v>0.86416263494048595</v>
      </c>
      <c r="P680" s="94">
        <f t="shared" si="199"/>
        <v>20</v>
      </c>
      <c r="Q680" s="94">
        <f t="shared" si="200"/>
        <v>44</v>
      </c>
      <c r="R680" s="94">
        <f t="shared" si="201"/>
        <v>24</v>
      </c>
      <c r="S680" s="94" t="str">
        <f>VLOOKUP(O680,'Lookup Values'!$I$2:$L$8,4,TRUE)</f>
        <v>Evening</v>
      </c>
      <c r="T680" t="s">
        <v>158</v>
      </c>
      <c r="U680" t="s">
        <v>160</v>
      </c>
      <c r="V680" t="str">
        <f t="shared" si="202"/>
        <v>Income: Freelance Project</v>
      </c>
      <c r="W680" t="s">
        <v>163</v>
      </c>
      <c r="X680" t="s">
        <v>78</v>
      </c>
      <c r="Y680" s="1">
        <v>135</v>
      </c>
      <c r="Z680" s="1" t="str">
        <f t="shared" si="203"/>
        <v>Income: $135.00</v>
      </c>
      <c r="AA680" s="1">
        <f>IF(Y680="","",ROUND(Y680*'Lookup Values'!$A$2,2))</f>
        <v>11.98</v>
      </c>
      <c r="AB680" s="12" t="str">
        <f t="shared" si="204"/>
        <v>Income</v>
      </c>
      <c r="AC680" s="2" t="s">
        <v>318</v>
      </c>
      <c r="AD680" s="3">
        <f t="shared" si="205"/>
        <v>40136</v>
      </c>
      <c r="AE680" s="93" t="str">
        <f t="shared" si="206"/>
        <v>NO</v>
      </c>
      <c r="AF680" s="2" t="str">
        <f t="shared" si="207"/>
        <v>NO</v>
      </c>
      <c r="AG680" t="str">
        <f t="shared" si="208"/>
        <v>Late Transaction</v>
      </c>
    </row>
    <row r="681" spans="1:33" x14ac:dyDescent="0.25">
      <c r="A681" s="2">
        <v>680</v>
      </c>
      <c r="B681" s="3" t="str">
        <f t="shared" si="190"/>
        <v>120309-SH-AMA</v>
      </c>
      <c r="C681" s="3">
        <v>40977</v>
      </c>
      <c r="D681" s="3">
        <f t="shared" si="192"/>
        <v>40991</v>
      </c>
      <c r="E681" s="3">
        <f t="shared" si="193"/>
        <v>41038</v>
      </c>
      <c r="F681" s="3">
        <f t="shared" si="194"/>
        <v>40999</v>
      </c>
      <c r="G681" s="76">
        <f t="shared" si="195"/>
        <v>2012</v>
      </c>
      <c r="H681" s="76">
        <f t="shared" si="196"/>
        <v>3</v>
      </c>
      <c r="I681" s="76" t="str">
        <f>VLOOKUP(H681,'Lookup Values'!$C$2:$D$13,2,FALSE)</f>
        <v>MAR</v>
      </c>
      <c r="J681" s="76">
        <f t="shared" si="197"/>
        <v>9</v>
      </c>
      <c r="K681" s="76">
        <f t="shared" si="198"/>
        <v>6</v>
      </c>
      <c r="L681" s="76" t="str">
        <f>VLOOKUP(K681,'Lookup Values'!$F$2:$G$8,2,FALSE)</f>
        <v>Friday</v>
      </c>
      <c r="M681" s="3">
        <v>40978</v>
      </c>
      <c r="N681" s="78">
        <f t="shared" si="191"/>
        <v>1</v>
      </c>
      <c r="O681" s="11">
        <v>0.42098173687466123</v>
      </c>
      <c r="P681" s="94">
        <f t="shared" si="199"/>
        <v>10</v>
      </c>
      <c r="Q681" s="94">
        <f t="shared" si="200"/>
        <v>6</v>
      </c>
      <c r="R681" s="94">
        <f t="shared" si="201"/>
        <v>13</v>
      </c>
      <c r="S681" s="94" t="str">
        <f>VLOOKUP(O681,'Lookup Values'!$I$2:$L$8,4,TRUE)</f>
        <v>Late Morning</v>
      </c>
      <c r="T681" t="s">
        <v>83</v>
      </c>
      <c r="U681" t="s">
        <v>84</v>
      </c>
      <c r="V681" t="str">
        <f t="shared" si="202"/>
        <v>Shopping: Electronics</v>
      </c>
      <c r="W681" t="s">
        <v>82</v>
      </c>
      <c r="X681" t="s">
        <v>91</v>
      </c>
      <c r="Y681" s="1">
        <v>119</v>
      </c>
      <c r="Z681" s="1" t="str">
        <f t="shared" si="203"/>
        <v>Shopping: $119.00</v>
      </c>
      <c r="AA681" s="1">
        <f>IF(Y681="","",ROUND(Y681*'Lookup Values'!$A$2,2))</f>
        <v>10.56</v>
      </c>
      <c r="AB681" s="12" t="str">
        <f t="shared" si="204"/>
        <v>Expense</v>
      </c>
      <c r="AC681" s="2" t="s">
        <v>415</v>
      </c>
      <c r="AD681" s="3">
        <f t="shared" si="205"/>
        <v>40977</v>
      </c>
      <c r="AE681" s="93" t="str">
        <f t="shared" si="206"/>
        <v>YES</v>
      </c>
      <c r="AF681" s="2" t="str">
        <f t="shared" si="207"/>
        <v>NO</v>
      </c>
      <c r="AG681" t="str">
        <f t="shared" si="208"/>
        <v>CRAP Transaction</v>
      </c>
    </row>
    <row r="682" spans="1:33" x14ac:dyDescent="0.25">
      <c r="A682" s="2">
        <v>681</v>
      </c>
      <c r="B682" s="3" t="str">
        <f t="shared" si="190"/>
        <v>120822-TR-MTA</v>
      </c>
      <c r="C682" s="3">
        <v>41143</v>
      </c>
      <c r="D682" s="3">
        <f t="shared" si="192"/>
        <v>41157</v>
      </c>
      <c r="E682" s="3">
        <f t="shared" si="193"/>
        <v>41204</v>
      </c>
      <c r="F682" s="3">
        <f t="shared" si="194"/>
        <v>41152</v>
      </c>
      <c r="G682" s="76">
        <f t="shared" si="195"/>
        <v>2012</v>
      </c>
      <c r="H682" s="76">
        <f t="shared" si="196"/>
        <v>8</v>
      </c>
      <c r="I682" s="76" t="str">
        <f>VLOOKUP(H682,'Lookup Values'!$C$2:$D$13,2,FALSE)</f>
        <v>AUG</v>
      </c>
      <c r="J682" s="76">
        <f t="shared" si="197"/>
        <v>22</v>
      </c>
      <c r="K682" s="76">
        <f t="shared" si="198"/>
        <v>4</v>
      </c>
      <c r="L682" s="76" t="str">
        <f>VLOOKUP(K682,'Lookup Values'!$F$2:$G$8,2,FALSE)</f>
        <v>Wednesday</v>
      </c>
      <c r="M682" s="3">
        <v>41150</v>
      </c>
      <c r="N682" s="78">
        <f t="shared" si="191"/>
        <v>7</v>
      </c>
      <c r="O682" s="11">
        <v>0.32280023623203891</v>
      </c>
      <c r="P682" s="94">
        <f t="shared" si="199"/>
        <v>7</v>
      </c>
      <c r="Q682" s="94">
        <f t="shared" si="200"/>
        <v>44</v>
      </c>
      <c r="R682" s="94">
        <f t="shared" si="201"/>
        <v>50</v>
      </c>
      <c r="S682" s="94" t="str">
        <f>VLOOKUP(O682,'Lookup Values'!$I$2:$L$8,4,TRUE)</f>
        <v>Morning</v>
      </c>
      <c r="T682" t="s">
        <v>95</v>
      </c>
      <c r="U682" t="s">
        <v>96</v>
      </c>
      <c r="V682" t="str">
        <f t="shared" si="202"/>
        <v>Transportation: Subway</v>
      </c>
      <c r="W682" t="s">
        <v>94</v>
      </c>
      <c r="X682" t="s">
        <v>78</v>
      </c>
      <c r="Y682" s="1">
        <v>95</v>
      </c>
      <c r="Z682" s="1" t="str">
        <f t="shared" si="203"/>
        <v>Transportation: $95.00</v>
      </c>
      <c r="AA682" s="1">
        <f>IF(Y682="","",ROUND(Y682*'Lookup Values'!$A$2,2))</f>
        <v>8.43</v>
      </c>
      <c r="AB682" s="12" t="str">
        <f t="shared" si="204"/>
        <v>Expense</v>
      </c>
      <c r="AC682" s="2" t="s">
        <v>742</v>
      </c>
      <c r="AD682" s="3">
        <f t="shared" si="205"/>
        <v>41143</v>
      </c>
      <c r="AE682" s="93" t="str">
        <f t="shared" si="206"/>
        <v>YES</v>
      </c>
      <c r="AF682" s="2" t="str">
        <f t="shared" si="207"/>
        <v>NO</v>
      </c>
      <c r="AG682" t="str">
        <f t="shared" si="208"/>
        <v>CRAP Transaction</v>
      </c>
    </row>
    <row r="683" spans="1:33" x14ac:dyDescent="0.25">
      <c r="A683" s="2">
        <v>682</v>
      </c>
      <c r="B683" s="3" t="str">
        <f t="shared" si="190"/>
        <v>080923-EN-MOE</v>
      </c>
      <c r="C683" s="3">
        <v>39714</v>
      </c>
      <c r="D683" s="3">
        <f t="shared" si="192"/>
        <v>39728</v>
      </c>
      <c r="E683" s="3">
        <f t="shared" si="193"/>
        <v>39775</v>
      </c>
      <c r="F683" s="3">
        <f t="shared" si="194"/>
        <v>39721</v>
      </c>
      <c r="G683" s="76">
        <f t="shared" si="195"/>
        <v>2008</v>
      </c>
      <c r="H683" s="76">
        <f t="shared" si="196"/>
        <v>9</v>
      </c>
      <c r="I683" s="76" t="str">
        <f>VLOOKUP(H683,'Lookup Values'!$C$2:$D$13,2,FALSE)</f>
        <v>SEP</v>
      </c>
      <c r="J683" s="76">
        <f t="shared" si="197"/>
        <v>23</v>
      </c>
      <c r="K683" s="76">
        <f t="shared" si="198"/>
        <v>3</v>
      </c>
      <c r="L683" s="76" t="str">
        <f>VLOOKUP(K683,'Lookup Values'!$F$2:$G$8,2,FALSE)</f>
        <v>Tuesday</v>
      </c>
      <c r="M683" s="3">
        <v>39716</v>
      </c>
      <c r="N683" s="78">
        <f t="shared" si="191"/>
        <v>2</v>
      </c>
      <c r="O683" s="11">
        <v>0.68459531264549645</v>
      </c>
      <c r="P683" s="94">
        <f t="shared" si="199"/>
        <v>16</v>
      </c>
      <c r="Q683" s="94">
        <f t="shared" si="200"/>
        <v>25</v>
      </c>
      <c r="R683" s="94">
        <f t="shared" si="201"/>
        <v>49</v>
      </c>
      <c r="S683" s="94" t="str">
        <f>VLOOKUP(O683,'Lookup Values'!$I$2:$L$8,4,TRUE)</f>
        <v>Afternoon</v>
      </c>
      <c r="T683" t="s">
        <v>76</v>
      </c>
      <c r="U683" t="s">
        <v>77</v>
      </c>
      <c r="V683" t="str">
        <f t="shared" si="202"/>
        <v>Entertainment: Alcohol</v>
      </c>
      <c r="W683" t="s">
        <v>75</v>
      </c>
      <c r="X683" t="s">
        <v>91</v>
      </c>
      <c r="Y683" s="1">
        <v>283</v>
      </c>
      <c r="Z683" s="1" t="str">
        <f t="shared" si="203"/>
        <v>Entertainment: $283.00</v>
      </c>
      <c r="AA683" s="1">
        <f>IF(Y683="","",ROUND(Y683*'Lookup Values'!$A$2,2))</f>
        <v>25.12</v>
      </c>
      <c r="AB683" s="12" t="str">
        <f t="shared" si="204"/>
        <v>Expense</v>
      </c>
      <c r="AC683" s="2" t="s">
        <v>743</v>
      </c>
      <c r="AD683" s="3">
        <f t="shared" si="205"/>
        <v>39714</v>
      </c>
      <c r="AE683" s="93" t="str">
        <f t="shared" si="206"/>
        <v>NO</v>
      </c>
      <c r="AF683" s="2" t="str">
        <f t="shared" si="207"/>
        <v>NO</v>
      </c>
      <c r="AG683" t="str">
        <f t="shared" si="208"/>
        <v>Awesome Transaction</v>
      </c>
    </row>
    <row r="684" spans="1:33" x14ac:dyDescent="0.25">
      <c r="A684" s="2">
        <v>683</v>
      </c>
      <c r="B684" s="3" t="str">
        <f t="shared" si="190"/>
        <v>100124-SH-EXP</v>
      </c>
      <c r="C684" s="3">
        <v>40202</v>
      </c>
      <c r="D684" s="3">
        <f t="shared" si="192"/>
        <v>40214</v>
      </c>
      <c r="E684" s="3">
        <f t="shared" si="193"/>
        <v>40261</v>
      </c>
      <c r="F684" s="3">
        <f t="shared" si="194"/>
        <v>40209</v>
      </c>
      <c r="G684" s="76">
        <f t="shared" si="195"/>
        <v>2010</v>
      </c>
      <c r="H684" s="76">
        <f t="shared" si="196"/>
        <v>1</v>
      </c>
      <c r="I684" s="76" t="str">
        <f>VLOOKUP(H684,'Lookup Values'!$C$2:$D$13,2,FALSE)</f>
        <v>JAN</v>
      </c>
      <c r="J684" s="76">
        <f t="shared" si="197"/>
        <v>24</v>
      </c>
      <c r="K684" s="76">
        <f t="shared" si="198"/>
        <v>1</v>
      </c>
      <c r="L684" s="76" t="str">
        <f>VLOOKUP(K684,'Lookup Values'!$F$2:$G$8,2,FALSE)</f>
        <v>Sunday</v>
      </c>
      <c r="M684" s="3">
        <v>40207</v>
      </c>
      <c r="N684" s="78">
        <f t="shared" si="191"/>
        <v>5</v>
      </c>
      <c r="O684" s="11">
        <v>0.35246156723163624</v>
      </c>
      <c r="P684" s="94">
        <f t="shared" si="199"/>
        <v>8</v>
      </c>
      <c r="Q684" s="94">
        <f t="shared" si="200"/>
        <v>27</v>
      </c>
      <c r="R684" s="94">
        <f t="shared" si="201"/>
        <v>33</v>
      </c>
      <c r="S684" s="94" t="str">
        <f>VLOOKUP(O684,'Lookup Values'!$I$2:$L$8,4,TRUE)</f>
        <v>Morning</v>
      </c>
      <c r="T684" t="s">
        <v>83</v>
      </c>
      <c r="U684" t="s">
        <v>103</v>
      </c>
      <c r="V684" t="str">
        <f t="shared" si="202"/>
        <v>Shopping: Clothing</v>
      </c>
      <c r="W684" t="s">
        <v>102</v>
      </c>
      <c r="X684" t="s">
        <v>78</v>
      </c>
      <c r="Y684" s="1">
        <v>212</v>
      </c>
      <c r="Z684" s="1" t="str">
        <f t="shared" si="203"/>
        <v>Shopping: $212.00</v>
      </c>
      <c r="AA684" s="1">
        <f>IF(Y684="","",ROUND(Y684*'Lookup Values'!$A$2,2))</f>
        <v>18.82</v>
      </c>
      <c r="AB684" s="12" t="str">
        <f t="shared" si="204"/>
        <v>Expense</v>
      </c>
      <c r="AC684" s="2" t="s">
        <v>744</v>
      </c>
      <c r="AD684" s="3">
        <f t="shared" si="205"/>
        <v>40202</v>
      </c>
      <c r="AE684" s="93" t="str">
        <f t="shared" si="206"/>
        <v>NO</v>
      </c>
      <c r="AF684" s="2" t="str">
        <f t="shared" si="207"/>
        <v>NO</v>
      </c>
      <c r="AG684" t="str">
        <f t="shared" si="208"/>
        <v>Late Transaction</v>
      </c>
    </row>
    <row r="685" spans="1:33" x14ac:dyDescent="0.25">
      <c r="A685" s="2">
        <v>684</v>
      </c>
      <c r="B685" s="3" t="str">
        <f t="shared" si="190"/>
        <v>120226-SH-EXP</v>
      </c>
      <c r="C685" s="3">
        <v>40965</v>
      </c>
      <c r="D685" s="3">
        <f t="shared" si="192"/>
        <v>40977</v>
      </c>
      <c r="E685" s="3">
        <f t="shared" si="193"/>
        <v>41025</v>
      </c>
      <c r="F685" s="3">
        <f t="shared" si="194"/>
        <v>40968</v>
      </c>
      <c r="G685" s="76">
        <f t="shared" si="195"/>
        <v>2012</v>
      </c>
      <c r="H685" s="76">
        <f t="shared" si="196"/>
        <v>2</v>
      </c>
      <c r="I685" s="76" t="str">
        <f>VLOOKUP(H685,'Lookup Values'!$C$2:$D$13,2,FALSE)</f>
        <v>FEB</v>
      </c>
      <c r="J685" s="76">
        <f t="shared" si="197"/>
        <v>26</v>
      </c>
      <c r="K685" s="76">
        <f t="shared" si="198"/>
        <v>1</v>
      </c>
      <c r="L685" s="76" t="str">
        <f>VLOOKUP(K685,'Lookup Values'!$F$2:$G$8,2,FALSE)</f>
        <v>Sunday</v>
      </c>
      <c r="M685" s="3">
        <v>40973</v>
      </c>
      <c r="N685" s="78">
        <f t="shared" si="191"/>
        <v>8</v>
      </c>
      <c r="O685" s="11">
        <v>0.33988764122452919</v>
      </c>
      <c r="P685" s="94">
        <f t="shared" si="199"/>
        <v>8</v>
      </c>
      <c r="Q685" s="94">
        <f t="shared" si="200"/>
        <v>9</v>
      </c>
      <c r="R685" s="94">
        <f t="shared" si="201"/>
        <v>26</v>
      </c>
      <c r="S685" s="94" t="str">
        <f>VLOOKUP(O685,'Lookup Values'!$I$2:$L$8,4,TRUE)</f>
        <v>Morning</v>
      </c>
      <c r="T685" t="s">
        <v>83</v>
      </c>
      <c r="U685" t="s">
        <v>103</v>
      </c>
      <c r="V685" t="str">
        <f t="shared" si="202"/>
        <v>Shopping: Clothing</v>
      </c>
      <c r="W685" t="s">
        <v>102</v>
      </c>
      <c r="X685" t="s">
        <v>88</v>
      </c>
      <c r="Y685" s="1">
        <v>451</v>
      </c>
      <c r="Z685" s="1" t="str">
        <f t="shared" si="203"/>
        <v>Shopping: $451.00</v>
      </c>
      <c r="AA685" s="1">
        <f>IF(Y685="","",ROUND(Y685*'Lookup Values'!$A$2,2))</f>
        <v>40.03</v>
      </c>
      <c r="AB685" s="12" t="str">
        <f t="shared" si="204"/>
        <v>Expense</v>
      </c>
      <c r="AC685" s="2" t="s">
        <v>745</v>
      </c>
      <c r="AD685" s="3">
        <f t="shared" si="205"/>
        <v>40965</v>
      </c>
      <c r="AE685" s="93" t="str">
        <f t="shared" si="206"/>
        <v>NO</v>
      </c>
      <c r="AF685" s="2" t="str">
        <f t="shared" si="207"/>
        <v>NO</v>
      </c>
      <c r="AG685" t="str">
        <f t="shared" si="208"/>
        <v>CRAP Transaction</v>
      </c>
    </row>
    <row r="686" spans="1:33" x14ac:dyDescent="0.25">
      <c r="A686" s="2">
        <v>685</v>
      </c>
      <c r="B686" s="3" t="str">
        <f t="shared" si="190"/>
        <v>080220-EN-MOE</v>
      </c>
      <c r="C686" s="3">
        <v>39498</v>
      </c>
      <c r="D686" s="3">
        <f t="shared" si="192"/>
        <v>39512</v>
      </c>
      <c r="E686" s="3">
        <f t="shared" si="193"/>
        <v>39558</v>
      </c>
      <c r="F686" s="3">
        <f t="shared" si="194"/>
        <v>39507</v>
      </c>
      <c r="G686" s="76">
        <f t="shared" si="195"/>
        <v>2008</v>
      </c>
      <c r="H686" s="76">
        <f t="shared" si="196"/>
        <v>2</v>
      </c>
      <c r="I686" s="76" t="str">
        <f>VLOOKUP(H686,'Lookup Values'!$C$2:$D$13,2,FALSE)</f>
        <v>FEB</v>
      </c>
      <c r="J686" s="76">
        <f t="shared" si="197"/>
        <v>20</v>
      </c>
      <c r="K686" s="76">
        <f t="shared" si="198"/>
        <v>4</v>
      </c>
      <c r="L686" s="76" t="str">
        <f>VLOOKUP(K686,'Lookup Values'!$F$2:$G$8,2,FALSE)</f>
        <v>Wednesday</v>
      </c>
      <c r="M686" s="3">
        <v>39507</v>
      </c>
      <c r="N686" s="78">
        <f t="shared" si="191"/>
        <v>9</v>
      </c>
      <c r="O686" s="11">
        <v>0.50376284845571817</v>
      </c>
      <c r="P686" s="94">
        <f t="shared" si="199"/>
        <v>12</v>
      </c>
      <c r="Q686" s="94">
        <f t="shared" si="200"/>
        <v>5</v>
      </c>
      <c r="R686" s="94">
        <f t="shared" si="201"/>
        <v>25</v>
      </c>
      <c r="S686" s="94" t="str">
        <f>VLOOKUP(O686,'Lookup Values'!$I$2:$L$8,4,TRUE)</f>
        <v>Afternoon</v>
      </c>
      <c r="T686" t="s">
        <v>76</v>
      </c>
      <c r="U686" t="s">
        <v>77</v>
      </c>
      <c r="V686" t="str">
        <f t="shared" si="202"/>
        <v>Entertainment: Alcohol</v>
      </c>
      <c r="W686" t="s">
        <v>75</v>
      </c>
      <c r="X686" t="s">
        <v>78</v>
      </c>
      <c r="Y686" s="1">
        <v>215</v>
      </c>
      <c r="Z686" s="1" t="str">
        <f t="shared" si="203"/>
        <v>Entertainment: $215.00</v>
      </c>
      <c r="AA686" s="1">
        <f>IF(Y686="","",ROUND(Y686*'Lookup Values'!$A$2,2))</f>
        <v>19.079999999999998</v>
      </c>
      <c r="AB686" s="12" t="str">
        <f t="shared" si="204"/>
        <v>Expense</v>
      </c>
      <c r="AC686" s="2" t="s">
        <v>746</v>
      </c>
      <c r="AD686" s="3">
        <f t="shared" si="205"/>
        <v>39498</v>
      </c>
      <c r="AE686" s="93" t="str">
        <f t="shared" si="206"/>
        <v>NO</v>
      </c>
      <c r="AF686" s="2" t="str">
        <f t="shared" si="207"/>
        <v>NO</v>
      </c>
      <c r="AG686" t="str">
        <f t="shared" si="208"/>
        <v>Awesome Transaction</v>
      </c>
    </row>
    <row r="687" spans="1:33" x14ac:dyDescent="0.25">
      <c r="A687" s="2">
        <v>686</v>
      </c>
      <c r="B687" s="3" t="str">
        <f t="shared" si="190"/>
        <v>120404-SH-AMA</v>
      </c>
      <c r="C687" s="3">
        <v>41003</v>
      </c>
      <c r="D687" s="3">
        <f t="shared" si="192"/>
        <v>41017</v>
      </c>
      <c r="E687" s="3">
        <f t="shared" si="193"/>
        <v>41064</v>
      </c>
      <c r="F687" s="3">
        <f t="shared" si="194"/>
        <v>41029</v>
      </c>
      <c r="G687" s="76">
        <f t="shared" si="195"/>
        <v>2012</v>
      </c>
      <c r="H687" s="76">
        <f t="shared" si="196"/>
        <v>4</v>
      </c>
      <c r="I687" s="76" t="str">
        <f>VLOOKUP(H687,'Lookup Values'!$C$2:$D$13,2,FALSE)</f>
        <v>APR</v>
      </c>
      <c r="J687" s="76">
        <f t="shared" si="197"/>
        <v>4</v>
      </c>
      <c r="K687" s="76">
        <f t="shared" si="198"/>
        <v>4</v>
      </c>
      <c r="L687" s="76" t="str">
        <f>VLOOKUP(K687,'Lookup Values'!$F$2:$G$8,2,FALSE)</f>
        <v>Wednesday</v>
      </c>
      <c r="M687" s="3">
        <v>41006</v>
      </c>
      <c r="N687" s="78">
        <f t="shared" si="191"/>
        <v>3</v>
      </c>
      <c r="O687" s="11">
        <v>8.5823827963033117E-2</v>
      </c>
      <c r="P687" s="94">
        <f t="shared" si="199"/>
        <v>2</v>
      </c>
      <c r="Q687" s="94">
        <f t="shared" si="200"/>
        <v>3</v>
      </c>
      <c r="R687" s="94">
        <f t="shared" si="201"/>
        <v>35</v>
      </c>
      <c r="S687" s="94" t="str">
        <f>VLOOKUP(O687,'Lookup Values'!$I$2:$L$8,4,TRUE)</f>
        <v>Dead of Night</v>
      </c>
      <c r="T687" t="s">
        <v>83</v>
      </c>
      <c r="U687" t="s">
        <v>84</v>
      </c>
      <c r="V687" t="str">
        <f t="shared" si="202"/>
        <v>Shopping: Electronics</v>
      </c>
      <c r="W687" t="s">
        <v>82</v>
      </c>
      <c r="X687" t="s">
        <v>91</v>
      </c>
      <c r="Y687" s="1">
        <v>151</v>
      </c>
      <c r="Z687" s="1" t="str">
        <f t="shared" si="203"/>
        <v>Shopping: $151.00</v>
      </c>
      <c r="AA687" s="1">
        <f>IF(Y687="","",ROUND(Y687*'Lookup Values'!$A$2,2))</f>
        <v>13.4</v>
      </c>
      <c r="AB687" s="12" t="str">
        <f t="shared" si="204"/>
        <v>Expense</v>
      </c>
      <c r="AC687" s="2" t="s">
        <v>747</v>
      </c>
      <c r="AD687" s="3">
        <f t="shared" si="205"/>
        <v>41003</v>
      </c>
      <c r="AE687" s="93" t="str">
        <f t="shared" si="206"/>
        <v>YES</v>
      </c>
      <c r="AF687" s="2" t="str">
        <f t="shared" si="207"/>
        <v>NO</v>
      </c>
      <c r="AG687" t="str">
        <f t="shared" si="208"/>
        <v>CRAP Transaction</v>
      </c>
    </row>
    <row r="688" spans="1:33" x14ac:dyDescent="0.25">
      <c r="A688" s="2">
        <v>687</v>
      </c>
      <c r="B688" s="3" t="str">
        <f t="shared" si="190"/>
        <v>090707-SH-EXP</v>
      </c>
      <c r="C688" s="3">
        <v>40001</v>
      </c>
      <c r="D688" s="3">
        <f t="shared" si="192"/>
        <v>40015</v>
      </c>
      <c r="E688" s="3">
        <f t="shared" si="193"/>
        <v>40063</v>
      </c>
      <c r="F688" s="3">
        <f t="shared" si="194"/>
        <v>40025</v>
      </c>
      <c r="G688" s="76">
        <f t="shared" si="195"/>
        <v>2009</v>
      </c>
      <c r="H688" s="76">
        <f t="shared" si="196"/>
        <v>7</v>
      </c>
      <c r="I688" s="76" t="str">
        <f>VLOOKUP(H688,'Lookup Values'!$C$2:$D$13,2,FALSE)</f>
        <v>JUL</v>
      </c>
      <c r="J688" s="76">
        <f t="shared" si="197"/>
        <v>7</v>
      </c>
      <c r="K688" s="76">
        <f t="shared" si="198"/>
        <v>3</v>
      </c>
      <c r="L688" s="76" t="str">
        <f>VLOOKUP(K688,'Lookup Values'!$F$2:$G$8,2,FALSE)</f>
        <v>Tuesday</v>
      </c>
      <c r="M688" s="3">
        <v>40004</v>
      </c>
      <c r="N688" s="78">
        <f t="shared" si="191"/>
        <v>3</v>
      </c>
      <c r="O688" s="11">
        <v>0.42240434711437014</v>
      </c>
      <c r="P688" s="94">
        <f t="shared" si="199"/>
        <v>10</v>
      </c>
      <c r="Q688" s="94">
        <f t="shared" si="200"/>
        <v>8</v>
      </c>
      <c r="R688" s="94">
        <f t="shared" si="201"/>
        <v>16</v>
      </c>
      <c r="S688" s="94" t="str">
        <f>VLOOKUP(O688,'Lookup Values'!$I$2:$L$8,4,TRUE)</f>
        <v>Late Morning</v>
      </c>
      <c r="T688" t="s">
        <v>83</v>
      </c>
      <c r="U688" t="s">
        <v>103</v>
      </c>
      <c r="V688" t="str">
        <f t="shared" si="202"/>
        <v>Shopping: Clothing</v>
      </c>
      <c r="W688" t="s">
        <v>102</v>
      </c>
      <c r="X688" t="s">
        <v>91</v>
      </c>
      <c r="Y688" s="1">
        <v>407</v>
      </c>
      <c r="Z688" s="1" t="str">
        <f t="shared" si="203"/>
        <v>Shopping: $407.00</v>
      </c>
      <c r="AA688" s="1">
        <f>IF(Y688="","",ROUND(Y688*'Lookup Values'!$A$2,2))</f>
        <v>36.119999999999997</v>
      </c>
      <c r="AB688" s="12" t="str">
        <f t="shared" si="204"/>
        <v>Expense</v>
      </c>
      <c r="AC688" s="2" t="s">
        <v>748</v>
      </c>
      <c r="AD688" s="3">
        <f t="shared" si="205"/>
        <v>40001</v>
      </c>
      <c r="AE688" s="93" t="str">
        <f t="shared" si="206"/>
        <v>NO</v>
      </c>
      <c r="AF688" s="2" t="str">
        <f t="shared" si="207"/>
        <v>NO</v>
      </c>
      <c r="AG688" t="str">
        <f t="shared" si="208"/>
        <v>Awesome Transaction</v>
      </c>
    </row>
    <row r="689" spans="1:33" x14ac:dyDescent="0.25">
      <c r="A689" s="2">
        <v>688</v>
      </c>
      <c r="B689" s="3" t="str">
        <f t="shared" si="190"/>
        <v>070626-IN-AUN</v>
      </c>
      <c r="C689" s="3">
        <v>39259</v>
      </c>
      <c r="D689" s="3">
        <f t="shared" si="192"/>
        <v>39273</v>
      </c>
      <c r="E689" s="3">
        <f t="shared" si="193"/>
        <v>39320</v>
      </c>
      <c r="F689" s="3">
        <f t="shared" si="194"/>
        <v>39263</v>
      </c>
      <c r="G689" s="76">
        <f t="shared" si="195"/>
        <v>2007</v>
      </c>
      <c r="H689" s="76">
        <f t="shared" si="196"/>
        <v>6</v>
      </c>
      <c r="I689" s="76" t="str">
        <f>VLOOKUP(H689,'Lookup Values'!$C$2:$D$13,2,FALSE)</f>
        <v>JUN</v>
      </c>
      <c r="J689" s="76">
        <f t="shared" si="197"/>
        <v>26</v>
      </c>
      <c r="K689" s="76">
        <f t="shared" si="198"/>
        <v>3</v>
      </c>
      <c r="L689" s="76" t="str">
        <f>VLOOKUP(K689,'Lookup Values'!$F$2:$G$8,2,FALSE)</f>
        <v>Tuesday</v>
      </c>
      <c r="M689" s="3">
        <v>39267</v>
      </c>
      <c r="N689" s="78">
        <f t="shared" si="191"/>
        <v>8</v>
      </c>
      <c r="O689" s="11">
        <v>0.90192813776936087</v>
      </c>
      <c r="P689" s="94">
        <f t="shared" si="199"/>
        <v>21</v>
      </c>
      <c r="Q689" s="94">
        <f t="shared" si="200"/>
        <v>38</v>
      </c>
      <c r="R689" s="94">
        <f t="shared" si="201"/>
        <v>47</v>
      </c>
      <c r="S689" s="94" t="str">
        <f>VLOOKUP(O689,'Lookup Values'!$I$2:$L$8,4,TRUE)</f>
        <v>Late Evening</v>
      </c>
      <c r="T689" t="s">
        <v>158</v>
      </c>
      <c r="U689" t="s">
        <v>161</v>
      </c>
      <c r="V689" t="str">
        <f t="shared" si="202"/>
        <v>Income: Gift Received</v>
      </c>
      <c r="W689" t="s">
        <v>164</v>
      </c>
      <c r="X689" t="s">
        <v>91</v>
      </c>
      <c r="Y689" s="1">
        <v>244</v>
      </c>
      <c r="Z689" s="1" t="str">
        <f t="shared" si="203"/>
        <v>Income: $244.00</v>
      </c>
      <c r="AA689" s="1">
        <f>IF(Y689="","",ROUND(Y689*'Lookup Values'!$A$2,2))</f>
        <v>21.66</v>
      </c>
      <c r="AB689" s="12" t="str">
        <f t="shared" si="204"/>
        <v>Income</v>
      </c>
      <c r="AC689" s="2" t="s">
        <v>749</v>
      </c>
      <c r="AD689" s="3">
        <f t="shared" si="205"/>
        <v>39259</v>
      </c>
      <c r="AE689" s="93" t="str">
        <f t="shared" si="206"/>
        <v>NO</v>
      </c>
      <c r="AF689" s="2" t="str">
        <f t="shared" si="207"/>
        <v>NO</v>
      </c>
      <c r="AG689" t="str">
        <f t="shared" si="208"/>
        <v>Late Transaction</v>
      </c>
    </row>
    <row r="690" spans="1:33" x14ac:dyDescent="0.25">
      <c r="A690" s="2">
        <v>689</v>
      </c>
      <c r="B690" s="3" t="str">
        <f t="shared" si="190"/>
        <v>100319-IN-LEG</v>
      </c>
      <c r="C690" s="3">
        <v>40256</v>
      </c>
      <c r="D690" s="3">
        <f t="shared" si="192"/>
        <v>40270</v>
      </c>
      <c r="E690" s="3">
        <f t="shared" si="193"/>
        <v>40317</v>
      </c>
      <c r="F690" s="3">
        <f t="shared" si="194"/>
        <v>40268</v>
      </c>
      <c r="G690" s="76">
        <f t="shared" si="195"/>
        <v>2010</v>
      </c>
      <c r="H690" s="76">
        <f t="shared" si="196"/>
        <v>3</v>
      </c>
      <c r="I690" s="76" t="str">
        <f>VLOOKUP(H690,'Lookup Values'!$C$2:$D$13,2,FALSE)</f>
        <v>MAR</v>
      </c>
      <c r="J690" s="76">
        <f t="shared" si="197"/>
        <v>19</v>
      </c>
      <c r="K690" s="76">
        <f t="shared" si="198"/>
        <v>6</v>
      </c>
      <c r="L690" s="76" t="str">
        <f>VLOOKUP(K690,'Lookup Values'!$F$2:$G$8,2,FALSE)</f>
        <v>Friday</v>
      </c>
      <c r="M690" s="3">
        <v>40262</v>
      </c>
      <c r="N690" s="78">
        <f t="shared" si="191"/>
        <v>6</v>
      </c>
      <c r="O690" s="11">
        <v>0.78567921968306742</v>
      </c>
      <c r="P690" s="94">
        <f t="shared" si="199"/>
        <v>18</v>
      </c>
      <c r="Q690" s="94">
        <f t="shared" si="200"/>
        <v>51</v>
      </c>
      <c r="R690" s="94">
        <f t="shared" si="201"/>
        <v>23</v>
      </c>
      <c r="S690" s="94" t="str">
        <f>VLOOKUP(O690,'Lookup Values'!$I$2:$L$8,4,TRUE)</f>
        <v>Evening</v>
      </c>
      <c r="T690" t="s">
        <v>158</v>
      </c>
      <c r="U690" t="s">
        <v>160</v>
      </c>
      <c r="V690" t="str">
        <f t="shared" si="202"/>
        <v>Income: Freelance Project</v>
      </c>
      <c r="W690" t="s">
        <v>163</v>
      </c>
      <c r="X690" t="s">
        <v>91</v>
      </c>
      <c r="Y690" s="1">
        <v>229</v>
      </c>
      <c r="Z690" s="1" t="str">
        <f t="shared" si="203"/>
        <v>Income: $229.00</v>
      </c>
      <c r="AA690" s="1">
        <f>IF(Y690="","",ROUND(Y690*'Lookup Values'!$A$2,2))</f>
        <v>20.32</v>
      </c>
      <c r="AB690" s="12" t="str">
        <f t="shared" si="204"/>
        <v>Income</v>
      </c>
      <c r="AC690" s="2" t="s">
        <v>750</v>
      </c>
      <c r="AD690" s="3">
        <f t="shared" si="205"/>
        <v>40256</v>
      </c>
      <c r="AE690" s="93" t="str">
        <f t="shared" si="206"/>
        <v>NO</v>
      </c>
      <c r="AF690" s="2" t="str">
        <f t="shared" si="207"/>
        <v>NO</v>
      </c>
      <c r="AG690" t="str">
        <f t="shared" si="208"/>
        <v>Late Transaction</v>
      </c>
    </row>
    <row r="691" spans="1:33" x14ac:dyDescent="0.25">
      <c r="A691" s="2">
        <v>690</v>
      </c>
      <c r="B691" s="3" t="str">
        <f t="shared" si="190"/>
        <v>090412-IN-EZE</v>
      </c>
      <c r="C691" s="3">
        <v>39915</v>
      </c>
      <c r="D691" s="3">
        <f t="shared" si="192"/>
        <v>39927</v>
      </c>
      <c r="E691" s="3">
        <f t="shared" si="193"/>
        <v>39976</v>
      </c>
      <c r="F691" s="3">
        <f t="shared" si="194"/>
        <v>39933</v>
      </c>
      <c r="G691" s="76">
        <f t="shared" si="195"/>
        <v>2009</v>
      </c>
      <c r="H691" s="76">
        <f t="shared" si="196"/>
        <v>4</v>
      </c>
      <c r="I691" s="76" t="str">
        <f>VLOOKUP(H691,'Lookup Values'!$C$2:$D$13,2,FALSE)</f>
        <v>APR</v>
      </c>
      <c r="J691" s="76">
        <f t="shared" si="197"/>
        <v>12</v>
      </c>
      <c r="K691" s="76">
        <f t="shared" si="198"/>
        <v>1</v>
      </c>
      <c r="L691" s="76" t="str">
        <f>VLOOKUP(K691,'Lookup Values'!$F$2:$G$8,2,FALSE)</f>
        <v>Sunday</v>
      </c>
      <c r="M691" s="3">
        <v>39916</v>
      </c>
      <c r="N691" s="78">
        <f t="shared" si="191"/>
        <v>1</v>
      </c>
      <c r="O691" s="11">
        <v>0.58931027485495646</v>
      </c>
      <c r="P691" s="94">
        <f t="shared" si="199"/>
        <v>14</v>
      </c>
      <c r="Q691" s="94">
        <f t="shared" si="200"/>
        <v>8</v>
      </c>
      <c r="R691" s="94">
        <f t="shared" si="201"/>
        <v>36</v>
      </c>
      <c r="S691" s="94" t="str">
        <f>VLOOKUP(O691,'Lookup Values'!$I$2:$L$8,4,TRUE)</f>
        <v>Afternoon</v>
      </c>
      <c r="T691" t="s">
        <v>158</v>
      </c>
      <c r="U691" t="s">
        <v>159</v>
      </c>
      <c r="V691" t="str">
        <f t="shared" si="202"/>
        <v>Income: Salary</v>
      </c>
      <c r="W691" t="s">
        <v>162</v>
      </c>
      <c r="X691" t="s">
        <v>78</v>
      </c>
      <c r="Y691" s="1">
        <v>300</v>
      </c>
      <c r="Z691" s="1" t="str">
        <f t="shared" si="203"/>
        <v>Income: $300.00</v>
      </c>
      <c r="AA691" s="1">
        <f>IF(Y691="","",ROUND(Y691*'Lookup Values'!$A$2,2))</f>
        <v>26.63</v>
      </c>
      <c r="AB691" s="12" t="str">
        <f t="shared" si="204"/>
        <v>Income</v>
      </c>
      <c r="AC691" s="2" t="s">
        <v>751</v>
      </c>
      <c r="AD691" s="3">
        <f t="shared" si="205"/>
        <v>39915</v>
      </c>
      <c r="AE691" s="93" t="str">
        <f t="shared" si="206"/>
        <v>NO</v>
      </c>
      <c r="AF691" s="2" t="str">
        <f t="shared" si="207"/>
        <v>NO</v>
      </c>
      <c r="AG691" t="str">
        <f t="shared" si="208"/>
        <v>Late Transaction</v>
      </c>
    </row>
    <row r="692" spans="1:33" x14ac:dyDescent="0.25">
      <c r="A692" s="2">
        <v>691</v>
      </c>
      <c r="B692" s="3" t="str">
        <f t="shared" si="190"/>
        <v>070803-HE-FRE</v>
      </c>
      <c r="C692" s="3">
        <v>39297</v>
      </c>
      <c r="D692" s="3">
        <f t="shared" si="192"/>
        <v>39311</v>
      </c>
      <c r="E692" s="3">
        <f t="shared" si="193"/>
        <v>39358</v>
      </c>
      <c r="F692" s="3">
        <f t="shared" si="194"/>
        <v>39325</v>
      </c>
      <c r="G692" s="76">
        <f t="shared" si="195"/>
        <v>2007</v>
      </c>
      <c r="H692" s="76">
        <f t="shared" si="196"/>
        <v>8</v>
      </c>
      <c r="I692" s="76" t="str">
        <f>VLOOKUP(H692,'Lookup Values'!$C$2:$D$13,2,FALSE)</f>
        <v>AUG</v>
      </c>
      <c r="J692" s="76">
        <f t="shared" si="197"/>
        <v>3</v>
      </c>
      <c r="K692" s="76">
        <f t="shared" si="198"/>
        <v>6</v>
      </c>
      <c r="L692" s="76" t="str">
        <f>VLOOKUP(K692,'Lookup Values'!$F$2:$G$8,2,FALSE)</f>
        <v>Friday</v>
      </c>
      <c r="M692" s="3">
        <v>39301</v>
      </c>
      <c r="N692" s="78">
        <f t="shared" si="191"/>
        <v>4</v>
      </c>
      <c r="O692" s="11">
        <v>0.43977131177730466</v>
      </c>
      <c r="P692" s="94">
        <f t="shared" si="199"/>
        <v>10</v>
      </c>
      <c r="Q692" s="94">
        <f t="shared" si="200"/>
        <v>33</v>
      </c>
      <c r="R692" s="94">
        <f t="shared" si="201"/>
        <v>16</v>
      </c>
      <c r="S692" s="94" t="str">
        <f>VLOOKUP(O692,'Lookup Values'!$I$2:$L$8,4,TRUE)</f>
        <v>Late Morning</v>
      </c>
      <c r="T692" t="s">
        <v>107</v>
      </c>
      <c r="U692" t="s">
        <v>108</v>
      </c>
      <c r="V692" t="str">
        <f t="shared" si="202"/>
        <v>Health: Insurance Premium</v>
      </c>
      <c r="W692" t="s">
        <v>106</v>
      </c>
      <c r="X692" t="s">
        <v>88</v>
      </c>
      <c r="Y692" s="1">
        <v>424</v>
      </c>
      <c r="Z692" s="1" t="str">
        <f t="shared" si="203"/>
        <v>Health: $424.00</v>
      </c>
      <c r="AA692" s="1">
        <f>IF(Y692="","",ROUND(Y692*'Lookup Values'!$A$2,2))</f>
        <v>37.630000000000003</v>
      </c>
      <c r="AB692" s="12" t="str">
        <f t="shared" si="204"/>
        <v>Expense</v>
      </c>
      <c r="AC692" s="2" t="s">
        <v>316</v>
      </c>
      <c r="AD692" s="3">
        <f t="shared" si="205"/>
        <v>39297</v>
      </c>
      <c r="AE692" s="93" t="str">
        <f t="shared" si="206"/>
        <v>NO</v>
      </c>
      <c r="AF692" s="2" t="str">
        <f t="shared" si="207"/>
        <v>NO</v>
      </c>
      <c r="AG692" t="str">
        <f t="shared" si="208"/>
        <v>Late Transaction</v>
      </c>
    </row>
    <row r="693" spans="1:33" x14ac:dyDescent="0.25">
      <c r="A693" s="2">
        <v>692</v>
      </c>
      <c r="B693" s="3" t="str">
        <f t="shared" si="190"/>
        <v>080712-BI-CON</v>
      </c>
      <c r="C693" s="3">
        <v>39641</v>
      </c>
      <c r="D693" s="3">
        <f t="shared" si="192"/>
        <v>39654</v>
      </c>
      <c r="E693" s="3">
        <f t="shared" si="193"/>
        <v>39703</v>
      </c>
      <c r="F693" s="3">
        <f t="shared" si="194"/>
        <v>39660</v>
      </c>
      <c r="G693" s="76">
        <f t="shared" si="195"/>
        <v>2008</v>
      </c>
      <c r="H693" s="76">
        <f t="shared" si="196"/>
        <v>7</v>
      </c>
      <c r="I693" s="76" t="str">
        <f>VLOOKUP(H693,'Lookup Values'!$C$2:$D$13,2,FALSE)</f>
        <v>JUL</v>
      </c>
      <c r="J693" s="76">
        <f t="shared" si="197"/>
        <v>12</v>
      </c>
      <c r="K693" s="76">
        <f t="shared" si="198"/>
        <v>7</v>
      </c>
      <c r="L693" s="76" t="str">
        <f>VLOOKUP(K693,'Lookup Values'!$F$2:$G$8,2,FALSE)</f>
        <v>Saturday</v>
      </c>
      <c r="M693" s="3">
        <v>39650</v>
      </c>
      <c r="N693" s="78">
        <f t="shared" si="191"/>
        <v>9</v>
      </c>
      <c r="O693" s="11">
        <v>0.13128550529953309</v>
      </c>
      <c r="P693" s="94">
        <f t="shared" si="199"/>
        <v>3</v>
      </c>
      <c r="Q693" s="94">
        <f t="shared" si="200"/>
        <v>9</v>
      </c>
      <c r="R693" s="94">
        <f t="shared" si="201"/>
        <v>3</v>
      </c>
      <c r="S693" s="94" t="str">
        <f>VLOOKUP(O693,'Lookup Values'!$I$2:$L$8,4,TRUE)</f>
        <v>Dead of Night</v>
      </c>
      <c r="T693" t="s">
        <v>110</v>
      </c>
      <c r="U693" t="s">
        <v>111</v>
      </c>
      <c r="V693" t="str">
        <f t="shared" si="202"/>
        <v>Bills: Utilities</v>
      </c>
      <c r="W693" t="s">
        <v>109</v>
      </c>
      <c r="X693" t="s">
        <v>78</v>
      </c>
      <c r="Y693" s="1">
        <v>360</v>
      </c>
      <c r="Z693" s="1" t="str">
        <f t="shared" si="203"/>
        <v>Bills: $360.00</v>
      </c>
      <c r="AA693" s="1">
        <f>IF(Y693="","",ROUND(Y693*'Lookup Values'!$A$2,2))</f>
        <v>31.95</v>
      </c>
      <c r="AB693" s="12" t="str">
        <f t="shared" si="204"/>
        <v>Expense</v>
      </c>
      <c r="AC693" s="2" t="s">
        <v>478</v>
      </c>
      <c r="AD693" s="3">
        <f t="shared" si="205"/>
        <v>39641</v>
      </c>
      <c r="AE693" s="93" t="str">
        <f t="shared" si="206"/>
        <v>NO</v>
      </c>
      <c r="AF693" s="2" t="str">
        <f t="shared" si="207"/>
        <v>NO</v>
      </c>
      <c r="AG693" t="str">
        <f t="shared" si="208"/>
        <v>Late Transaction</v>
      </c>
    </row>
    <row r="694" spans="1:33" x14ac:dyDescent="0.25">
      <c r="A694" s="2">
        <v>693</v>
      </c>
      <c r="B694" s="3" t="str">
        <f t="shared" si="190"/>
        <v>100619-SH-AMA</v>
      </c>
      <c r="C694" s="3">
        <v>40348</v>
      </c>
      <c r="D694" s="3">
        <f t="shared" si="192"/>
        <v>40361</v>
      </c>
      <c r="E694" s="3">
        <f t="shared" si="193"/>
        <v>40409</v>
      </c>
      <c r="F694" s="3">
        <f t="shared" si="194"/>
        <v>40359</v>
      </c>
      <c r="G694" s="76">
        <f t="shared" si="195"/>
        <v>2010</v>
      </c>
      <c r="H694" s="76">
        <f t="shared" si="196"/>
        <v>6</v>
      </c>
      <c r="I694" s="76" t="str">
        <f>VLOOKUP(H694,'Lookup Values'!$C$2:$D$13,2,FALSE)</f>
        <v>JUN</v>
      </c>
      <c r="J694" s="76">
        <f t="shared" si="197"/>
        <v>19</v>
      </c>
      <c r="K694" s="76">
        <f t="shared" si="198"/>
        <v>7</v>
      </c>
      <c r="L694" s="76" t="str">
        <f>VLOOKUP(K694,'Lookup Values'!$F$2:$G$8,2,FALSE)</f>
        <v>Saturday</v>
      </c>
      <c r="M694" s="3">
        <v>40355</v>
      </c>
      <c r="N694" s="78">
        <f t="shared" si="191"/>
        <v>7</v>
      </c>
      <c r="O694" s="11">
        <v>0.63874324820472628</v>
      </c>
      <c r="P694" s="94">
        <f t="shared" si="199"/>
        <v>15</v>
      </c>
      <c r="Q694" s="94">
        <f t="shared" si="200"/>
        <v>19</v>
      </c>
      <c r="R694" s="94">
        <f t="shared" si="201"/>
        <v>47</v>
      </c>
      <c r="S694" s="94" t="str">
        <f>VLOOKUP(O694,'Lookup Values'!$I$2:$L$8,4,TRUE)</f>
        <v>Afternoon</v>
      </c>
      <c r="T694" t="s">
        <v>83</v>
      </c>
      <c r="U694" t="s">
        <v>84</v>
      </c>
      <c r="V694" t="str">
        <f t="shared" si="202"/>
        <v>Shopping: Electronics</v>
      </c>
      <c r="W694" t="s">
        <v>82</v>
      </c>
      <c r="X694" t="s">
        <v>91</v>
      </c>
      <c r="Y694" s="1">
        <v>184</v>
      </c>
      <c r="Z694" s="1" t="str">
        <f t="shared" si="203"/>
        <v>Shopping: $184.00</v>
      </c>
      <c r="AA694" s="1">
        <f>IF(Y694="","",ROUND(Y694*'Lookup Values'!$A$2,2))</f>
        <v>16.329999999999998</v>
      </c>
      <c r="AB694" s="12" t="str">
        <f t="shared" si="204"/>
        <v>Expense</v>
      </c>
      <c r="AC694" s="2" t="s">
        <v>752</v>
      </c>
      <c r="AD694" s="3">
        <f t="shared" si="205"/>
        <v>40348</v>
      </c>
      <c r="AE694" s="93" t="str">
        <f t="shared" si="206"/>
        <v>YES</v>
      </c>
      <c r="AF694" s="2" t="str">
        <f t="shared" si="207"/>
        <v>NO</v>
      </c>
      <c r="AG694" t="str">
        <f t="shared" si="208"/>
        <v>Late Transaction</v>
      </c>
    </row>
    <row r="695" spans="1:33" x14ac:dyDescent="0.25">
      <c r="A695" s="2">
        <v>694</v>
      </c>
      <c r="B695" s="3" t="str">
        <f t="shared" si="190"/>
        <v>111009-ED-SKI</v>
      </c>
      <c r="C695" s="3">
        <v>40825</v>
      </c>
      <c r="D695" s="3">
        <f t="shared" si="192"/>
        <v>40837</v>
      </c>
      <c r="E695" s="3">
        <f t="shared" si="193"/>
        <v>40886</v>
      </c>
      <c r="F695" s="3">
        <f t="shared" si="194"/>
        <v>40847</v>
      </c>
      <c r="G695" s="76">
        <f t="shared" si="195"/>
        <v>2011</v>
      </c>
      <c r="H695" s="76">
        <f t="shared" si="196"/>
        <v>10</v>
      </c>
      <c r="I695" s="76" t="str">
        <f>VLOOKUP(H695,'Lookup Values'!$C$2:$D$13,2,FALSE)</f>
        <v>OCT</v>
      </c>
      <c r="J695" s="76">
        <f t="shared" si="197"/>
        <v>9</v>
      </c>
      <c r="K695" s="76">
        <f t="shared" si="198"/>
        <v>1</v>
      </c>
      <c r="L695" s="76" t="str">
        <f>VLOOKUP(K695,'Lookup Values'!$F$2:$G$8,2,FALSE)</f>
        <v>Sunday</v>
      </c>
      <c r="M695" s="3">
        <v>40831</v>
      </c>
      <c r="N695" s="78">
        <f t="shared" si="191"/>
        <v>6</v>
      </c>
      <c r="O695" s="11">
        <v>0.96253429289549775</v>
      </c>
      <c r="P695" s="94">
        <f t="shared" si="199"/>
        <v>23</v>
      </c>
      <c r="Q695" s="94">
        <f t="shared" si="200"/>
        <v>6</v>
      </c>
      <c r="R695" s="94">
        <f t="shared" si="201"/>
        <v>3</v>
      </c>
      <c r="S695" s="94" t="str">
        <f>VLOOKUP(O695,'Lookup Values'!$I$2:$L$8,4,TRUE)</f>
        <v>Late Evening</v>
      </c>
      <c r="T695" t="s">
        <v>86</v>
      </c>
      <c r="U695" t="s">
        <v>98</v>
      </c>
      <c r="V695" t="str">
        <f t="shared" si="202"/>
        <v>Education: Professional Development</v>
      </c>
      <c r="W695" t="s">
        <v>97</v>
      </c>
      <c r="X695" t="s">
        <v>91</v>
      </c>
      <c r="Y695" s="1">
        <v>426</v>
      </c>
      <c r="Z695" s="1" t="str">
        <f t="shared" si="203"/>
        <v>Education: $426.00</v>
      </c>
      <c r="AA695" s="1">
        <f>IF(Y695="","",ROUND(Y695*'Lookup Values'!$A$2,2))</f>
        <v>37.81</v>
      </c>
      <c r="AB695" s="12" t="str">
        <f t="shared" si="204"/>
        <v>Expense</v>
      </c>
      <c r="AC695" s="2" t="s">
        <v>697</v>
      </c>
      <c r="AD695" s="3">
        <f t="shared" si="205"/>
        <v>40825</v>
      </c>
      <c r="AE695" s="93" t="str">
        <f t="shared" si="206"/>
        <v>YES</v>
      </c>
      <c r="AF695" s="2" t="str">
        <f t="shared" si="207"/>
        <v>YES</v>
      </c>
      <c r="AG695" t="str">
        <f t="shared" si="208"/>
        <v>CRAP Transaction</v>
      </c>
    </row>
    <row r="696" spans="1:33" x14ac:dyDescent="0.25">
      <c r="A696" s="2">
        <v>695</v>
      </c>
      <c r="B696" s="3" t="str">
        <f t="shared" si="190"/>
        <v>100508-FO-CIT</v>
      </c>
      <c r="C696" s="3">
        <v>40306</v>
      </c>
      <c r="D696" s="3">
        <f t="shared" si="192"/>
        <v>40319</v>
      </c>
      <c r="E696" s="3">
        <f t="shared" si="193"/>
        <v>40367</v>
      </c>
      <c r="F696" s="3">
        <f t="shared" si="194"/>
        <v>40329</v>
      </c>
      <c r="G696" s="76">
        <f t="shared" si="195"/>
        <v>2010</v>
      </c>
      <c r="H696" s="76">
        <f t="shared" si="196"/>
        <v>5</v>
      </c>
      <c r="I696" s="76" t="str">
        <f>VLOOKUP(H696,'Lookup Values'!$C$2:$D$13,2,FALSE)</f>
        <v>MAY</v>
      </c>
      <c r="J696" s="76">
        <f t="shared" si="197"/>
        <v>8</v>
      </c>
      <c r="K696" s="76">
        <f t="shared" si="198"/>
        <v>7</v>
      </c>
      <c r="L696" s="76" t="str">
        <f>VLOOKUP(K696,'Lookup Values'!$F$2:$G$8,2,FALSE)</f>
        <v>Saturday</v>
      </c>
      <c r="M696" s="3">
        <v>40316</v>
      </c>
      <c r="N696" s="78">
        <f t="shared" si="191"/>
        <v>10</v>
      </c>
      <c r="O696" s="11">
        <v>0.63683138882377521</v>
      </c>
      <c r="P696" s="94">
        <f t="shared" si="199"/>
        <v>15</v>
      </c>
      <c r="Q696" s="94">
        <f t="shared" si="200"/>
        <v>17</v>
      </c>
      <c r="R696" s="94">
        <f t="shared" si="201"/>
        <v>2</v>
      </c>
      <c r="S696" s="94" t="str">
        <f>VLOOKUP(O696,'Lookup Values'!$I$2:$L$8,4,TRUE)</f>
        <v>Afternoon</v>
      </c>
      <c r="T696" t="s">
        <v>80</v>
      </c>
      <c r="U696" t="s">
        <v>105</v>
      </c>
      <c r="V696" t="str">
        <f t="shared" si="202"/>
        <v>Food: Coffee</v>
      </c>
      <c r="W696" t="s">
        <v>104</v>
      </c>
      <c r="X696" t="s">
        <v>78</v>
      </c>
      <c r="Y696" s="1">
        <v>477</v>
      </c>
      <c r="Z696" s="1" t="str">
        <f t="shared" si="203"/>
        <v>Food: $477.00</v>
      </c>
      <c r="AA696" s="1">
        <f>IF(Y696="","",ROUND(Y696*'Lookup Values'!$A$2,2))</f>
        <v>42.33</v>
      </c>
      <c r="AB696" s="12" t="str">
        <f t="shared" si="204"/>
        <v>Expense</v>
      </c>
      <c r="AC696" s="2" t="s">
        <v>753</v>
      </c>
      <c r="AD696" s="3">
        <f t="shared" si="205"/>
        <v>40306</v>
      </c>
      <c r="AE696" s="93" t="str">
        <f t="shared" si="206"/>
        <v>NO</v>
      </c>
      <c r="AF696" s="2" t="str">
        <f t="shared" si="207"/>
        <v>NO</v>
      </c>
      <c r="AG696" t="str">
        <f t="shared" si="208"/>
        <v>Late Transaction</v>
      </c>
    </row>
    <row r="697" spans="1:33" x14ac:dyDescent="0.25">
      <c r="A697" s="2">
        <v>696</v>
      </c>
      <c r="B697" s="3" t="str">
        <f t="shared" si="190"/>
        <v>100726-SH-AMA</v>
      </c>
      <c r="C697" s="3">
        <v>40385</v>
      </c>
      <c r="D697" s="3">
        <f t="shared" si="192"/>
        <v>40399</v>
      </c>
      <c r="E697" s="3">
        <f t="shared" si="193"/>
        <v>40447</v>
      </c>
      <c r="F697" s="3">
        <f t="shared" si="194"/>
        <v>40390</v>
      </c>
      <c r="G697" s="76">
        <f t="shared" si="195"/>
        <v>2010</v>
      </c>
      <c r="H697" s="76">
        <f t="shared" si="196"/>
        <v>7</v>
      </c>
      <c r="I697" s="76" t="str">
        <f>VLOOKUP(H697,'Lookup Values'!$C$2:$D$13,2,FALSE)</f>
        <v>JUL</v>
      </c>
      <c r="J697" s="76">
        <f t="shared" si="197"/>
        <v>26</v>
      </c>
      <c r="K697" s="76">
        <f t="shared" si="198"/>
        <v>2</v>
      </c>
      <c r="L697" s="76" t="str">
        <f>VLOOKUP(K697,'Lookup Values'!$F$2:$G$8,2,FALSE)</f>
        <v>Monday</v>
      </c>
      <c r="M697" s="3">
        <v>40386</v>
      </c>
      <c r="N697" s="78">
        <f t="shared" si="191"/>
        <v>1</v>
      </c>
      <c r="O697" s="11">
        <v>0.32789411978678873</v>
      </c>
      <c r="P697" s="94">
        <f t="shared" si="199"/>
        <v>7</v>
      </c>
      <c r="Q697" s="94">
        <f t="shared" si="200"/>
        <v>52</v>
      </c>
      <c r="R697" s="94">
        <f t="shared" si="201"/>
        <v>10</v>
      </c>
      <c r="S697" s="94" t="str">
        <f>VLOOKUP(O697,'Lookup Values'!$I$2:$L$8,4,TRUE)</f>
        <v>Morning</v>
      </c>
      <c r="T697" t="s">
        <v>83</v>
      </c>
      <c r="U697" t="s">
        <v>84</v>
      </c>
      <c r="V697" t="str">
        <f t="shared" si="202"/>
        <v>Shopping: Electronics</v>
      </c>
      <c r="W697" t="s">
        <v>82</v>
      </c>
      <c r="X697" t="s">
        <v>91</v>
      </c>
      <c r="Y697" s="1">
        <v>73</v>
      </c>
      <c r="Z697" s="1" t="str">
        <f t="shared" si="203"/>
        <v>Shopping: $73.00</v>
      </c>
      <c r="AA697" s="1">
        <f>IF(Y697="","",ROUND(Y697*'Lookup Values'!$A$2,2))</f>
        <v>6.48</v>
      </c>
      <c r="AB697" s="12" t="str">
        <f t="shared" si="204"/>
        <v>Expense</v>
      </c>
      <c r="AC697" s="2" t="s">
        <v>754</v>
      </c>
      <c r="AD697" s="3">
        <f t="shared" si="205"/>
        <v>40385</v>
      </c>
      <c r="AE697" s="93" t="str">
        <f t="shared" si="206"/>
        <v>YES</v>
      </c>
      <c r="AF697" s="2" t="str">
        <f t="shared" si="207"/>
        <v>NO</v>
      </c>
      <c r="AG697" t="str">
        <f t="shared" si="208"/>
        <v>Late Transaction</v>
      </c>
    </row>
    <row r="698" spans="1:33" x14ac:dyDescent="0.25">
      <c r="A698" s="2">
        <v>697</v>
      </c>
      <c r="B698" s="3" t="str">
        <f t="shared" si="190"/>
        <v>090423-BI-CON</v>
      </c>
      <c r="C698" s="3">
        <v>39926</v>
      </c>
      <c r="D698" s="3">
        <f t="shared" si="192"/>
        <v>39940</v>
      </c>
      <c r="E698" s="3">
        <f t="shared" si="193"/>
        <v>39987</v>
      </c>
      <c r="F698" s="3">
        <f t="shared" si="194"/>
        <v>39933</v>
      </c>
      <c r="G698" s="76">
        <f t="shared" si="195"/>
        <v>2009</v>
      </c>
      <c r="H698" s="76">
        <f t="shared" si="196"/>
        <v>4</v>
      </c>
      <c r="I698" s="76" t="str">
        <f>VLOOKUP(H698,'Lookup Values'!$C$2:$D$13,2,FALSE)</f>
        <v>APR</v>
      </c>
      <c r="J698" s="76">
        <f t="shared" si="197"/>
        <v>23</v>
      </c>
      <c r="K698" s="76">
        <f t="shared" si="198"/>
        <v>5</v>
      </c>
      <c r="L698" s="76" t="str">
        <f>VLOOKUP(K698,'Lookup Values'!$F$2:$G$8,2,FALSE)</f>
        <v>Thursday</v>
      </c>
      <c r="M698" s="3">
        <v>39929</v>
      </c>
      <c r="N698" s="78">
        <f t="shared" si="191"/>
        <v>3</v>
      </c>
      <c r="O698" s="11">
        <v>0.76664531809042313</v>
      </c>
      <c r="P698" s="94">
        <f t="shared" si="199"/>
        <v>18</v>
      </c>
      <c r="Q698" s="94">
        <f t="shared" si="200"/>
        <v>23</v>
      </c>
      <c r="R698" s="94">
        <f t="shared" si="201"/>
        <v>58</v>
      </c>
      <c r="S698" s="94" t="str">
        <f>VLOOKUP(O698,'Lookup Values'!$I$2:$L$8,4,TRUE)</f>
        <v>Evening</v>
      </c>
      <c r="T698" t="s">
        <v>110</v>
      </c>
      <c r="U698" t="s">
        <v>111</v>
      </c>
      <c r="V698" t="str">
        <f t="shared" si="202"/>
        <v>Bills: Utilities</v>
      </c>
      <c r="W698" t="s">
        <v>109</v>
      </c>
      <c r="X698" t="s">
        <v>78</v>
      </c>
      <c r="Y698" s="1">
        <v>387</v>
      </c>
      <c r="Z698" s="1" t="str">
        <f t="shared" si="203"/>
        <v>Bills: $387.00</v>
      </c>
      <c r="AA698" s="1">
        <f>IF(Y698="","",ROUND(Y698*'Lookup Values'!$A$2,2))</f>
        <v>34.35</v>
      </c>
      <c r="AB698" s="12" t="str">
        <f t="shared" si="204"/>
        <v>Expense</v>
      </c>
      <c r="AC698" s="2" t="s">
        <v>755</v>
      </c>
      <c r="AD698" s="3">
        <f t="shared" si="205"/>
        <v>39926</v>
      </c>
      <c r="AE698" s="93" t="str">
        <f t="shared" si="206"/>
        <v>NO</v>
      </c>
      <c r="AF698" s="2" t="str">
        <f t="shared" si="207"/>
        <v>NO</v>
      </c>
      <c r="AG698" t="str">
        <f t="shared" si="208"/>
        <v>Late Transaction</v>
      </c>
    </row>
    <row r="699" spans="1:33" x14ac:dyDescent="0.25">
      <c r="A699" s="2">
        <v>698</v>
      </c>
      <c r="B699" s="3" t="str">
        <f t="shared" si="190"/>
        <v>071222-BI-CON</v>
      </c>
      <c r="C699" s="3">
        <v>39438</v>
      </c>
      <c r="D699" s="3">
        <f t="shared" si="192"/>
        <v>39451</v>
      </c>
      <c r="E699" s="3">
        <f t="shared" si="193"/>
        <v>39500</v>
      </c>
      <c r="F699" s="3">
        <f t="shared" si="194"/>
        <v>39447</v>
      </c>
      <c r="G699" s="76">
        <f t="shared" si="195"/>
        <v>2007</v>
      </c>
      <c r="H699" s="76">
        <f t="shared" si="196"/>
        <v>12</v>
      </c>
      <c r="I699" s="76" t="str">
        <f>VLOOKUP(H699,'Lookup Values'!$C$2:$D$13,2,FALSE)</f>
        <v>DEC</v>
      </c>
      <c r="J699" s="76">
        <f t="shared" si="197"/>
        <v>22</v>
      </c>
      <c r="K699" s="76">
        <f t="shared" si="198"/>
        <v>7</v>
      </c>
      <c r="L699" s="76" t="str">
        <f>VLOOKUP(K699,'Lookup Values'!$F$2:$G$8,2,FALSE)</f>
        <v>Saturday</v>
      </c>
      <c r="M699" s="3">
        <v>39441</v>
      </c>
      <c r="N699" s="78">
        <f t="shared" si="191"/>
        <v>3</v>
      </c>
      <c r="O699" s="11">
        <v>0.6461686056295296</v>
      </c>
      <c r="P699" s="94">
        <f t="shared" si="199"/>
        <v>15</v>
      </c>
      <c r="Q699" s="94">
        <f t="shared" si="200"/>
        <v>30</v>
      </c>
      <c r="R699" s="94">
        <f t="shared" si="201"/>
        <v>29</v>
      </c>
      <c r="S699" s="94" t="str">
        <f>VLOOKUP(O699,'Lookup Values'!$I$2:$L$8,4,TRUE)</f>
        <v>Afternoon</v>
      </c>
      <c r="T699" t="s">
        <v>110</v>
      </c>
      <c r="U699" t="s">
        <v>111</v>
      </c>
      <c r="V699" t="str">
        <f t="shared" si="202"/>
        <v>Bills: Utilities</v>
      </c>
      <c r="W699" t="s">
        <v>109</v>
      </c>
      <c r="X699" t="s">
        <v>88</v>
      </c>
      <c r="Y699" s="1">
        <v>406</v>
      </c>
      <c r="Z699" s="1" t="str">
        <f t="shared" si="203"/>
        <v>Bills: $406.00</v>
      </c>
      <c r="AA699" s="1">
        <f>IF(Y699="","",ROUND(Y699*'Lookup Values'!$A$2,2))</f>
        <v>36.03</v>
      </c>
      <c r="AB699" s="12" t="str">
        <f t="shared" si="204"/>
        <v>Expense</v>
      </c>
      <c r="AC699" s="2" t="s">
        <v>756</v>
      </c>
      <c r="AD699" s="3">
        <f t="shared" si="205"/>
        <v>39438</v>
      </c>
      <c r="AE699" s="93" t="str">
        <f t="shared" si="206"/>
        <v>NO</v>
      </c>
      <c r="AF699" s="2" t="str">
        <f t="shared" si="207"/>
        <v>NO</v>
      </c>
      <c r="AG699" t="str">
        <f t="shared" si="208"/>
        <v>Late Transaction</v>
      </c>
    </row>
    <row r="700" spans="1:33" x14ac:dyDescent="0.25">
      <c r="A700" s="2">
        <v>699</v>
      </c>
      <c r="B700" s="3" t="str">
        <f t="shared" si="190"/>
        <v>100624-TR-MTA</v>
      </c>
      <c r="C700" s="3">
        <v>40353</v>
      </c>
      <c r="D700" s="3">
        <f t="shared" si="192"/>
        <v>40367</v>
      </c>
      <c r="E700" s="3">
        <f t="shared" si="193"/>
        <v>40414</v>
      </c>
      <c r="F700" s="3">
        <f t="shared" si="194"/>
        <v>40359</v>
      </c>
      <c r="G700" s="76">
        <f t="shared" si="195"/>
        <v>2010</v>
      </c>
      <c r="H700" s="76">
        <f t="shared" si="196"/>
        <v>6</v>
      </c>
      <c r="I700" s="76" t="str">
        <f>VLOOKUP(H700,'Lookup Values'!$C$2:$D$13,2,FALSE)</f>
        <v>JUN</v>
      </c>
      <c r="J700" s="76">
        <f t="shared" si="197"/>
        <v>24</v>
      </c>
      <c r="K700" s="76">
        <f t="shared" si="198"/>
        <v>5</v>
      </c>
      <c r="L700" s="76" t="str">
        <f>VLOOKUP(K700,'Lookup Values'!$F$2:$G$8,2,FALSE)</f>
        <v>Thursday</v>
      </c>
      <c r="M700" s="3">
        <v>40363</v>
      </c>
      <c r="N700" s="78">
        <f t="shared" si="191"/>
        <v>10</v>
      </c>
      <c r="O700" s="11">
        <v>0.60327256818487507</v>
      </c>
      <c r="P700" s="94">
        <f t="shared" si="199"/>
        <v>14</v>
      </c>
      <c r="Q700" s="94">
        <f t="shared" si="200"/>
        <v>28</v>
      </c>
      <c r="R700" s="94">
        <f t="shared" si="201"/>
        <v>43</v>
      </c>
      <c r="S700" s="94" t="str">
        <f>VLOOKUP(O700,'Lookup Values'!$I$2:$L$8,4,TRUE)</f>
        <v>Afternoon</v>
      </c>
      <c r="T700" t="s">
        <v>95</v>
      </c>
      <c r="U700" t="s">
        <v>96</v>
      </c>
      <c r="V700" t="str">
        <f t="shared" si="202"/>
        <v>Transportation: Subway</v>
      </c>
      <c r="W700" t="s">
        <v>94</v>
      </c>
      <c r="X700" t="s">
        <v>88</v>
      </c>
      <c r="Y700" s="1">
        <v>23</v>
      </c>
      <c r="Z700" s="1" t="str">
        <f t="shared" si="203"/>
        <v>Transportation: $23.00</v>
      </c>
      <c r="AA700" s="1">
        <f>IF(Y700="","",ROUND(Y700*'Lookup Values'!$A$2,2))</f>
        <v>2.04</v>
      </c>
      <c r="AB700" s="12" t="str">
        <f t="shared" si="204"/>
        <v>Expense</v>
      </c>
      <c r="AC700" s="2" t="s">
        <v>757</v>
      </c>
      <c r="AD700" s="3">
        <f t="shared" si="205"/>
        <v>40353</v>
      </c>
      <c r="AE700" s="93" t="str">
        <f t="shared" si="206"/>
        <v>YES</v>
      </c>
      <c r="AF700" s="2" t="str">
        <f t="shared" si="207"/>
        <v>NO</v>
      </c>
      <c r="AG700" t="str">
        <f t="shared" si="208"/>
        <v>Late Transaction</v>
      </c>
    </row>
    <row r="701" spans="1:33" x14ac:dyDescent="0.25">
      <c r="A701" s="2">
        <v>700</v>
      </c>
      <c r="B701" s="3" t="str">
        <f t="shared" si="190"/>
        <v>100328-ED-ANT</v>
      </c>
      <c r="C701" s="3">
        <v>40265</v>
      </c>
      <c r="D701" s="3">
        <f t="shared" si="192"/>
        <v>40277</v>
      </c>
      <c r="E701" s="3">
        <f t="shared" si="193"/>
        <v>40326</v>
      </c>
      <c r="F701" s="3">
        <f t="shared" si="194"/>
        <v>40268</v>
      </c>
      <c r="G701" s="76">
        <f t="shared" si="195"/>
        <v>2010</v>
      </c>
      <c r="H701" s="76">
        <f t="shared" si="196"/>
        <v>3</v>
      </c>
      <c r="I701" s="76" t="str">
        <f>VLOOKUP(H701,'Lookup Values'!$C$2:$D$13,2,FALSE)</f>
        <v>MAR</v>
      </c>
      <c r="J701" s="76">
        <f t="shared" si="197"/>
        <v>28</v>
      </c>
      <c r="K701" s="76">
        <f t="shared" si="198"/>
        <v>1</v>
      </c>
      <c r="L701" s="76" t="str">
        <f>VLOOKUP(K701,'Lookup Values'!$F$2:$G$8,2,FALSE)</f>
        <v>Sunday</v>
      </c>
      <c r="M701" s="3">
        <v>40271</v>
      </c>
      <c r="N701" s="78">
        <f t="shared" si="191"/>
        <v>6</v>
      </c>
      <c r="O701" s="11">
        <v>0.10176827670913746</v>
      </c>
      <c r="P701" s="94">
        <f t="shared" si="199"/>
        <v>2</v>
      </c>
      <c r="Q701" s="94">
        <f t="shared" si="200"/>
        <v>26</v>
      </c>
      <c r="R701" s="94">
        <f t="shared" si="201"/>
        <v>33</v>
      </c>
      <c r="S701" s="94" t="str">
        <f>VLOOKUP(O701,'Lookup Values'!$I$2:$L$8,4,TRUE)</f>
        <v>Dead of Night</v>
      </c>
      <c r="T701" t="s">
        <v>86</v>
      </c>
      <c r="U701" t="s">
        <v>87</v>
      </c>
      <c r="V701" t="str">
        <f t="shared" si="202"/>
        <v>Education: Tango Lessons</v>
      </c>
      <c r="W701" t="s">
        <v>85</v>
      </c>
      <c r="X701" t="s">
        <v>91</v>
      </c>
      <c r="Y701" s="1">
        <v>6</v>
      </c>
      <c r="Z701" s="1" t="str">
        <f t="shared" si="203"/>
        <v>Education: $6.00</v>
      </c>
      <c r="AA701" s="1">
        <f>IF(Y701="","",ROUND(Y701*'Lookup Values'!$A$2,2))</f>
        <v>0.53</v>
      </c>
      <c r="AB701" s="12" t="str">
        <f t="shared" si="204"/>
        <v>Expense</v>
      </c>
      <c r="AC701" s="2" t="s">
        <v>758</v>
      </c>
      <c r="AD701" s="3">
        <f t="shared" si="205"/>
        <v>40265</v>
      </c>
      <c r="AE701" s="93" t="str">
        <f t="shared" si="206"/>
        <v>NO</v>
      </c>
      <c r="AF701" s="2" t="str">
        <f t="shared" si="207"/>
        <v>NO</v>
      </c>
      <c r="AG701" t="str">
        <f t="shared" si="208"/>
        <v>Late Transaction</v>
      </c>
    </row>
    <row r="702" spans="1:33" x14ac:dyDescent="0.25">
      <c r="A702" s="2">
        <v>701</v>
      </c>
      <c r="B702" s="3" t="str">
        <f t="shared" si="190"/>
        <v>070822-FO-CIT</v>
      </c>
      <c r="C702" s="3">
        <v>39316</v>
      </c>
      <c r="D702" s="3">
        <f t="shared" si="192"/>
        <v>39330</v>
      </c>
      <c r="E702" s="3">
        <f t="shared" si="193"/>
        <v>39377</v>
      </c>
      <c r="F702" s="3">
        <f t="shared" si="194"/>
        <v>39325</v>
      </c>
      <c r="G702" s="76">
        <f t="shared" si="195"/>
        <v>2007</v>
      </c>
      <c r="H702" s="76">
        <f t="shared" si="196"/>
        <v>8</v>
      </c>
      <c r="I702" s="76" t="str">
        <f>VLOOKUP(H702,'Lookup Values'!$C$2:$D$13,2,FALSE)</f>
        <v>AUG</v>
      </c>
      <c r="J702" s="76">
        <f t="shared" si="197"/>
        <v>22</v>
      </c>
      <c r="K702" s="76">
        <f t="shared" si="198"/>
        <v>4</v>
      </c>
      <c r="L702" s="76" t="str">
        <f>VLOOKUP(K702,'Lookup Values'!$F$2:$G$8,2,FALSE)</f>
        <v>Wednesday</v>
      </c>
      <c r="M702" s="3">
        <v>39321</v>
      </c>
      <c r="N702" s="78">
        <f t="shared" si="191"/>
        <v>5</v>
      </c>
      <c r="O702" s="11">
        <v>0.86294783399341424</v>
      </c>
      <c r="P702" s="94">
        <f t="shared" si="199"/>
        <v>20</v>
      </c>
      <c r="Q702" s="94">
        <f t="shared" si="200"/>
        <v>42</v>
      </c>
      <c r="R702" s="94">
        <f t="shared" si="201"/>
        <v>39</v>
      </c>
      <c r="S702" s="94" t="str">
        <f>VLOOKUP(O702,'Lookup Values'!$I$2:$L$8,4,TRUE)</f>
        <v>Evening</v>
      </c>
      <c r="T702" t="s">
        <v>80</v>
      </c>
      <c r="U702" t="s">
        <v>105</v>
      </c>
      <c r="V702" t="str">
        <f t="shared" si="202"/>
        <v>Food: Coffee</v>
      </c>
      <c r="W702" t="s">
        <v>104</v>
      </c>
      <c r="X702" t="s">
        <v>91</v>
      </c>
      <c r="Y702" s="1">
        <v>439</v>
      </c>
      <c r="Z702" s="1" t="str">
        <f t="shared" si="203"/>
        <v>Food: $439.00</v>
      </c>
      <c r="AA702" s="1">
        <f>IF(Y702="","",ROUND(Y702*'Lookup Values'!$A$2,2))</f>
        <v>38.96</v>
      </c>
      <c r="AB702" s="12" t="str">
        <f t="shared" si="204"/>
        <v>Expense</v>
      </c>
      <c r="AC702" s="2" t="s">
        <v>759</v>
      </c>
      <c r="AD702" s="3">
        <f t="shared" si="205"/>
        <v>39316</v>
      </c>
      <c r="AE702" s="93" t="str">
        <f t="shared" si="206"/>
        <v>NO</v>
      </c>
      <c r="AF702" s="2" t="str">
        <f t="shared" si="207"/>
        <v>NO</v>
      </c>
      <c r="AG702" t="str">
        <f t="shared" si="208"/>
        <v>Awesome Transaction</v>
      </c>
    </row>
    <row r="703" spans="1:33" x14ac:dyDescent="0.25">
      <c r="A703" s="2">
        <v>702</v>
      </c>
      <c r="B703" s="3" t="str">
        <f t="shared" si="190"/>
        <v>110113-SH-EXP</v>
      </c>
      <c r="C703" s="3">
        <v>40556</v>
      </c>
      <c r="D703" s="3">
        <f t="shared" si="192"/>
        <v>40570</v>
      </c>
      <c r="E703" s="3">
        <f t="shared" si="193"/>
        <v>40615</v>
      </c>
      <c r="F703" s="3">
        <f t="shared" si="194"/>
        <v>40574</v>
      </c>
      <c r="G703" s="76">
        <f t="shared" si="195"/>
        <v>2011</v>
      </c>
      <c r="H703" s="76">
        <f t="shared" si="196"/>
        <v>1</v>
      </c>
      <c r="I703" s="76" t="str">
        <f>VLOOKUP(H703,'Lookup Values'!$C$2:$D$13,2,FALSE)</f>
        <v>JAN</v>
      </c>
      <c r="J703" s="76">
        <f t="shared" si="197"/>
        <v>13</v>
      </c>
      <c r="K703" s="76">
        <f t="shared" si="198"/>
        <v>5</v>
      </c>
      <c r="L703" s="76" t="str">
        <f>VLOOKUP(K703,'Lookup Values'!$F$2:$G$8,2,FALSE)</f>
        <v>Thursday</v>
      </c>
      <c r="M703" s="3">
        <v>40558</v>
      </c>
      <c r="N703" s="78">
        <f t="shared" si="191"/>
        <v>2</v>
      </c>
      <c r="O703" s="11">
        <v>0.52401665491001359</v>
      </c>
      <c r="P703" s="94">
        <f t="shared" si="199"/>
        <v>12</v>
      </c>
      <c r="Q703" s="94">
        <f t="shared" si="200"/>
        <v>34</v>
      </c>
      <c r="R703" s="94">
        <f t="shared" si="201"/>
        <v>35</v>
      </c>
      <c r="S703" s="94" t="str">
        <f>VLOOKUP(O703,'Lookup Values'!$I$2:$L$8,4,TRUE)</f>
        <v>Afternoon</v>
      </c>
      <c r="T703" t="s">
        <v>83</v>
      </c>
      <c r="U703" t="s">
        <v>103</v>
      </c>
      <c r="V703" t="str">
        <f t="shared" si="202"/>
        <v>Shopping: Clothing</v>
      </c>
      <c r="W703" t="s">
        <v>102</v>
      </c>
      <c r="X703" t="s">
        <v>88</v>
      </c>
      <c r="Y703" s="1">
        <v>82</v>
      </c>
      <c r="Z703" s="1" t="str">
        <f t="shared" si="203"/>
        <v>Shopping: $82.00</v>
      </c>
      <c r="AA703" s="1">
        <f>IF(Y703="","",ROUND(Y703*'Lookup Values'!$A$2,2))</f>
        <v>7.28</v>
      </c>
      <c r="AB703" s="12" t="str">
        <f t="shared" si="204"/>
        <v>Expense</v>
      </c>
      <c r="AC703" s="2" t="s">
        <v>760</v>
      </c>
      <c r="AD703" s="3">
        <f t="shared" si="205"/>
        <v>40556</v>
      </c>
      <c r="AE703" s="93" t="str">
        <f t="shared" si="206"/>
        <v>NO</v>
      </c>
      <c r="AF703" s="2" t="str">
        <f t="shared" si="207"/>
        <v>NO</v>
      </c>
      <c r="AG703" t="str">
        <f t="shared" si="208"/>
        <v>CRAP Transaction</v>
      </c>
    </row>
    <row r="704" spans="1:33" x14ac:dyDescent="0.25">
      <c r="A704" s="2">
        <v>703</v>
      </c>
      <c r="B704" s="3" t="str">
        <f t="shared" si="190"/>
        <v>101226-FO-TRA</v>
      </c>
      <c r="C704" s="3">
        <v>40538</v>
      </c>
      <c r="D704" s="3">
        <f t="shared" si="192"/>
        <v>40550</v>
      </c>
      <c r="E704" s="3">
        <f t="shared" si="193"/>
        <v>40600</v>
      </c>
      <c r="F704" s="3">
        <f t="shared" si="194"/>
        <v>40543</v>
      </c>
      <c r="G704" s="76">
        <f t="shared" si="195"/>
        <v>2010</v>
      </c>
      <c r="H704" s="76">
        <f t="shared" si="196"/>
        <v>12</v>
      </c>
      <c r="I704" s="76" t="str">
        <f>VLOOKUP(H704,'Lookup Values'!$C$2:$D$13,2,FALSE)</f>
        <v>DEC</v>
      </c>
      <c r="J704" s="76">
        <f t="shared" si="197"/>
        <v>26</v>
      </c>
      <c r="K704" s="76">
        <f t="shared" si="198"/>
        <v>1</v>
      </c>
      <c r="L704" s="76" t="str">
        <f>VLOOKUP(K704,'Lookup Values'!$F$2:$G$8,2,FALSE)</f>
        <v>Sunday</v>
      </c>
      <c r="M704" s="3">
        <v>40545</v>
      </c>
      <c r="N704" s="78">
        <f t="shared" si="191"/>
        <v>7</v>
      </c>
      <c r="O704" s="11">
        <v>0.26961649269769505</v>
      </c>
      <c r="P704" s="94">
        <f t="shared" si="199"/>
        <v>6</v>
      </c>
      <c r="Q704" s="94">
        <f t="shared" si="200"/>
        <v>28</v>
      </c>
      <c r="R704" s="94">
        <f t="shared" si="201"/>
        <v>15</v>
      </c>
      <c r="S704" s="94" t="str">
        <f>VLOOKUP(O704,'Lookup Values'!$I$2:$L$8,4,TRUE)</f>
        <v>Early Morning</v>
      </c>
      <c r="T704" t="s">
        <v>80</v>
      </c>
      <c r="U704" t="s">
        <v>93</v>
      </c>
      <c r="V704" t="str">
        <f t="shared" si="202"/>
        <v>Food: Groceries</v>
      </c>
      <c r="W704" t="s">
        <v>92</v>
      </c>
      <c r="X704" t="s">
        <v>78</v>
      </c>
      <c r="Y704" s="1">
        <v>168</v>
      </c>
      <c r="Z704" s="1" t="str">
        <f t="shared" si="203"/>
        <v>Food: $168.00</v>
      </c>
      <c r="AA704" s="1">
        <f>IF(Y704="","",ROUND(Y704*'Lookup Values'!$A$2,2))</f>
        <v>14.91</v>
      </c>
      <c r="AB704" s="12" t="str">
        <f t="shared" si="204"/>
        <v>Expense</v>
      </c>
      <c r="AC704" s="2" t="s">
        <v>761</v>
      </c>
      <c r="AD704" s="3">
        <f t="shared" si="205"/>
        <v>40538</v>
      </c>
      <c r="AE704" s="93" t="str">
        <f t="shared" si="206"/>
        <v>NO</v>
      </c>
      <c r="AF704" s="2" t="str">
        <f t="shared" si="207"/>
        <v>NO</v>
      </c>
      <c r="AG704" t="str">
        <f t="shared" si="208"/>
        <v>Late Transaction</v>
      </c>
    </row>
    <row r="705" spans="1:33" x14ac:dyDescent="0.25">
      <c r="A705" s="2">
        <v>704</v>
      </c>
      <c r="B705" s="3" t="str">
        <f t="shared" si="190"/>
        <v>110903-FO-BAN</v>
      </c>
      <c r="C705" s="3">
        <v>40789</v>
      </c>
      <c r="D705" s="3">
        <f t="shared" si="192"/>
        <v>40802</v>
      </c>
      <c r="E705" s="3">
        <f t="shared" si="193"/>
        <v>40850</v>
      </c>
      <c r="F705" s="3">
        <f t="shared" si="194"/>
        <v>40816</v>
      </c>
      <c r="G705" s="76">
        <f t="shared" si="195"/>
        <v>2011</v>
      </c>
      <c r="H705" s="76">
        <f t="shared" si="196"/>
        <v>9</v>
      </c>
      <c r="I705" s="76" t="str">
        <f>VLOOKUP(H705,'Lookup Values'!$C$2:$D$13,2,FALSE)</f>
        <v>SEP</v>
      </c>
      <c r="J705" s="76">
        <f t="shared" si="197"/>
        <v>3</v>
      </c>
      <c r="K705" s="76">
        <f t="shared" si="198"/>
        <v>7</v>
      </c>
      <c r="L705" s="76" t="str">
        <f>VLOOKUP(K705,'Lookup Values'!$F$2:$G$8,2,FALSE)</f>
        <v>Saturday</v>
      </c>
      <c r="M705" s="3">
        <v>40795</v>
      </c>
      <c r="N705" s="78">
        <f t="shared" si="191"/>
        <v>6</v>
      </c>
      <c r="O705" s="11">
        <v>0.72314242677990404</v>
      </c>
      <c r="P705" s="94">
        <f t="shared" si="199"/>
        <v>17</v>
      </c>
      <c r="Q705" s="94">
        <f t="shared" si="200"/>
        <v>21</v>
      </c>
      <c r="R705" s="94">
        <f t="shared" si="201"/>
        <v>20</v>
      </c>
      <c r="S705" s="94" t="str">
        <f>VLOOKUP(O705,'Lookup Values'!$I$2:$L$8,4,TRUE)</f>
        <v>Evening</v>
      </c>
      <c r="T705" t="s">
        <v>80</v>
      </c>
      <c r="U705" t="s">
        <v>81</v>
      </c>
      <c r="V705" t="str">
        <f t="shared" si="202"/>
        <v>Food: Restaurants</v>
      </c>
      <c r="W705" t="s">
        <v>79</v>
      </c>
      <c r="X705" t="s">
        <v>91</v>
      </c>
      <c r="Y705" s="1">
        <v>68</v>
      </c>
      <c r="Z705" s="1" t="str">
        <f t="shared" si="203"/>
        <v>Food: $68.00</v>
      </c>
      <c r="AA705" s="1">
        <f>IF(Y705="","",ROUND(Y705*'Lookup Values'!$A$2,2))</f>
        <v>6.04</v>
      </c>
      <c r="AB705" s="12" t="str">
        <f t="shared" si="204"/>
        <v>Expense</v>
      </c>
      <c r="AC705" s="2" t="s">
        <v>398</v>
      </c>
      <c r="AD705" s="3">
        <f t="shared" si="205"/>
        <v>40789</v>
      </c>
      <c r="AE705" s="93" t="str">
        <f t="shared" si="206"/>
        <v>NO</v>
      </c>
      <c r="AF705" s="2" t="str">
        <f t="shared" si="207"/>
        <v>NO</v>
      </c>
      <c r="AG705" t="str">
        <f t="shared" si="208"/>
        <v>CRAP Transaction</v>
      </c>
    </row>
    <row r="706" spans="1:33" x14ac:dyDescent="0.25">
      <c r="A706" s="2">
        <v>705</v>
      </c>
      <c r="B706" s="3" t="str">
        <f t="shared" ref="B706:B769" si="209">TEXT(C706,"yymmdd") &amp; "-" &amp; UPPER(LEFT(T706,2)) &amp; "-" &amp; UPPER(LEFT(W706,3))</f>
        <v>071115-HO-BED</v>
      </c>
      <c r="C706" s="3">
        <v>39401</v>
      </c>
      <c r="D706" s="3">
        <f t="shared" si="192"/>
        <v>39415</v>
      </c>
      <c r="E706" s="3">
        <f t="shared" si="193"/>
        <v>39462</v>
      </c>
      <c r="F706" s="3">
        <f t="shared" si="194"/>
        <v>39416</v>
      </c>
      <c r="G706" s="76">
        <f t="shared" si="195"/>
        <v>2007</v>
      </c>
      <c r="H706" s="76">
        <f t="shared" si="196"/>
        <v>11</v>
      </c>
      <c r="I706" s="76" t="str">
        <f>VLOOKUP(H706,'Lookup Values'!$C$2:$D$13,2,FALSE)</f>
        <v>NOV</v>
      </c>
      <c r="J706" s="76">
        <f t="shared" si="197"/>
        <v>15</v>
      </c>
      <c r="K706" s="76">
        <f t="shared" si="198"/>
        <v>5</v>
      </c>
      <c r="L706" s="76" t="str">
        <f>VLOOKUP(K706,'Lookup Values'!$F$2:$G$8,2,FALSE)</f>
        <v>Thursday</v>
      </c>
      <c r="M706" s="3">
        <v>39410</v>
      </c>
      <c r="N706" s="78">
        <f t="shared" ref="N706:N769" si="210">M706-C706</f>
        <v>9</v>
      </c>
      <c r="O706" s="11">
        <v>0.31226395156805753</v>
      </c>
      <c r="P706" s="94">
        <f t="shared" si="199"/>
        <v>7</v>
      </c>
      <c r="Q706" s="94">
        <f t="shared" si="200"/>
        <v>29</v>
      </c>
      <c r="R706" s="94">
        <f t="shared" si="201"/>
        <v>40</v>
      </c>
      <c r="S706" s="94" t="str">
        <f>VLOOKUP(O706,'Lookup Values'!$I$2:$L$8,4,TRUE)</f>
        <v>Morning</v>
      </c>
      <c r="T706" t="s">
        <v>100</v>
      </c>
      <c r="U706" t="s">
        <v>101</v>
      </c>
      <c r="V706" t="str">
        <f t="shared" si="202"/>
        <v>Home: Cleaning Supplies</v>
      </c>
      <c r="W706" t="s">
        <v>99</v>
      </c>
      <c r="X706" t="s">
        <v>91</v>
      </c>
      <c r="Y706" s="1">
        <v>292</v>
      </c>
      <c r="Z706" s="1" t="str">
        <f t="shared" si="203"/>
        <v>Home: $292.00</v>
      </c>
      <c r="AA706" s="1">
        <f>IF(Y706="","",ROUND(Y706*'Lookup Values'!$A$2,2))</f>
        <v>25.92</v>
      </c>
      <c r="AB706" s="12" t="str">
        <f t="shared" si="204"/>
        <v>Expense</v>
      </c>
      <c r="AC706" s="2" t="s">
        <v>373</v>
      </c>
      <c r="AD706" s="3">
        <f t="shared" si="205"/>
        <v>39401</v>
      </c>
      <c r="AE706" s="93" t="str">
        <f t="shared" si="206"/>
        <v>NO</v>
      </c>
      <c r="AF706" s="2" t="str">
        <f t="shared" si="207"/>
        <v>NO</v>
      </c>
      <c r="AG706" t="str">
        <f t="shared" si="208"/>
        <v>Late Transaction</v>
      </c>
    </row>
    <row r="707" spans="1:33" x14ac:dyDescent="0.25">
      <c r="A707" s="2">
        <v>706</v>
      </c>
      <c r="B707" s="3" t="str">
        <f t="shared" si="209"/>
        <v>071128-FO-TRA</v>
      </c>
      <c r="C707" s="3">
        <v>39414</v>
      </c>
      <c r="D707" s="3">
        <f t="shared" ref="D707:D770" si="211">WORKDAY(C707,10)</f>
        <v>39428</v>
      </c>
      <c r="E707" s="3">
        <f t="shared" ref="E707:E770" si="212">EDATE(C707,2)</f>
        <v>39475</v>
      </c>
      <c r="F707" s="3">
        <f t="shared" ref="F707:F770" si="213">EOMONTH(C707,0)</f>
        <v>39416</v>
      </c>
      <c r="G707" s="76">
        <f t="shared" ref="G707:G770" si="214">YEAR(C707)</f>
        <v>2007</v>
      </c>
      <c r="H707" s="76">
        <f t="shared" ref="H707:H770" si="215">MONTH(C707)</f>
        <v>11</v>
      </c>
      <c r="I707" s="76" t="str">
        <f>VLOOKUP(H707,'Lookup Values'!$C$2:$D$13,2,FALSE)</f>
        <v>NOV</v>
      </c>
      <c r="J707" s="76">
        <f t="shared" ref="J707:J770" si="216">DAY(C707)</f>
        <v>28</v>
      </c>
      <c r="K707" s="76">
        <f t="shared" ref="K707:K770" si="217">WEEKDAY(C707)</f>
        <v>4</v>
      </c>
      <c r="L707" s="76" t="str">
        <f>VLOOKUP(K707,'Lookup Values'!$F$2:$G$8,2,FALSE)</f>
        <v>Wednesday</v>
      </c>
      <c r="M707" s="3">
        <v>39420</v>
      </c>
      <c r="N707" s="78">
        <f t="shared" si="210"/>
        <v>6</v>
      </c>
      <c r="O707" s="11">
        <v>0.98978793466524495</v>
      </c>
      <c r="P707" s="94">
        <f t="shared" ref="P707:P770" si="218">HOUR(O707)</f>
        <v>23</v>
      </c>
      <c r="Q707" s="94">
        <f t="shared" ref="Q707:Q770" si="219">MINUTE(O707)</f>
        <v>45</v>
      </c>
      <c r="R707" s="94">
        <f t="shared" ref="R707:R770" si="220">SECOND(O707)</f>
        <v>18</v>
      </c>
      <c r="S707" s="94" t="str">
        <f>VLOOKUP(O707,'Lookup Values'!$I$2:$L$8,4,TRUE)</f>
        <v>Late Evening</v>
      </c>
      <c r="T707" t="s">
        <v>80</v>
      </c>
      <c r="U707" t="s">
        <v>93</v>
      </c>
      <c r="V707" t="str">
        <f t="shared" ref="V707:V770" si="221">T707 &amp; ": " &amp; U707</f>
        <v>Food: Groceries</v>
      </c>
      <c r="W707" t="s">
        <v>92</v>
      </c>
      <c r="X707" t="s">
        <v>78</v>
      </c>
      <c r="Y707" s="1">
        <v>175</v>
      </c>
      <c r="Z707" s="1" t="str">
        <f t="shared" ref="Z707:Z770" si="222">T707 &amp; ": " &amp; TEXT(Y707,"$#,###.00")</f>
        <v>Food: $175.00</v>
      </c>
      <c r="AA707" s="1">
        <f>IF(Y707="","",ROUND(Y707*'Lookup Values'!$A$2,2))</f>
        <v>15.53</v>
      </c>
      <c r="AB707" s="12" t="str">
        <f t="shared" ref="AB707:AB770" si="223">IF(T707="Income","Income","Expense")</f>
        <v>Expense</v>
      </c>
      <c r="AC707" s="2" t="s">
        <v>762</v>
      </c>
      <c r="AD707" s="3">
        <f t="shared" ref="AD707:AD770" si="224">VALUE(SUBSTITUTE(AC707,".","/"))</f>
        <v>39414</v>
      </c>
      <c r="AE707" s="93" t="str">
        <f t="shared" ref="AE707:AE770" si="225">IF(OR(T707="Transportation",U707="Professional Development",U707="Electronics"),"YES","NO")</f>
        <v>NO</v>
      </c>
      <c r="AF707" s="2" t="str">
        <f t="shared" ref="AF707:AF770" si="226">IF(AND(AE707="YES",Y707&gt;=400),"YES","NO")</f>
        <v>NO</v>
      </c>
      <c r="AG707" t="str">
        <f t="shared" ref="AG707:AG770" si="227">IF(AND(AND(G707&gt;=2007,G707&lt;=2009),OR(W707&lt;&gt;"MTA",W707&lt;&gt;"Fandango"),OR(T707="Food",T707="Shopping",T707="Entertainment")),"Awesome Transaction",IF(AND(G707&lt;=2010,U707&lt;&gt;"Alcohol"),"Late Transaction",IF(G707=2006,"Early Transaction","CRAP Transaction")))</f>
        <v>Awesome Transaction</v>
      </c>
    </row>
    <row r="708" spans="1:33" x14ac:dyDescent="0.25">
      <c r="A708" s="2">
        <v>707</v>
      </c>
      <c r="B708" s="3" t="str">
        <f t="shared" si="209"/>
        <v>080402-HO-BED</v>
      </c>
      <c r="C708" s="3">
        <v>39540</v>
      </c>
      <c r="D708" s="3">
        <f t="shared" si="211"/>
        <v>39554</v>
      </c>
      <c r="E708" s="3">
        <f t="shared" si="212"/>
        <v>39601</v>
      </c>
      <c r="F708" s="3">
        <f t="shared" si="213"/>
        <v>39568</v>
      </c>
      <c r="G708" s="76">
        <f t="shared" si="214"/>
        <v>2008</v>
      </c>
      <c r="H708" s="76">
        <f t="shared" si="215"/>
        <v>4</v>
      </c>
      <c r="I708" s="76" t="str">
        <f>VLOOKUP(H708,'Lookup Values'!$C$2:$D$13,2,FALSE)</f>
        <v>APR</v>
      </c>
      <c r="J708" s="76">
        <f t="shared" si="216"/>
        <v>2</v>
      </c>
      <c r="K708" s="76">
        <f t="shared" si="217"/>
        <v>4</v>
      </c>
      <c r="L708" s="76" t="str">
        <f>VLOOKUP(K708,'Lookup Values'!$F$2:$G$8,2,FALSE)</f>
        <v>Wednesday</v>
      </c>
      <c r="M708" s="3">
        <v>39543</v>
      </c>
      <c r="N708" s="78">
        <f t="shared" si="210"/>
        <v>3</v>
      </c>
      <c r="O708" s="11">
        <v>0.40090176419514345</v>
      </c>
      <c r="P708" s="94">
        <f t="shared" si="218"/>
        <v>9</v>
      </c>
      <c r="Q708" s="94">
        <f t="shared" si="219"/>
        <v>37</v>
      </c>
      <c r="R708" s="94">
        <f t="shared" si="220"/>
        <v>18</v>
      </c>
      <c r="S708" s="94" t="str">
        <f>VLOOKUP(O708,'Lookup Values'!$I$2:$L$8,4,TRUE)</f>
        <v>Morning</v>
      </c>
      <c r="T708" t="s">
        <v>100</v>
      </c>
      <c r="U708" t="s">
        <v>101</v>
      </c>
      <c r="V708" t="str">
        <f t="shared" si="221"/>
        <v>Home: Cleaning Supplies</v>
      </c>
      <c r="W708" t="s">
        <v>99</v>
      </c>
      <c r="X708" t="s">
        <v>78</v>
      </c>
      <c r="Y708" s="1">
        <v>100</v>
      </c>
      <c r="Z708" s="1" t="str">
        <f t="shared" si="222"/>
        <v>Home: $100.00</v>
      </c>
      <c r="AA708" s="1">
        <f>IF(Y708="","",ROUND(Y708*'Lookup Values'!$A$2,2))</f>
        <v>8.8800000000000008</v>
      </c>
      <c r="AB708" s="12" t="str">
        <f t="shared" si="223"/>
        <v>Expense</v>
      </c>
      <c r="AC708" s="2" t="s">
        <v>763</v>
      </c>
      <c r="AD708" s="3">
        <f t="shared" si="224"/>
        <v>39540</v>
      </c>
      <c r="AE708" s="93" t="str">
        <f t="shared" si="225"/>
        <v>NO</v>
      </c>
      <c r="AF708" s="2" t="str">
        <f t="shared" si="226"/>
        <v>NO</v>
      </c>
      <c r="AG708" t="str">
        <f t="shared" si="227"/>
        <v>Late Transaction</v>
      </c>
    </row>
    <row r="709" spans="1:33" x14ac:dyDescent="0.25">
      <c r="A709" s="2">
        <v>708</v>
      </c>
      <c r="B709" s="3" t="str">
        <f t="shared" si="209"/>
        <v>071018-FO-CIT</v>
      </c>
      <c r="C709" s="3">
        <v>39373</v>
      </c>
      <c r="D709" s="3">
        <f t="shared" si="211"/>
        <v>39387</v>
      </c>
      <c r="E709" s="3">
        <f t="shared" si="212"/>
        <v>39434</v>
      </c>
      <c r="F709" s="3">
        <f t="shared" si="213"/>
        <v>39386</v>
      </c>
      <c r="G709" s="76">
        <f t="shared" si="214"/>
        <v>2007</v>
      </c>
      <c r="H709" s="76">
        <f t="shared" si="215"/>
        <v>10</v>
      </c>
      <c r="I709" s="76" t="str">
        <f>VLOOKUP(H709,'Lookup Values'!$C$2:$D$13,2,FALSE)</f>
        <v>OCT</v>
      </c>
      <c r="J709" s="76">
        <f t="shared" si="216"/>
        <v>18</v>
      </c>
      <c r="K709" s="76">
        <f t="shared" si="217"/>
        <v>5</v>
      </c>
      <c r="L709" s="76" t="str">
        <f>VLOOKUP(K709,'Lookup Values'!$F$2:$G$8,2,FALSE)</f>
        <v>Thursday</v>
      </c>
      <c r="M709" s="3">
        <v>39374</v>
      </c>
      <c r="N709" s="78">
        <f t="shared" si="210"/>
        <v>1</v>
      </c>
      <c r="O709" s="11">
        <v>0.89546498155630683</v>
      </c>
      <c r="P709" s="94">
        <f t="shared" si="218"/>
        <v>21</v>
      </c>
      <c r="Q709" s="94">
        <f t="shared" si="219"/>
        <v>29</v>
      </c>
      <c r="R709" s="94">
        <f t="shared" si="220"/>
        <v>28</v>
      </c>
      <c r="S709" s="94" t="str">
        <f>VLOOKUP(O709,'Lookup Values'!$I$2:$L$8,4,TRUE)</f>
        <v>Late Evening</v>
      </c>
      <c r="T709" t="s">
        <v>80</v>
      </c>
      <c r="U709" t="s">
        <v>105</v>
      </c>
      <c r="V709" t="str">
        <f t="shared" si="221"/>
        <v>Food: Coffee</v>
      </c>
      <c r="W709" t="s">
        <v>104</v>
      </c>
      <c r="X709" t="s">
        <v>91</v>
      </c>
      <c r="Y709" s="1">
        <v>137</v>
      </c>
      <c r="Z709" s="1" t="str">
        <f t="shared" si="222"/>
        <v>Food: $137.00</v>
      </c>
      <c r="AA709" s="1">
        <f>IF(Y709="","",ROUND(Y709*'Lookup Values'!$A$2,2))</f>
        <v>12.16</v>
      </c>
      <c r="AB709" s="12" t="str">
        <f t="shared" si="223"/>
        <v>Expense</v>
      </c>
      <c r="AC709" s="2" t="s">
        <v>764</v>
      </c>
      <c r="AD709" s="3">
        <f t="shared" si="224"/>
        <v>39373</v>
      </c>
      <c r="AE709" s="93" t="str">
        <f t="shared" si="225"/>
        <v>NO</v>
      </c>
      <c r="AF709" s="2" t="str">
        <f t="shared" si="226"/>
        <v>NO</v>
      </c>
      <c r="AG709" t="str">
        <f t="shared" si="227"/>
        <v>Awesome Transaction</v>
      </c>
    </row>
    <row r="710" spans="1:33" x14ac:dyDescent="0.25">
      <c r="A710" s="2">
        <v>709</v>
      </c>
      <c r="B710" s="3" t="str">
        <f t="shared" si="209"/>
        <v>090407-FO-CIT</v>
      </c>
      <c r="C710" s="3">
        <v>39910</v>
      </c>
      <c r="D710" s="3">
        <f t="shared" si="211"/>
        <v>39924</v>
      </c>
      <c r="E710" s="3">
        <f t="shared" si="212"/>
        <v>39971</v>
      </c>
      <c r="F710" s="3">
        <f t="shared" si="213"/>
        <v>39933</v>
      </c>
      <c r="G710" s="76">
        <f t="shared" si="214"/>
        <v>2009</v>
      </c>
      <c r="H710" s="76">
        <f t="shared" si="215"/>
        <v>4</v>
      </c>
      <c r="I710" s="76" t="str">
        <f>VLOOKUP(H710,'Lookup Values'!$C$2:$D$13,2,FALSE)</f>
        <v>APR</v>
      </c>
      <c r="J710" s="76">
        <f t="shared" si="216"/>
        <v>7</v>
      </c>
      <c r="K710" s="76">
        <f t="shared" si="217"/>
        <v>3</v>
      </c>
      <c r="L710" s="76" t="str">
        <f>VLOOKUP(K710,'Lookup Values'!$F$2:$G$8,2,FALSE)</f>
        <v>Tuesday</v>
      </c>
      <c r="M710" s="3">
        <v>39915</v>
      </c>
      <c r="N710" s="78">
        <f t="shared" si="210"/>
        <v>5</v>
      </c>
      <c r="O710" s="11">
        <v>4.3909534294015007E-2</v>
      </c>
      <c r="P710" s="94">
        <f t="shared" si="218"/>
        <v>1</v>
      </c>
      <c r="Q710" s="94">
        <f t="shared" si="219"/>
        <v>3</v>
      </c>
      <c r="R710" s="94">
        <f t="shared" si="220"/>
        <v>14</v>
      </c>
      <c r="S710" s="94" t="str">
        <f>VLOOKUP(O710,'Lookup Values'!$I$2:$L$8,4,TRUE)</f>
        <v>Dead of Night</v>
      </c>
      <c r="T710" t="s">
        <v>80</v>
      </c>
      <c r="U710" t="s">
        <v>105</v>
      </c>
      <c r="V710" t="str">
        <f t="shared" si="221"/>
        <v>Food: Coffee</v>
      </c>
      <c r="W710" t="s">
        <v>104</v>
      </c>
      <c r="X710" t="s">
        <v>91</v>
      </c>
      <c r="Y710" s="1">
        <v>331</v>
      </c>
      <c r="Z710" s="1" t="str">
        <f t="shared" si="222"/>
        <v>Food: $331.00</v>
      </c>
      <c r="AA710" s="1">
        <f>IF(Y710="","",ROUND(Y710*'Lookup Values'!$A$2,2))</f>
        <v>29.38</v>
      </c>
      <c r="AB710" s="12" t="str">
        <f t="shared" si="223"/>
        <v>Expense</v>
      </c>
      <c r="AC710" s="2" t="s">
        <v>765</v>
      </c>
      <c r="AD710" s="3">
        <f t="shared" si="224"/>
        <v>39910</v>
      </c>
      <c r="AE710" s="93" t="str">
        <f t="shared" si="225"/>
        <v>NO</v>
      </c>
      <c r="AF710" s="2" t="str">
        <f t="shared" si="226"/>
        <v>NO</v>
      </c>
      <c r="AG710" t="str">
        <f t="shared" si="227"/>
        <v>Awesome Transaction</v>
      </c>
    </row>
    <row r="711" spans="1:33" x14ac:dyDescent="0.25">
      <c r="A711" s="2">
        <v>710</v>
      </c>
      <c r="B711" s="3" t="str">
        <f t="shared" si="209"/>
        <v>110814-IN-LEG</v>
      </c>
      <c r="C711" s="3">
        <v>40769</v>
      </c>
      <c r="D711" s="3">
        <f t="shared" si="211"/>
        <v>40781</v>
      </c>
      <c r="E711" s="3">
        <f t="shared" si="212"/>
        <v>40830</v>
      </c>
      <c r="F711" s="3">
        <f t="shared" si="213"/>
        <v>40786</v>
      </c>
      <c r="G711" s="76">
        <f t="shared" si="214"/>
        <v>2011</v>
      </c>
      <c r="H711" s="76">
        <f t="shared" si="215"/>
        <v>8</v>
      </c>
      <c r="I711" s="76" t="str">
        <f>VLOOKUP(H711,'Lookup Values'!$C$2:$D$13,2,FALSE)</f>
        <v>AUG</v>
      </c>
      <c r="J711" s="76">
        <f t="shared" si="216"/>
        <v>14</v>
      </c>
      <c r="K711" s="76">
        <f t="shared" si="217"/>
        <v>1</v>
      </c>
      <c r="L711" s="76" t="str">
        <f>VLOOKUP(K711,'Lookup Values'!$F$2:$G$8,2,FALSE)</f>
        <v>Sunday</v>
      </c>
      <c r="M711" s="3">
        <v>40779</v>
      </c>
      <c r="N711" s="78">
        <f t="shared" si="210"/>
        <v>10</v>
      </c>
      <c r="O711" s="11">
        <v>0.1196055684325491</v>
      </c>
      <c r="P711" s="94">
        <f t="shared" si="218"/>
        <v>2</v>
      </c>
      <c r="Q711" s="94">
        <f t="shared" si="219"/>
        <v>52</v>
      </c>
      <c r="R711" s="94">
        <f t="shared" si="220"/>
        <v>14</v>
      </c>
      <c r="S711" s="94" t="str">
        <f>VLOOKUP(O711,'Lookup Values'!$I$2:$L$8,4,TRUE)</f>
        <v>Dead of Night</v>
      </c>
      <c r="T711" t="s">
        <v>158</v>
      </c>
      <c r="U711" t="s">
        <v>160</v>
      </c>
      <c r="V711" t="str">
        <f t="shared" si="221"/>
        <v>Income: Freelance Project</v>
      </c>
      <c r="W711" t="s">
        <v>163</v>
      </c>
      <c r="X711" t="s">
        <v>91</v>
      </c>
      <c r="Y711" s="1">
        <v>241</v>
      </c>
      <c r="Z711" s="1" t="str">
        <f t="shared" si="222"/>
        <v>Income: $241.00</v>
      </c>
      <c r="AA711" s="1">
        <f>IF(Y711="","",ROUND(Y711*'Lookup Values'!$A$2,2))</f>
        <v>21.39</v>
      </c>
      <c r="AB711" s="12" t="str">
        <f t="shared" si="223"/>
        <v>Income</v>
      </c>
      <c r="AC711" s="2" t="s">
        <v>766</v>
      </c>
      <c r="AD711" s="3">
        <f t="shared" si="224"/>
        <v>40769</v>
      </c>
      <c r="AE711" s="93" t="str">
        <f t="shared" si="225"/>
        <v>NO</v>
      </c>
      <c r="AF711" s="2" t="str">
        <f t="shared" si="226"/>
        <v>NO</v>
      </c>
      <c r="AG711" t="str">
        <f t="shared" si="227"/>
        <v>CRAP Transaction</v>
      </c>
    </row>
    <row r="712" spans="1:33" x14ac:dyDescent="0.25">
      <c r="A712" s="2">
        <v>711</v>
      </c>
      <c r="B712" s="3" t="str">
        <f t="shared" si="209"/>
        <v>120701-FO-TRA</v>
      </c>
      <c r="C712" s="3">
        <v>41091</v>
      </c>
      <c r="D712" s="3">
        <f t="shared" si="211"/>
        <v>41103</v>
      </c>
      <c r="E712" s="3">
        <f t="shared" si="212"/>
        <v>41153</v>
      </c>
      <c r="F712" s="3">
        <f t="shared" si="213"/>
        <v>41121</v>
      </c>
      <c r="G712" s="76">
        <f t="shared" si="214"/>
        <v>2012</v>
      </c>
      <c r="H712" s="76">
        <f t="shared" si="215"/>
        <v>7</v>
      </c>
      <c r="I712" s="76" t="str">
        <f>VLOOKUP(H712,'Lookup Values'!$C$2:$D$13,2,FALSE)</f>
        <v>JUL</v>
      </c>
      <c r="J712" s="76">
        <f t="shared" si="216"/>
        <v>1</v>
      </c>
      <c r="K712" s="76">
        <f t="shared" si="217"/>
        <v>1</v>
      </c>
      <c r="L712" s="76" t="str">
        <f>VLOOKUP(K712,'Lookup Values'!$F$2:$G$8,2,FALSE)</f>
        <v>Sunday</v>
      </c>
      <c r="M712" s="3">
        <v>41095</v>
      </c>
      <c r="N712" s="78">
        <f t="shared" si="210"/>
        <v>4</v>
      </c>
      <c r="O712" s="11">
        <v>0.47481707285437513</v>
      </c>
      <c r="P712" s="94">
        <f t="shared" si="218"/>
        <v>11</v>
      </c>
      <c r="Q712" s="94">
        <f t="shared" si="219"/>
        <v>23</v>
      </c>
      <c r="R712" s="94">
        <f t="shared" si="220"/>
        <v>44</v>
      </c>
      <c r="S712" s="94" t="str">
        <f>VLOOKUP(O712,'Lookup Values'!$I$2:$L$8,4,TRUE)</f>
        <v>Late Morning</v>
      </c>
      <c r="T712" t="s">
        <v>80</v>
      </c>
      <c r="U712" t="s">
        <v>93</v>
      </c>
      <c r="V712" t="str">
        <f t="shared" si="221"/>
        <v>Food: Groceries</v>
      </c>
      <c r="W712" t="s">
        <v>92</v>
      </c>
      <c r="X712" t="s">
        <v>91</v>
      </c>
      <c r="Y712" s="1">
        <v>286</v>
      </c>
      <c r="Z712" s="1" t="str">
        <f t="shared" si="222"/>
        <v>Food: $286.00</v>
      </c>
      <c r="AA712" s="1">
        <f>IF(Y712="","",ROUND(Y712*'Lookup Values'!$A$2,2))</f>
        <v>25.38</v>
      </c>
      <c r="AB712" s="12" t="str">
        <f t="shared" si="223"/>
        <v>Expense</v>
      </c>
      <c r="AC712" s="2" t="s">
        <v>767</v>
      </c>
      <c r="AD712" s="3">
        <f t="shared" si="224"/>
        <v>41091</v>
      </c>
      <c r="AE712" s="93" t="str">
        <f t="shared" si="225"/>
        <v>NO</v>
      </c>
      <c r="AF712" s="2" t="str">
        <f t="shared" si="226"/>
        <v>NO</v>
      </c>
      <c r="AG712" t="str">
        <f t="shared" si="227"/>
        <v>CRAP Transaction</v>
      </c>
    </row>
    <row r="713" spans="1:33" x14ac:dyDescent="0.25">
      <c r="A713" s="2">
        <v>712</v>
      </c>
      <c r="B713" s="3" t="str">
        <f t="shared" si="209"/>
        <v>090311-FO-BAN</v>
      </c>
      <c r="C713" s="3">
        <v>39883</v>
      </c>
      <c r="D713" s="3">
        <f t="shared" si="211"/>
        <v>39897</v>
      </c>
      <c r="E713" s="3">
        <f t="shared" si="212"/>
        <v>39944</v>
      </c>
      <c r="F713" s="3">
        <f t="shared" si="213"/>
        <v>39903</v>
      </c>
      <c r="G713" s="76">
        <f t="shared" si="214"/>
        <v>2009</v>
      </c>
      <c r="H713" s="76">
        <f t="shared" si="215"/>
        <v>3</v>
      </c>
      <c r="I713" s="76" t="str">
        <f>VLOOKUP(H713,'Lookup Values'!$C$2:$D$13,2,FALSE)</f>
        <v>MAR</v>
      </c>
      <c r="J713" s="76">
        <f t="shared" si="216"/>
        <v>11</v>
      </c>
      <c r="K713" s="76">
        <f t="shared" si="217"/>
        <v>4</v>
      </c>
      <c r="L713" s="76" t="str">
        <f>VLOOKUP(K713,'Lookup Values'!$F$2:$G$8,2,FALSE)</f>
        <v>Wednesday</v>
      </c>
      <c r="M713" s="3">
        <v>39891</v>
      </c>
      <c r="N713" s="78">
        <f t="shared" si="210"/>
        <v>8</v>
      </c>
      <c r="O713" s="11">
        <v>0.48044127083751742</v>
      </c>
      <c r="P713" s="94">
        <f t="shared" si="218"/>
        <v>11</v>
      </c>
      <c r="Q713" s="94">
        <f t="shared" si="219"/>
        <v>31</v>
      </c>
      <c r="R713" s="94">
        <f t="shared" si="220"/>
        <v>50</v>
      </c>
      <c r="S713" s="94" t="str">
        <f>VLOOKUP(O713,'Lookup Values'!$I$2:$L$8,4,TRUE)</f>
        <v>Late Morning</v>
      </c>
      <c r="T713" t="s">
        <v>80</v>
      </c>
      <c r="U713" t="s">
        <v>81</v>
      </c>
      <c r="V713" t="str">
        <f t="shared" si="221"/>
        <v>Food: Restaurants</v>
      </c>
      <c r="W713" t="s">
        <v>79</v>
      </c>
      <c r="X713" t="s">
        <v>91</v>
      </c>
      <c r="Y713" s="1">
        <v>402</v>
      </c>
      <c r="Z713" s="1" t="str">
        <f t="shared" si="222"/>
        <v>Food: $402.00</v>
      </c>
      <c r="AA713" s="1">
        <f>IF(Y713="","",ROUND(Y713*'Lookup Values'!$A$2,2))</f>
        <v>35.68</v>
      </c>
      <c r="AB713" s="12" t="str">
        <f t="shared" si="223"/>
        <v>Expense</v>
      </c>
      <c r="AC713" s="2" t="s">
        <v>768</v>
      </c>
      <c r="AD713" s="3">
        <f t="shared" si="224"/>
        <v>39883</v>
      </c>
      <c r="AE713" s="93" t="str">
        <f t="shared" si="225"/>
        <v>NO</v>
      </c>
      <c r="AF713" s="2" t="str">
        <f t="shared" si="226"/>
        <v>NO</v>
      </c>
      <c r="AG713" t="str">
        <f t="shared" si="227"/>
        <v>Awesome Transaction</v>
      </c>
    </row>
    <row r="714" spans="1:33" x14ac:dyDescent="0.25">
      <c r="A714" s="2">
        <v>713</v>
      </c>
      <c r="B714" s="3" t="str">
        <f t="shared" si="209"/>
        <v>120912-HE-FRE</v>
      </c>
      <c r="C714" s="3">
        <v>41164</v>
      </c>
      <c r="D714" s="3">
        <f t="shared" si="211"/>
        <v>41178</v>
      </c>
      <c r="E714" s="3">
        <f t="shared" si="212"/>
        <v>41225</v>
      </c>
      <c r="F714" s="3">
        <f t="shared" si="213"/>
        <v>41182</v>
      </c>
      <c r="G714" s="76">
        <f t="shared" si="214"/>
        <v>2012</v>
      </c>
      <c r="H714" s="76">
        <f t="shared" si="215"/>
        <v>9</v>
      </c>
      <c r="I714" s="76" t="str">
        <f>VLOOKUP(H714,'Lookup Values'!$C$2:$D$13,2,FALSE)</f>
        <v>SEP</v>
      </c>
      <c r="J714" s="76">
        <f t="shared" si="216"/>
        <v>12</v>
      </c>
      <c r="K714" s="76">
        <f t="shared" si="217"/>
        <v>4</v>
      </c>
      <c r="L714" s="76" t="str">
        <f>VLOOKUP(K714,'Lookup Values'!$F$2:$G$8,2,FALSE)</f>
        <v>Wednesday</v>
      </c>
      <c r="M714" s="3">
        <v>41168</v>
      </c>
      <c r="N714" s="78">
        <f t="shared" si="210"/>
        <v>4</v>
      </c>
      <c r="O714" s="11">
        <v>0.9189776865787902</v>
      </c>
      <c r="P714" s="94">
        <f t="shared" si="218"/>
        <v>22</v>
      </c>
      <c r="Q714" s="94">
        <f t="shared" si="219"/>
        <v>3</v>
      </c>
      <c r="R714" s="94">
        <f t="shared" si="220"/>
        <v>20</v>
      </c>
      <c r="S714" s="94" t="str">
        <f>VLOOKUP(O714,'Lookup Values'!$I$2:$L$8,4,TRUE)</f>
        <v>Late Evening</v>
      </c>
      <c r="T714" t="s">
        <v>107</v>
      </c>
      <c r="U714" t="s">
        <v>108</v>
      </c>
      <c r="V714" t="str">
        <f t="shared" si="221"/>
        <v>Health: Insurance Premium</v>
      </c>
      <c r="W714" t="s">
        <v>106</v>
      </c>
      <c r="X714" t="s">
        <v>88</v>
      </c>
      <c r="Y714" s="1">
        <v>205</v>
      </c>
      <c r="Z714" s="1" t="str">
        <f t="shared" si="222"/>
        <v>Health: $205.00</v>
      </c>
      <c r="AA714" s="1">
        <f>IF(Y714="","",ROUND(Y714*'Lookup Values'!$A$2,2))</f>
        <v>18.190000000000001</v>
      </c>
      <c r="AB714" s="12" t="str">
        <f t="shared" si="223"/>
        <v>Expense</v>
      </c>
      <c r="AC714" s="2" t="s">
        <v>769</v>
      </c>
      <c r="AD714" s="3">
        <f t="shared" si="224"/>
        <v>41164</v>
      </c>
      <c r="AE714" s="93" t="str">
        <f t="shared" si="225"/>
        <v>NO</v>
      </c>
      <c r="AF714" s="2" t="str">
        <f t="shared" si="226"/>
        <v>NO</v>
      </c>
      <c r="AG714" t="str">
        <f t="shared" si="227"/>
        <v>CRAP Transaction</v>
      </c>
    </row>
    <row r="715" spans="1:33" x14ac:dyDescent="0.25">
      <c r="A715" s="2">
        <v>714</v>
      </c>
      <c r="B715" s="3" t="str">
        <f t="shared" si="209"/>
        <v>070428-TR-MTA</v>
      </c>
      <c r="C715" s="3">
        <v>39200</v>
      </c>
      <c r="D715" s="3">
        <f t="shared" si="211"/>
        <v>39213</v>
      </c>
      <c r="E715" s="3">
        <f t="shared" si="212"/>
        <v>39261</v>
      </c>
      <c r="F715" s="3">
        <f t="shared" si="213"/>
        <v>39202</v>
      </c>
      <c r="G715" s="76">
        <f t="shared" si="214"/>
        <v>2007</v>
      </c>
      <c r="H715" s="76">
        <f t="shared" si="215"/>
        <v>4</v>
      </c>
      <c r="I715" s="76" t="str">
        <f>VLOOKUP(H715,'Lookup Values'!$C$2:$D$13,2,FALSE)</f>
        <v>APR</v>
      </c>
      <c r="J715" s="76">
        <f t="shared" si="216"/>
        <v>28</v>
      </c>
      <c r="K715" s="76">
        <f t="shared" si="217"/>
        <v>7</v>
      </c>
      <c r="L715" s="76" t="str">
        <f>VLOOKUP(K715,'Lookup Values'!$F$2:$G$8,2,FALSE)</f>
        <v>Saturday</v>
      </c>
      <c r="M715" s="3">
        <v>39204</v>
      </c>
      <c r="N715" s="78">
        <f t="shared" si="210"/>
        <v>4</v>
      </c>
      <c r="O715" s="11">
        <v>2.2924052514827542E-2</v>
      </c>
      <c r="P715" s="94">
        <f t="shared" si="218"/>
        <v>0</v>
      </c>
      <c r="Q715" s="94">
        <f t="shared" si="219"/>
        <v>33</v>
      </c>
      <c r="R715" s="94">
        <f t="shared" si="220"/>
        <v>1</v>
      </c>
      <c r="S715" s="94" t="str">
        <f>VLOOKUP(O715,'Lookup Values'!$I$2:$L$8,4,TRUE)</f>
        <v>Dead of Night</v>
      </c>
      <c r="T715" t="s">
        <v>95</v>
      </c>
      <c r="U715" t="s">
        <v>96</v>
      </c>
      <c r="V715" t="str">
        <f t="shared" si="221"/>
        <v>Transportation: Subway</v>
      </c>
      <c r="W715" t="s">
        <v>94</v>
      </c>
      <c r="X715" t="s">
        <v>88</v>
      </c>
      <c r="Y715" s="1">
        <v>350</v>
      </c>
      <c r="Z715" s="1" t="str">
        <f t="shared" si="222"/>
        <v>Transportation: $350.00</v>
      </c>
      <c r="AA715" s="1">
        <f>IF(Y715="","",ROUND(Y715*'Lookup Values'!$A$2,2))</f>
        <v>31.06</v>
      </c>
      <c r="AB715" s="12" t="str">
        <f t="shared" si="223"/>
        <v>Expense</v>
      </c>
      <c r="AC715" s="2" t="s">
        <v>770</v>
      </c>
      <c r="AD715" s="3">
        <f t="shared" si="224"/>
        <v>39200</v>
      </c>
      <c r="AE715" s="93" t="str">
        <f t="shared" si="225"/>
        <v>YES</v>
      </c>
      <c r="AF715" s="2" t="str">
        <f t="shared" si="226"/>
        <v>NO</v>
      </c>
      <c r="AG715" t="str">
        <f t="shared" si="227"/>
        <v>Late Transaction</v>
      </c>
    </row>
    <row r="716" spans="1:33" x14ac:dyDescent="0.25">
      <c r="A716" s="2">
        <v>715</v>
      </c>
      <c r="B716" s="3" t="str">
        <f t="shared" si="209"/>
        <v>090717-FO-TRA</v>
      </c>
      <c r="C716" s="3">
        <v>40011</v>
      </c>
      <c r="D716" s="3">
        <f t="shared" si="211"/>
        <v>40025</v>
      </c>
      <c r="E716" s="3">
        <f t="shared" si="212"/>
        <v>40073</v>
      </c>
      <c r="F716" s="3">
        <f t="shared" si="213"/>
        <v>40025</v>
      </c>
      <c r="G716" s="76">
        <f t="shared" si="214"/>
        <v>2009</v>
      </c>
      <c r="H716" s="76">
        <f t="shared" si="215"/>
        <v>7</v>
      </c>
      <c r="I716" s="76" t="str">
        <f>VLOOKUP(H716,'Lookup Values'!$C$2:$D$13,2,FALSE)</f>
        <v>JUL</v>
      </c>
      <c r="J716" s="76">
        <f t="shared" si="216"/>
        <v>17</v>
      </c>
      <c r="K716" s="76">
        <f t="shared" si="217"/>
        <v>6</v>
      </c>
      <c r="L716" s="76" t="str">
        <f>VLOOKUP(K716,'Lookup Values'!$F$2:$G$8,2,FALSE)</f>
        <v>Friday</v>
      </c>
      <c r="M716" s="3">
        <v>40014</v>
      </c>
      <c r="N716" s="78">
        <f t="shared" si="210"/>
        <v>3</v>
      </c>
      <c r="O716" s="11">
        <v>0.24989781475546413</v>
      </c>
      <c r="P716" s="94">
        <f t="shared" si="218"/>
        <v>5</v>
      </c>
      <c r="Q716" s="94">
        <f t="shared" si="219"/>
        <v>59</v>
      </c>
      <c r="R716" s="94">
        <f t="shared" si="220"/>
        <v>51</v>
      </c>
      <c r="S716" s="94" t="str">
        <f>VLOOKUP(O716,'Lookup Values'!$I$2:$L$8,4,TRUE)</f>
        <v>Early Morning</v>
      </c>
      <c r="T716" t="s">
        <v>80</v>
      </c>
      <c r="U716" t="s">
        <v>93</v>
      </c>
      <c r="V716" t="str">
        <f t="shared" si="221"/>
        <v>Food: Groceries</v>
      </c>
      <c r="W716" t="s">
        <v>92</v>
      </c>
      <c r="X716" t="s">
        <v>88</v>
      </c>
      <c r="Y716" s="1">
        <v>398</v>
      </c>
      <c r="Z716" s="1" t="str">
        <f t="shared" si="222"/>
        <v>Food: $398.00</v>
      </c>
      <c r="AA716" s="1">
        <f>IF(Y716="","",ROUND(Y716*'Lookup Values'!$A$2,2))</f>
        <v>35.32</v>
      </c>
      <c r="AB716" s="12" t="str">
        <f t="shared" si="223"/>
        <v>Expense</v>
      </c>
      <c r="AC716" s="2" t="s">
        <v>771</v>
      </c>
      <c r="AD716" s="3">
        <f t="shared" si="224"/>
        <v>40011</v>
      </c>
      <c r="AE716" s="93" t="str">
        <f t="shared" si="225"/>
        <v>NO</v>
      </c>
      <c r="AF716" s="2" t="str">
        <f t="shared" si="226"/>
        <v>NO</v>
      </c>
      <c r="AG716" t="str">
        <f t="shared" si="227"/>
        <v>Awesome Transaction</v>
      </c>
    </row>
    <row r="717" spans="1:33" x14ac:dyDescent="0.25">
      <c r="A717" s="2">
        <v>716</v>
      </c>
      <c r="B717" s="3" t="str">
        <f t="shared" si="209"/>
        <v>070606-SH-EXP</v>
      </c>
      <c r="C717" s="3">
        <v>39239</v>
      </c>
      <c r="D717" s="3">
        <f t="shared" si="211"/>
        <v>39253</v>
      </c>
      <c r="E717" s="3">
        <f t="shared" si="212"/>
        <v>39300</v>
      </c>
      <c r="F717" s="3">
        <f t="shared" si="213"/>
        <v>39263</v>
      </c>
      <c r="G717" s="76">
        <f t="shared" si="214"/>
        <v>2007</v>
      </c>
      <c r="H717" s="76">
        <f t="shared" si="215"/>
        <v>6</v>
      </c>
      <c r="I717" s="76" t="str">
        <f>VLOOKUP(H717,'Lookup Values'!$C$2:$D$13,2,FALSE)</f>
        <v>JUN</v>
      </c>
      <c r="J717" s="76">
        <f t="shared" si="216"/>
        <v>6</v>
      </c>
      <c r="K717" s="76">
        <f t="shared" si="217"/>
        <v>4</v>
      </c>
      <c r="L717" s="76" t="str">
        <f>VLOOKUP(K717,'Lookup Values'!$F$2:$G$8,2,FALSE)</f>
        <v>Wednesday</v>
      </c>
      <c r="M717" s="3">
        <v>39246</v>
      </c>
      <c r="N717" s="78">
        <f t="shared" si="210"/>
        <v>7</v>
      </c>
      <c r="O717" s="11">
        <v>0.27443926878556868</v>
      </c>
      <c r="P717" s="94">
        <f t="shared" si="218"/>
        <v>6</v>
      </c>
      <c r="Q717" s="94">
        <f t="shared" si="219"/>
        <v>35</v>
      </c>
      <c r="R717" s="94">
        <f t="shared" si="220"/>
        <v>12</v>
      </c>
      <c r="S717" s="94" t="str">
        <f>VLOOKUP(O717,'Lookup Values'!$I$2:$L$8,4,TRUE)</f>
        <v>Early Morning</v>
      </c>
      <c r="T717" t="s">
        <v>83</v>
      </c>
      <c r="U717" t="s">
        <v>103</v>
      </c>
      <c r="V717" t="str">
        <f t="shared" si="221"/>
        <v>Shopping: Clothing</v>
      </c>
      <c r="W717" t="s">
        <v>102</v>
      </c>
      <c r="X717" t="s">
        <v>88</v>
      </c>
      <c r="Y717" s="1">
        <v>285</v>
      </c>
      <c r="Z717" s="1" t="str">
        <f t="shared" si="222"/>
        <v>Shopping: $285.00</v>
      </c>
      <c r="AA717" s="1">
        <f>IF(Y717="","",ROUND(Y717*'Lookup Values'!$A$2,2))</f>
        <v>25.29</v>
      </c>
      <c r="AB717" s="12" t="str">
        <f t="shared" si="223"/>
        <v>Expense</v>
      </c>
      <c r="AC717" s="2" t="s">
        <v>772</v>
      </c>
      <c r="AD717" s="3">
        <f t="shared" si="224"/>
        <v>39239</v>
      </c>
      <c r="AE717" s="93" t="str">
        <f t="shared" si="225"/>
        <v>NO</v>
      </c>
      <c r="AF717" s="2" t="str">
        <f t="shared" si="226"/>
        <v>NO</v>
      </c>
      <c r="AG717" t="str">
        <f t="shared" si="227"/>
        <v>Awesome Transaction</v>
      </c>
    </row>
    <row r="718" spans="1:33" x14ac:dyDescent="0.25">
      <c r="A718" s="2">
        <v>717</v>
      </c>
      <c r="B718" s="3" t="str">
        <f t="shared" si="209"/>
        <v>070930-SH-EXP</v>
      </c>
      <c r="C718" s="3">
        <v>39355</v>
      </c>
      <c r="D718" s="3">
        <f t="shared" si="211"/>
        <v>39367</v>
      </c>
      <c r="E718" s="3">
        <f t="shared" si="212"/>
        <v>39416</v>
      </c>
      <c r="F718" s="3">
        <f t="shared" si="213"/>
        <v>39355</v>
      </c>
      <c r="G718" s="76">
        <f t="shared" si="214"/>
        <v>2007</v>
      </c>
      <c r="H718" s="76">
        <f t="shared" si="215"/>
        <v>9</v>
      </c>
      <c r="I718" s="76" t="str">
        <f>VLOOKUP(H718,'Lookup Values'!$C$2:$D$13,2,FALSE)</f>
        <v>SEP</v>
      </c>
      <c r="J718" s="76">
        <f t="shared" si="216"/>
        <v>30</v>
      </c>
      <c r="K718" s="76">
        <f t="shared" si="217"/>
        <v>1</v>
      </c>
      <c r="L718" s="76" t="str">
        <f>VLOOKUP(K718,'Lookup Values'!$F$2:$G$8,2,FALSE)</f>
        <v>Sunday</v>
      </c>
      <c r="M718" s="3">
        <v>39358</v>
      </c>
      <c r="N718" s="78">
        <f t="shared" si="210"/>
        <v>3</v>
      </c>
      <c r="O718" s="11">
        <v>0.25007366783292562</v>
      </c>
      <c r="P718" s="94">
        <f t="shared" si="218"/>
        <v>6</v>
      </c>
      <c r="Q718" s="94">
        <f t="shared" si="219"/>
        <v>0</v>
      </c>
      <c r="R718" s="94">
        <f t="shared" si="220"/>
        <v>6</v>
      </c>
      <c r="S718" s="94" t="str">
        <f>VLOOKUP(O718,'Lookup Values'!$I$2:$L$8,4,TRUE)</f>
        <v>Early Morning</v>
      </c>
      <c r="T718" t="s">
        <v>83</v>
      </c>
      <c r="U718" t="s">
        <v>103</v>
      </c>
      <c r="V718" t="str">
        <f t="shared" si="221"/>
        <v>Shopping: Clothing</v>
      </c>
      <c r="W718" t="s">
        <v>102</v>
      </c>
      <c r="X718" t="s">
        <v>91</v>
      </c>
      <c r="Y718" s="1">
        <v>250</v>
      </c>
      <c r="Z718" s="1" t="str">
        <f t="shared" si="222"/>
        <v>Shopping: $250.00</v>
      </c>
      <c r="AA718" s="1">
        <f>IF(Y718="","",ROUND(Y718*'Lookup Values'!$A$2,2))</f>
        <v>22.19</v>
      </c>
      <c r="AB718" s="12" t="str">
        <f t="shared" si="223"/>
        <v>Expense</v>
      </c>
      <c r="AC718" s="2" t="s">
        <v>773</v>
      </c>
      <c r="AD718" s="3">
        <f t="shared" si="224"/>
        <v>39355</v>
      </c>
      <c r="AE718" s="93" t="str">
        <f t="shared" si="225"/>
        <v>NO</v>
      </c>
      <c r="AF718" s="2" t="str">
        <f t="shared" si="226"/>
        <v>NO</v>
      </c>
      <c r="AG718" t="str">
        <f t="shared" si="227"/>
        <v>Awesome Transaction</v>
      </c>
    </row>
    <row r="719" spans="1:33" x14ac:dyDescent="0.25">
      <c r="A719" s="2">
        <v>718</v>
      </c>
      <c r="B719" s="3" t="str">
        <f t="shared" si="209"/>
        <v>080307-IN-EZE</v>
      </c>
      <c r="C719" s="3">
        <v>39514</v>
      </c>
      <c r="D719" s="3">
        <f t="shared" si="211"/>
        <v>39528</v>
      </c>
      <c r="E719" s="3">
        <f t="shared" si="212"/>
        <v>39575</v>
      </c>
      <c r="F719" s="3">
        <f t="shared" si="213"/>
        <v>39538</v>
      </c>
      <c r="G719" s="76">
        <f t="shared" si="214"/>
        <v>2008</v>
      </c>
      <c r="H719" s="76">
        <f t="shared" si="215"/>
        <v>3</v>
      </c>
      <c r="I719" s="76" t="str">
        <f>VLOOKUP(H719,'Lookup Values'!$C$2:$D$13,2,FALSE)</f>
        <v>MAR</v>
      </c>
      <c r="J719" s="76">
        <f t="shared" si="216"/>
        <v>7</v>
      </c>
      <c r="K719" s="76">
        <f t="shared" si="217"/>
        <v>6</v>
      </c>
      <c r="L719" s="76" t="str">
        <f>VLOOKUP(K719,'Lookup Values'!$F$2:$G$8,2,FALSE)</f>
        <v>Friday</v>
      </c>
      <c r="M719" s="3">
        <v>39522</v>
      </c>
      <c r="N719" s="78">
        <f t="shared" si="210"/>
        <v>8</v>
      </c>
      <c r="O719" s="11">
        <v>0.58163095855212321</v>
      </c>
      <c r="P719" s="94">
        <f t="shared" si="218"/>
        <v>13</v>
      </c>
      <c r="Q719" s="94">
        <f t="shared" si="219"/>
        <v>57</v>
      </c>
      <c r="R719" s="94">
        <f t="shared" si="220"/>
        <v>33</v>
      </c>
      <c r="S719" s="94" t="str">
        <f>VLOOKUP(O719,'Lookup Values'!$I$2:$L$8,4,TRUE)</f>
        <v>Afternoon</v>
      </c>
      <c r="T719" t="s">
        <v>158</v>
      </c>
      <c r="U719" t="s">
        <v>159</v>
      </c>
      <c r="V719" t="str">
        <f t="shared" si="221"/>
        <v>Income: Salary</v>
      </c>
      <c r="W719" t="s">
        <v>162</v>
      </c>
      <c r="X719" t="s">
        <v>78</v>
      </c>
      <c r="Y719" s="1">
        <v>309</v>
      </c>
      <c r="Z719" s="1" t="str">
        <f t="shared" si="222"/>
        <v>Income: $309.00</v>
      </c>
      <c r="AA719" s="1">
        <f>IF(Y719="","",ROUND(Y719*'Lookup Values'!$A$2,2))</f>
        <v>27.42</v>
      </c>
      <c r="AB719" s="12" t="str">
        <f t="shared" si="223"/>
        <v>Income</v>
      </c>
      <c r="AC719" s="2" t="s">
        <v>774</v>
      </c>
      <c r="AD719" s="3">
        <f t="shared" si="224"/>
        <v>39514</v>
      </c>
      <c r="AE719" s="93" t="str">
        <f t="shared" si="225"/>
        <v>NO</v>
      </c>
      <c r="AF719" s="2" t="str">
        <f t="shared" si="226"/>
        <v>NO</v>
      </c>
      <c r="AG719" t="str">
        <f t="shared" si="227"/>
        <v>Late Transaction</v>
      </c>
    </row>
    <row r="720" spans="1:33" x14ac:dyDescent="0.25">
      <c r="A720" s="2">
        <v>719</v>
      </c>
      <c r="B720" s="3" t="str">
        <f t="shared" si="209"/>
        <v>070227-TR-MTA</v>
      </c>
      <c r="C720" s="3">
        <v>39140</v>
      </c>
      <c r="D720" s="3">
        <f t="shared" si="211"/>
        <v>39154</v>
      </c>
      <c r="E720" s="3">
        <f t="shared" si="212"/>
        <v>39199</v>
      </c>
      <c r="F720" s="3">
        <f t="shared" si="213"/>
        <v>39141</v>
      </c>
      <c r="G720" s="76">
        <f t="shared" si="214"/>
        <v>2007</v>
      </c>
      <c r="H720" s="76">
        <f t="shared" si="215"/>
        <v>2</v>
      </c>
      <c r="I720" s="76" t="str">
        <f>VLOOKUP(H720,'Lookup Values'!$C$2:$D$13,2,FALSE)</f>
        <v>FEB</v>
      </c>
      <c r="J720" s="76">
        <f t="shared" si="216"/>
        <v>27</v>
      </c>
      <c r="K720" s="76">
        <f t="shared" si="217"/>
        <v>3</v>
      </c>
      <c r="L720" s="76" t="str">
        <f>VLOOKUP(K720,'Lookup Values'!$F$2:$G$8,2,FALSE)</f>
        <v>Tuesday</v>
      </c>
      <c r="M720" s="3">
        <v>39148</v>
      </c>
      <c r="N720" s="78">
        <f t="shared" si="210"/>
        <v>8</v>
      </c>
      <c r="O720" s="11">
        <v>0.31889274471672091</v>
      </c>
      <c r="P720" s="94">
        <f t="shared" si="218"/>
        <v>7</v>
      </c>
      <c r="Q720" s="94">
        <f t="shared" si="219"/>
        <v>39</v>
      </c>
      <c r="R720" s="94">
        <f t="shared" si="220"/>
        <v>12</v>
      </c>
      <c r="S720" s="94" t="str">
        <f>VLOOKUP(O720,'Lookup Values'!$I$2:$L$8,4,TRUE)</f>
        <v>Morning</v>
      </c>
      <c r="T720" t="s">
        <v>95</v>
      </c>
      <c r="U720" t="s">
        <v>96</v>
      </c>
      <c r="V720" t="str">
        <f t="shared" si="221"/>
        <v>Transportation: Subway</v>
      </c>
      <c r="W720" t="s">
        <v>94</v>
      </c>
      <c r="X720" t="s">
        <v>78</v>
      </c>
      <c r="Y720" s="1">
        <v>475</v>
      </c>
      <c r="Z720" s="1" t="str">
        <f t="shared" si="222"/>
        <v>Transportation: $475.00</v>
      </c>
      <c r="AA720" s="1">
        <f>IF(Y720="","",ROUND(Y720*'Lookup Values'!$A$2,2))</f>
        <v>42.16</v>
      </c>
      <c r="AB720" s="12" t="str">
        <f t="shared" si="223"/>
        <v>Expense</v>
      </c>
      <c r="AC720" s="2" t="s">
        <v>347</v>
      </c>
      <c r="AD720" s="3">
        <f t="shared" si="224"/>
        <v>39140</v>
      </c>
      <c r="AE720" s="93" t="str">
        <f t="shared" si="225"/>
        <v>YES</v>
      </c>
      <c r="AF720" s="2" t="str">
        <f t="shared" si="226"/>
        <v>YES</v>
      </c>
      <c r="AG720" t="str">
        <f t="shared" si="227"/>
        <v>Late Transaction</v>
      </c>
    </row>
    <row r="721" spans="1:33" x14ac:dyDescent="0.25">
      <c r="A721" s="2">
        <v>720</v>
      </c>
      <c r="B721" s="3" t="str">
        <f t="shared" si="209"/>
        <v>120610-ED-SKI</v>
      </c>
      <c r="C721" s="3">
        <v>41070</v>
      </c>
      <c r="D721" s="3">
        <f t="shared" si="211"/>
        <v>41082</v>
      </c>
      <c r="E721" s="3">
        <f t="shared" si="212"/>
        <v>41131</v>
      </c>
      <c r="F721" s="3">
        <f t="shared" si="213"/>
        <v>41090</v>
      </c>
      <c r="G721" s="76">
        <f t="shared" si="214"/>
        <v>2012</v>
      </c>
      <c r="H721" s="76">
        <f t="shared" si="215"/>
        <v>6</v>
      </c>
      <c r="I721" s="76" t="str">
        <f>VLOOKUP(H721,'Lookup Values'!$C$2:$D$13,2,FALSE)</f>
        <v>JUN</v>
      </c>
      <c r="J721" s="76">
        <f t="shared" si="216"/>
        <v>10</v>
      </c>
      <c r="K721" s="76">
        <f t="shared" si="217"/>
        <v>1</v>
      </c>
      <c r="L721" s="76" t="str">
        <f>VLOOKUP(K721,'Lookup Values'!$F$2:$G$8,2,FALSE)</f>
        <v>Sunday</v>
      </c>
      <c r="M721" s="3">
        <v>41076</v>
      </c>
      <c r="N721" s="78">
        <f t="shared" si="210"/>
        <v>6</v>
      </c>
      <c r="O721" s="11">
        <v>0.45619283991765203</v>
      </c>
      <c r="P721" s="94">
        <f t="shared" si="218"/>
        <v>10</v>
      </c>
      <c r="Q721" s="94">
        <f t="shared" si="219"/>
        <v>56</v>
      </c>
      <c r="R721" s="94">
        <f t="shared" si="220"/>
        <v>55</v>
      </c>
      <c r="S721" s="94" t="str">
        <f>VLOOKUP(O721,'Lookup Values'!$I$2:$L$8,4,TRUE)</f>
        <v>Late Morning</v>
      </c>
      <c r="T721" t="s">
        <v>86</v>
      </c>
      <c r="U721" t="s">
        <v>98</v>
      </c>
      <c r="V721" t="str">
        <f t="shared" si="221"/>
        <v>Education: Professional Development</v>
      </c>
      <c r="W721" t="s">
        <v>97</v>
      </c>
      <c r="X721" t="s">
        <v>88</v>
      </c>
      <c r="Y721" s="1">
        <v>169</v>
      </c>
      <c r="Z721" s="1" t="str">
        <f t="shared" si="222"/>
        <v>Education: $169.00</v>
      </c>
      <c r="AA721" s="1">
        <f>IF(Y721="","",ROUND(Y721*'Lookup Values'!$A$2,2))</f>
        <v>15</v>
      </c>
      <c r="AB721" s="12" t="str">
        <f t="shared" si="223"/>
        <v>Expense</v>
      </c>
      <c r="AC721" s="2" t="s">
        <v>775</v>
      </c>
      <c r="AD721" s="3">
        <f t="shared" si="224"/>
        <v>41070</v>
      </c>
      <c r="AE721" s="93" t="str">
        <f t="shared" si="225"/>
        <v>YES</v>
      </c>
      <c r="AF721" s="2" t="str">
        <f t="shared" si="226"/>
        <v>NO</v>
      </c>
      <c r="AG721" t="str">
        <f t="shared" si="227"/>
        <v>CRAP Transaction</v>
      </c>
    </row>
    <row r="722" spans="1:33" x14ac:dyDescent="0.25">
      <c r="A722" s="2">
        <v>721</v>
      </c>
      <c r="B722" s="3" t="str">
        <f t="shared" si="209"/>
        <v>080819-EN-FAN</v>
      </c>
      <c r="C722" s="3">
        <v>39679</v>
      </c>
      <c r="D722" s="3">
        <f t="shared" si="211"/>
        <v>39693</v>
      </c>
      <c r="E722" s="3">
        <f t="shared" si="212"/>
        <v>39740</v>
      </c>
      <c r="F722" s="3">
        <f t="shared" si="213"/>
        <v>39691</v>
      </c>
      <c r="G722" s="76">
        <f t="shared" si="214"/>
        <v>2008</v>
      </c>
      <c r="H722" s="76">
        <f t="shared" si="215"/>
        <v>8</v>
      </c>
      <c r="I722" s="76" t="str">
        <f>VLOOKUP(H722,'Lookup Values'!$C$2:$D$13,2,FALSE)</f>
        <v>AUG</v>
      </c>
      <c r="J722" s="76">
        <f t="shared" si="216"/>
        <v>19</v>
      </c>
      <c r="K722" s="76">
        <f t="shared" si="217"/>
        <v>3</v>
      </c>
      <c r="L722" s="76" t="str">
        <f>VLOOKUP(K722,'Lookup Values'!$F$2:$G$8,2,FALSE)</f>
        <v>Tuesday</v>
      </c>
      <c r="M722" s="3">
        <v>39685</v>
      </c>
      <c r="N722" s="78">
        <f t="shared" si="210"/>
        <v>6</v>
      </c>
      <c r="O722" s="11">
        <v>0.52579250259819987</v>
      </c>
      <c r="P722" s="94">
        <f t="shared" si="218"/>
        <v>12</v>
      </c>
      <c r="Q722" s="94">
        <f t="shared" si="219"/>
        <v>37</v>
      </c>
      <c r="R722" s="94">
        <f t="shared" si="220"/>
        <v>8</v>
      </c>
      <c r="S722" s="94" t="str">
        <f>VLOOKUP(O722,'Lookup Values'!$I$2:$L$8,4,TRUE)</f>
        <v>Afternoon</v>
      </c>
      <c r="T722" t="s">
        <v>76</v>
      </c>
      <c r="U722" t="s">
        <v>90</v>
      </c>
      <c r="V722" t="str">
        <f t="shared" si="221"/>
        <v>Entertainment: Movies</v>
      </c>
      <c r="W722" t="s">
        <v>89</v>
      </c>
      <c r="X722" t="s">
        <v>78</v>
      </c>
      <c r="Y722" s="1">
        <v>245</v>
      </c>
      <c r="Z722" s="1" t="str">
        <f t="shared" si="222"/>
        <v>Entertainment: $245.00</v>
      </c>
      <c r="AA722" s="1">
        <f>IF(Y722="","",ROUND(Y722*'Lookup Values'!$A$2,2))</f>
        <v>21.74</v>
      </c>
      <c r="AB722" s="12" t="str">
        <f t="shared" si="223"/>
        <v>Expense</v>
      </c>
      <c r="AC722" s="2" t="s">
        <v>776</v>
      </c>
      <c r="AD722" s="3">
        <f t="shared" si="224"/>
        <v>39679</v>
      </c>
      <c r="AE722" s="93" t="str">
        <f t="shared" si="225"/>
        <v>NO</v>
      </c>
      <c r="AF722" s="2" t="str">
        <f t="shared" si="226"/>
        <v>NO</v>
      </c>
      <c r="AG722" t="str">
        <f t="shared" si="227"/>
        <v>Awesome Transaction</v>
      </c>
    </row>
    <row r="723" spans="1:33" x14ac:dyDescent="0.25">
      <c r="A723" s="2">
        <v>722</v>
      </c>
      <c r="B723" s="3" t="str">
        <f t="shared" si="209"/>
        <v>090813-HO-BED</v>
      </c>
      <c r="C723" s="3">
        <v>40038</v>
      </c>
      <c r="D723" s="3">
        <f t="shared" si="211"/>
        <v>40052</v>
      </c>
      <c r="E723" s="3">
        <f t="shared" si="212"/>
        <v>40099</v>
      </c>
      <c r="F723" s="3">
        <f t="shared" si="213"/>
        <v>40056</v>
      </c>
      <c r="G723" s="76">
        <f t="shared" si="214"/>
        <v>2009</v>
      </c>
      <c r="H723" s="76">
        <f t="shared" si="215"/>
        <v>8</v>
      </c>
      <c r="I723" s="76" t="str">
        <f>VLOOKUP(H723,'Lookup Values'!$C$2:$D$13,2,FALSE)</f>
        <v>AUG</v>
      </c>
      <c r="J723" s="76">
        <f t="shared" si="216"/>
        <v>13</v>
      </c>
      <c r="K723" s="76">
        <f t="shared" si="217"/>
        <v>5</v>
      </c>
      <c r="L723" s="76" t="str">
        <f>VLOOKUP(K723,'Lookup Values'!$F$2:$G$8,2,FALSE)</f>
        <v>Thursday</v>
      </c>
      <c r="M723" s="3">
        <v>40048</v>
      </c>
      <c r="N723" s="78">
        <f t="shared" si="210"/>
        <v>10</v>
      </c>
      <c r="O723" s="11">
        <v>0.6780203165832509</v>
      </c>
      <c r="P723" s="94">
        <f t="shared" si="218"/>
        <v>16</v>
      </c>
      <c r="Q723" s="94">
        <f t="shared" si="219"/>
        <v>16</v>
      </c>
      <c r="R723" s="94">
        <f t="shared" si="220"/>
        <v>21</v>
      </c>
      <c r="S723" s="94" t="str">
        <f>VLOOKUP(O723,'Lookup Values'!$I$2:$L$8,4,TRUE)</f>
        <v>Afternoon</v>
      </c>
      <c r="T723" t="s">
        <v>100</v>
      </c>
      <c r="U723" t="s">
        <v>101</v>
      </c>
      <c r="V723" t="str">
        <f t="shared" si="221"/>
        <v>Home: Cleaning Supplies</v>
      </c>
      <c r="W723" t="s">
        <v>99</v>
      </c>
      <c r="X723" t="s">
        <v>91</v>
      </c>
      <c r="Y723" s="1">
        <v>141</v>
      </c>
      <c r="Z723" s="1" t="str">
        <f t="shared" si="222"/>
        <v>Home: $141.00</v>
      </c>
      <c r="AA723" s="1">
        <f>IF(Y723="","",ROUND(Y723*'Lookup Values'!$A$2,2))</f>
        <v>12.51</v>
      </c>
      <c r="AB723" s="12" t="str">
        <f t="shared" si="223"/>
        <v>Expense</v>
      </c>
      <c r="AC723" s="2" t="s">
        <v>777</v>
      </c>
      <c r="AD723" s="3">
        <f t="shared" si="224"/>
        <v>40038</v>
      </c>
      <c r="AE723" s="93" t="str">
        <f t="shared" si="225"/>
        <v>NO</v>
      </c>
      <c r="AF723" s="2" t="str">
        <f t="shared" si="226"/>
        <v>NO</v>
      </c>
      <c r="AG723" t="str">
        <f t="shared" si="227"/>
        <v>Late Transaction</v>
      </c>
    </row>
    <row r="724" spans="1:33" x14ac:dyDescent="0.25">
      <c r="A724" s="2">
        <v>723</v>
      </c>
      <c r="B724" s="3" t="str">
        <f t="shared" si="209"/>
        <v>090523-IN-EZE</v>
      </c>
      <c r="C724" s="3">
        <v>39956</v>
      </c>
      <c r="D724" s="3">
        <f t="shared" si="211"/>
        <v>39969</v>
      </c>
      <c r="E724" s="3">
        <f t="shared" si="212"/>
        <v>40017</v>
      </c>
      <c r="F724" s="3">
        <f t="shared" si="213"/>
        <v>39964</v>
      </c>
      <c r="G724" s="76">
        <f t="shared" si="214"/>
        <v>2009</v>
      </c>
      <c r="H724" s="76">
        <f t="shared" si="215"/>
        <v>5</v>
      </c>
      <c r="I724" s="76" t="str">
        <f>VLOOKUP(H724,'Lookup Values'!$C$2:$D$13,2,FALSE)</f>
        <v>MAY</v>
      </c>
      <c r="J724" s="76">
        <f t="shared" si="216"/>
        <v>23</v>
      </c>
      <c r="K724" s="76">
        <f t="shared" si="217"/>
        <v>7</v>
      </c>
      <c r="L724" s="76" t="str">
        <f>VLOOKUP(K724,'Lookup Values'!$F$2:$G$8,2,FALSE)</f>
        <v>Saturday</v>
      </c>
      <c r="M724" s="3">
        <v>39959</v>
      </c>
      <c r="N724" s="78">
        <f t="shared" si="210"/>
        <v>3</v>
      </c>
      <c r="O724" s="11">
        <v>0.86063654039902504</v>
      </c>
      <c r="P724" s="94">
        <f t="shared" si="218"/>
        <v>20</v>
      </c>
      <c r="Q724" s="94">
        <f t="shared" si="219"/>
        <v>39</v>
      </c>
      <c r="R724" s="94">
        <f t="shared" si="220"/>
        <v>19</v>
      </c>
      <c r="S724" s="94" t="str">
        <f>VLOOKUP(O724,'Lookup Values'!$I$2:$L$8,4,TRUE)</f>
        <v>Evening</v>
      </c>
      <c r="T724" t="s">
        <v>158</v>
      </c>
      <c r="U724" t="s">
        <v>159</v>
      </c>
      <c r="V724" t="str">
        <f t="shared" si="221"/>
        <v>Income: Salary</v>
      </c>
      <c r="W724" t="s">
        <v>162</v>
      </c>
      <c r="X724" t="s">
        <v>88</v>
      </c>
      <c r="Y724" s="1">
        <v>132</v>
      </c>
      <c r="Z724" s="1" t="str">
        <f t="shared" si="222"/>
        <v>Income: $132.00</v>
      </c>
      <c r="AA724" s="1">
        <f>IF(Y724="","",ROUND(Y724*'Lookup Values'!$A$2,2))</f>
        <v>11.72</v>
      </c>
      <c r="AB724" s="12" t="str">
        <f t="shared" si="223"/>
        <v>Income</v>
      </c>
      <c r="AC724" s="2" t="s">
        <v>778</v>
      </c>
      <c r="AD724" s="3">
        <f t="shared" si="224"/>
        <v>39956</v>
      </c>
      <c r="AE724" s="93" t="str">
        <f t="shared" si="225"/>
        <v>NO</v>
      </c>
      <c r="AF724" s="2" t="str">
        <f t="shared" si="226"/>
        <v>NO</v>
      </c>
      <c r="AG724" t="str">
        <f t="shared" si="227"/>
        <v>Late Transaction</v>
      </c>
    </row>
    <row r="725" spans="1:33" x14ac:dyDescent="0.25">
      <c r="A725" s="2">
        <v>724</v>
      </c>
      <c r="B725" s="3" t="str">
        <f t="shared" si="209"/>
        <v>080317-FO-CIT</v>
      </c>
      <c r="C725" s="3">
        <v>39524</v>
      </c>
      <c r="D725" s="3">
        <f t="shared" si="211"/>
        <v>39538</v>
      </c>
      <c r="E725" s="3">
        <f t="shared" si="212"/>
        <v>39585</v>
      </c>
      <c r="F725" s="3">
        <f t="shared" si="213"/>
        <v>39538</v>
      </c>
      <c r="G725" s="76">
        <f t="shared" si="214"/>
        <v>2008</v>
      </c>
      <c r="H725" s="76">
        <f t="shared" si="215"/>
        <v>3</v>
      </c>
      <c r="I725" s="76" t="str">
        <f>VLOOKUP(H725,'Lookup Values'!$C$2:$D$13,2,FALSE)</f>
        <v>MAR</v>
      </c>
      <c r="J725" s="76">
        <f t="shared" si="216"/>
        <v>17</v>
      </c>
      <c r="K725" s="76">
        <f t="shared" si="217"/>
        <v>2</v>
      </c>
      <c r="L725" s="76" t="str">
        <f>VLOOKUP(K725,'Lookup Values'!$F$2:$G$8,2,FALSE)</f>
        <v>Monday</v>
      </c>
      <c r="M725" s="3">
        <v>39525</v>
      </c>
      <c r="N725" s="78">
        <f t="shared" si="210"/>
        <v>1</v>
      </c>
      <c r="O725" s="11">
        <v>0.20171192569235208</v>
      </c>
      <c r="P725" s="94">
        <f t="shared" si="218"/>
        <v>4</v>
      </c>
      <c r="Q725" s="94">
        <f t="shared" si="219"/>
        <v>50</v>
      </c>
      <c r="R725" s="94">
        <f t="shared" si="220"/>
        <v>28</v>
      </c>
      <c r="S725" s="94" t="str">
        <f>VLOOKUP(O725,'Lookup Values'!$I$2:$L$8,4,TRUE)</f>
        <v>Early Morning</v>
      </c>
      <c r="T725" t="s">
        <v>80</v>
      </c>
      <c r="U725" t="s">
        <v>105</v>
      </c>
      <c r="V725" t="str">
        <f t="shared" si="221"/>
        <v>Food: Coffee</v>
      </c>
      <c r="W725" t="s">
        <v>104</v>
      </c>
      <c r="X725" t="s">
        <v>88</v>
      </c>
      <c r="Y725" s="1">
        <v>207</v>
      </c>
      <c r="Z725" s="1" t="str">
        <f t="shared" si="222"/>
        <v>Food: $207.00</v>
      </c>
      <c r="AA725" s="1">
        <f>IF(Y725="","",ROUND(Y725*'Lookup Values'!$A$2,2))</f>
        <v>18.37</v>
      </c>
      <c r="AB725" s="12" t="str">
        <f t="shared" si="223"/>
        <v>Expense</v>
      </c>
      <c r="AC725" s="2" t="s">
        <v>476</v>
      </c>
      <c r="AD725" s="3">
        <f t="shared" si="224"/>
        <v>39524</v>
      </c>
      <c r="AE725" s="93" t="str">
        <f t="shared" si="225"/>
        <v>NO</v>
      </c>
      <c r="AF725" s="2" t="str">
        <f t="shared" si="226"/>
        <v>NO</v>
      </c>
      <c r="AG725" t="str">
        <f t="shared" si="227"/>
        <v>Awesome Transaction</v>
      </c>
    </row>
    <row r="726" spans="1:33" x14ac:dyDescent="0.25">
      <c r="A726" s="2">
        <v>725</v>
      </c>
      <c r="B726" s="3" t="str">
        <f t="shared" si="209"/>
        <v>070407-IN-AUN</v>
      </c>
      <c r="C726" s="3">
        <v>39179</v>
      </c>
      <c r="D726" s="3">
        <f t="shared" si="211"/>
        <v>39192</v>
      </c>
      <c r="E726" s="3">
        <f t="shared" si="212"/>
        <v>39240</v>
      </c>
      <c r="F726" s="3">
        <f t="shared" si="213"/>
        <v>39202</v>
      </c>
      <c r="G726" s="76">
        <f t="shared" si="214"/>
        <v>2007</v>
      </c>
      <c r="H726" s="76">
        <f t="shared" si="215"/>
        <v>4</v>
      </c>
      <c r="I726" s="76" t="str">
        <f>VLOOKUP(H726,'Lookup Values'!$C$2:$D$13,2,FALSE)</f>
        <v>APR</v>
      </c>
      <c r="J726" s="76">
        <f t="shared" si="216"/>
        <v>7</v>
      </c>
      <c r="K726" s="76">
        <f t="shared" si="217"/>
        <v>7</v>
      </c>
      <c r="L726" s="76" t="str">
        <f>VLOOKUP(K726,'Lookup Values'!$F$2:$G$8,2,FALSE)</f>
        <v>Saturday</v>
      </c>
      <c r="M726" s="3">
        <v>39180</v>
      </c>
      <c r="N726" s="78">
        <f t="shared" si="210"/>
        <v>1</v>
      </c>
      <c r="O726" s="11">
        <v>0.47712937665106869</v>
      </c>
      <c r="P726" s="94">
        <f t="shared" si="218"/>
        <v>11</v>
      </c>
      <c r="Q726" s="94">
        <f t="shared" si="219"/>
        <v>27</v>
      </c>
      <c r="R726" s="94">
        <f t="shared" si="220"/>
        <v>4</v>
      </c>
      <c r="S726" s="94" t="str">
        <f>VLOOKUP(O726,'Lookup Values'!$I$2:$L$8,4,TRUE)</f>
        <v>Late Morning</v>
      </c>
      <c r="T726" t="s">
        <v>158</v>
      </c>
      <c r="U726" t="s">
        <v>161</v>
      </c>
      <c r="V726" t="str">
        <f t="shared" si="221"/>
        <v>Income: Gift Received</v>
      </c>
      <c r="W726" t="s">
        <v>164</v>
      </c>
      <c r="X726" t="s">
        <v>91</v>
      </c>
      <c r="Y726" s="1">
        <v>218</v>
      </c>
      <c r="Z726" s="1" t="str">
        <f t="shared" si="222"/>
        <v>Income: $218.00</v>
      </c>
      <c r="AA726" s="1">
        <f>IF(Y726="","",ROUND(Y726*'Lookup Values'!$A$2,2))</f>
        <v>19.350000000000001</v>
      </c>
      <c r="AB726" s="12" t="str">
        <f t="shared" si="223"/>
        <v>Income</v>
      </c>
      <c r="AC726" s="2" t="s">
        <v>779</v>
      </c>
      <c r="AD726" s="3">
        <f t="shared" si="224"/>
        <v>39179</v>
      </c>
      <c r="AE726" s="93" t="str">
        <f t="shared" si="225"/>
        <v>NO</v>
      </c>
      <c r="AF726" s="2" t="str">
        <f t="shared" si="226"/>
        <v>NO</v>
      </c>
      <c r="AG726" t="str">
        <f t="shared" si="227"/>
        <v>Late Transaction</v>
      </c>
    </row>
    <row r="727" spans="1:33" x14ac:dyDescent="0.25">
      <c r="A727" s="2">
        <v>726</v>
      </c>
      <c r="B727" s="3" t="str">
        <f t="shared" si="209"/>
        <v>090619-IN-AUN</v>
      </c>
      <c r="C727" s="3">
        <v>39983</v>
      </c>
      <c r="D727" s="3">
        <f t="shared" si="211"/>
        <v>39997</v>
      </c>
      <c r="E727" s="3">
        <f t="shared" si="212"/>
        <v>40044</v>
      </c>
      <c r="F727" s="3">
        <f t="shared" si="213"/>
        <v>39994</v>
      </c>
      <c r="G727" s="76">
        <f t="shared" si="214"/>
        <v>2009</v>
      </c>
      <c r="H727" s="76">
        <f t="shared" si="215"/>
        <v>6</v>
      </c>
      <c r="I727" s="76" t="str">
        <f>VLOOKUP(H727,'Lookup Values'!$C$2:$D$13,2,FALSE)</f>
        <v>JUN</v>
      </c>
      <c r="J727" s="76">
        <f t="shared" si="216"/>
        <v>19</v>
      </c>
      <c r="K727" s="76">
        <f t="shared" si="217"/>
        <v>6</v>
      </c>
      <c r="L727" s="76" t="str">
        <f>VLOOKUP(K727,'Lookup Values'!$F$2:$G$8,2,FALSE)</f>
        <v>Friday</v>
      </c>
      <c r="M727" s="3">
        <v>39992</v>
      </c>
      <c r="N727" s="78">
        <f t="shared" si="210"/>
        <v>9</v>
      </c>
      <c r="O727" s="11">
        <v>0.60247625967035068</v>
      </c>
      <c r="P727" s="94">
        <f t="shared" si="218"/>
        <v>14</v>
      </c>
      <c r="Q727" s="94">
        <f t="shared" si="219"/>
        <v>27</v>
      </c>
      <c r="R727" s="94">
        <f t="shared" si="220"/>
        <v>34</v>
      </c>
      <c r="S727" s="94" t="str">
        <f>VLOOKUP(O727,'Lookup Values'!$I$2:$L$8,4,TRUE)</f>
        <v>Afternoon</v>
      </c>
      <c r="T727" t="s">
        <v>158</v>
      </c>
      <c r="U727" t="s">
        <v>161</v>
      </c>
      <c r="V727" t="str">
        <f t="shared" si="221"/>
        <v>Income: Gift Received</v>
      </c>
      <c r="W727" t="s">
        <v>164</v>
      </c>
      <c r="X727" t="s">
        <v>88</v>
      </c>
      <c r="Y727" s="1">
        <v>367</v>
      </c>
      <c r="Z727" s="1" t="str">
        <f t="shared" si="222"/>
        <v>Income: $367.00</v>
      </c>
      <c r="AA727" s="1">
        <f>IF(Y727="","",ROUND(Y727*'Lookup Values'!$A$2,2))</f>
        <v>32.57</v>
      </c>
      <c r="AB727" s="12" t="str">
        <f t="shared" si="223"/>
        <v>Income</v>
      </c>
      <c r="AC727" s="2" t="s">
        <v>473</v>
      </c>
      <c r="AD727" s="3">
        <f t="shared" si="224"/>
        <v>39983</v>
      </c>
      <c r="AE727" s="93" t="str">
        <f t="shared" si="225"/>
        <v>NO</v>
      </c>
      <c r="AF727" s="2" t="str">
        <f t="shared" si="226"/>
        <v>NO</v>
      </c>
      <c r="AG727" t="str">
        <f t="shared" si="227"/>
        <v>Late Transaction</v>
      </c>
    </row>
    <row r="728" spans="1:33" x14ac:dyDescent="0.25">
      <c r="A728" s="2">
        <v>727</v>
      </c>
      <c r="B728" s="3" t="str">
        <f t="shared" si="209"/>
        <v>101110-EN-MOE</v>
      </c>
      <c r="C728" s="3">
        <v>40492</v>
      </c>
      <c r="D728" s="3">
        <f t="shared" si="211"/>
        <v>40506</v>
      </c>
      <c r="E728" s="3">
        <f t="shared" si="212"/>
        <v>40553</v>
      </c>
      <c r="F728" s="3">
        <f t="shared" si="213"/>
        <v>40512</v>
      </c>
      <c r="G728" s="76">
        <f t="shared" si="214"/>
        <v>2010</v>
      </c>
      <c r="H728" s="76">
        <f t="shared" si="215"/>
        <v>11</v>
      </c>
      <c r="I728" s="76" t="str">
        <f>VLOOKUP(H728,'Lookup Values'!$C$2:$D$13,2,FALSE)</f>
        <v>NOV</v>
      </c>
      <c r="J728" s="76">
        <f t="shared" si="216"/>
        <v>10</v>
      </c>
      <c r="K728" s="76">
        <f t="shared" si="217"/>
        <v>4</v>
      </c>
      <c r="L728" s="76" t="str">
        <f>VLOOKUP(K728,'Lookup Values'!$F$2:$G$8,2,FALSE)</f>
        <v>Wednesday</v>
      </c>
      <c r="M728" s="3">
        <v>40497</v>
      </c>
      <c r="N728" s="78">
        <f t="shared" si="210"/>
        <v>5</v>
      </c>
      <c r="O728" s="11">
        <v>0.5152430826424832</v>
      </c>
      <c r="P728" s="94">
        <f t="shared" si="218"/>
        <v>12</v>
      </c>
      <c r="Q728" s="94">
        <f t="shared" si="219"/>
        <v>21</v>
      </c>
      <c r="R728" s="94">
        <f t="shared" si="220"/>
        <v>57</v>
      </c>
      <c r="S728" s="94" t="str">
        <f>VLOOKUP(O728,'Lookup Values'!$I$2:$L$8,4,TRUE)</f>
        <v>Afternoon</v>
      </c>
      <c r="T728" t="s">
        <v>76</v>
      </c>
      <c r="U728" t="s">
        <v>77</v>
      </c>
      <c r="V728" t="str">
        <f t="shared" si="221"/>
        <v>Entertainment: Alcohol</v>
      </c>
      <c r="W728" t="s">
        <v>75</v>
      </c>
      <c r="X728" t="s">
        <v>78</v>
      </c>
      <c r="Y728" s="1">
        <v>431</v>
      </c>
      <c r="Z728" s="1" t="str">
        <f t="shared" si="222"/>
        <v>Entertainment: $431.00</v>
      </c>
      <c r="AA728" s="1">
        <f>IF(Y728="","",ROUND(Y728*'Lookup Values'!$A$2,2))</f>
        <v>38.25</v>
      </c>
      <c r="AB728" s="12" t="str">
        <f t="shared" si="223"/>
        <v>Expense</v>
      </c>
      <c r="AC728" s="2" t="s">
        <v>780</v>
      </c>
      <c r="AD728" s="3">
        <f t="shared" si="224"/>
        <v>40492</v>
      </c>
      <c r="AE728" s="93" t="str">
        <f t="shared" si="225"/>
        <v>NO</v>
      </c>
      <c r="AF728" s="2" t="str">
        <f t="shared" si="226"/>
        <v>NO</v>
      </c>
      <c r="AG728" t="str">
        <f t="shared" si="227"/>
        <v>CRAP Transaction</v>
      </c>
    </row>
    <row r="729" spans="1:33" x14ac:dyDescent="0.25">
      <c r="A729" s="2">
        <v>728</v>
      </c>
      <c r="B729" s="3" t="str">
        <f t="shared" si="209"/>
        <v>081123-ED-ANT</v>
      </c>
      <c r="C729" s="3">
        <v>39775</v>
      </c>
      <c r="D729" s="3">
        <f t="shared" si="211"/>
        <v>39787</v>
      </c>
      <c r="E729" s="3">
        <f t="shared" si="212"/>
        <v>39836</v>
      </c>
      <c r="F729" s="3">
        <f t="shared" si="213"/>
        <v>39782</v>
      </c>
      <c r="G729" s="76">
        <f t="shared" si="214"/>
        <v>2008</v>
      </c>
      <c r="H729" s="76">
        <f t="shared" si="215"/>
        <v>11</v>
      </c>
      <c r="I729" s="76" t="str">
        <f>VLOOKUP(H729,'Lookup Values'!$C$2:$D$13,2,FALSE)</f>
        <v>NOV</v>
      </c>
      <c r="J729" s="76">
        <f t="shared" si="216"/>
        <v>23</v>
      </c>
      <c r="K729" s="76">
        <f t="shared" si="217"/>
        <v>1</v>
      </c>
      <c r="L729" s="76" t="str">
        <f>VLOOKUP(K729,'Lookup Values'!$F$2:$G$8,2,FALSE)</f>
        <v>Sunday</v>
      </c>
      <c r="M729" s="3">
        <v>39785</v>
      </c>
      <c r="N729" s="78">
        <f t="shared" si="210"/>
        <v>10</v>
      </c>
      <c r="O729" s="11">
        <v>0.92411642713710562</v>
      </c>
      <c r="P729" s="94">
        <f t="shared" si="218"/>
        <v>22</v>
      </c>
      <c r="Q729" s="94">
        <f t="shared" si="219"/>
        <v>10</v>
      </c>
      <c r="R729" s="94">
        <f t="shared" si="220"/>
        <v>44</v>
      </c>
      <c r="S729" s="94" t="str">
        <f>VLOOKUP(O729,'Lookup Values'!$I$2:$L$8,4,TRUE)</f>
        <v>Late Evening</v>
      </c>
      <c r="T729" t="s">
        <v>86</v>
      </c>
      <c r="U729" t="s">
        <v>87</v>
      </c>
      <c r="V729" t="str">
        <f t="shared" si="221"/>
        <v>Education: Tango Lessons</v>
      </c>
      <c r="W729" t="s">
        <v>85</v>
      </c>
      <c r="X729" t="s">
        <v>88</v>
      </c>
      <c r="Y729" s="1">
        <v>346</v>
      </c>
      <c r="Z729" s="1" t="str">
        <f t="shared" si="222"/>
        <v>Education: $346.00</v>
      </c>
      <c r="AA729" s="1">
        <f>IF(Y729="","",ROUND(Y729*'Lookup Values'!$A$2,2))</f>
        <v>30.71</v>
      </c>
      <c r="AB729" s="12" t="str">
        <f t="shared" si="223"/>
        <v>Expense</v>
      </c>
      <c r="AC729" s="2" t="s">
        <v>781</v>
      </c>
      <c r="AD729" s="3">
        <f t="shared" si="224"/>
        <v>39775</v>
      </c>
      <c r="AE729" s="93" t="str">
        <f t="shared" si="225"/>
        <v>NO</v>
      </c>
      <c r="AF729" s="2" t="str">
        <f t="shared" si="226"/>
        <v>NO</v>
      </c>
      <c r="AG729" t="str">
        <f t="shared" si="227"/>
        <v>Late Transaction</v>
      </c>
    </row>
    <row r="730" spans="1:33" x14ac:dyDescent="0.25">
      <c r="A730" s="2">
        <v>729</v>
      </c>
      <c r="B730" s="3" t="str">
        <f t="shared" si="209"/>
        <v>110204-SH-AMA</v>
      </c>
      <c r="C730" s="3">
        <v>40578</v>
      </c>
      <c r="D730" s="3">
        <f t="shared" si="211"/>
        <v>40592</v>
      </c>
      <c r="E730" s="3">
        <f t="shared" si="212"/>
        <v>40637</v>
      </c>
      <c r="F730" s="3">
        <f t="shared" si="213"/>
        <v>40602</v>
      </c>
      <c r="G730" s="76">
        <f t="shared" si="214"/>
        <v>2011</v>
      </c>
      <c r="H730" s="76">
        <f t="shared" si="215"/>
        <v>2</v>
      </c>
      <c r="I730" s="76" t="str">
        <f>VLOOKUP(H730,'Lookup Values'!$C$2:$D$13,2,FALSE)</f>
        <v>FEB</v>
      </c>
      <c r="J730" s="76">
        <f t="shared" si="216"/>
        <v>4</v>
      </c>
      <c r="K730" s="76">
        <f t="shared" si="217"/>
        <v>6</v>
      </c>
      <c r="L730" s="76" t="str">
        <f>VLOOKUP(K730,'Lookup Values'!$F$2:$G$8,2,FALSE)</f>
        <v>Friday</v>
      </c>
      <c r="M730" s="3">
        <v>40582</v>
      </c>
      <c r="N730" s="78">
        <f t="shared" si="210"/>
        <v>4</v>
      </c>
      <c r="O730" s="11">
        <v>0.40242677413456929</v>
      </c>
      <c r="P730" s="94">
        <f t="shared" si="218"/>
        <v>9</v>
      </c>
      <c r="Q730" s="94">
        <f t="shared" si="219"/>
        <v>39</v>
      </c>
      <c r="R730" s="94">
        <f t="shared" si="220"/>
        <v>30</v>
      </c>
      <c r="S730" s="94" t="str">
        <f>VLOOKUP(O730,'Lookup Values'!$I$2:$L$8,4,TRUE)</f>
        <v>Morning</v>
      </c>
      <c r="T730" t="s">
        <v>83</v>
      </c>
      <c r="U730" t="s">
        <v>84</v>
      </c>
      <c r="V730" t="str">
        <f t="shared" si="221"/>
        <v>Shopping: Electronics</v>
      </c>
      <c r="W730" t="s">
        <v>82</v>
      </c>
      <c r="X730" t="s">
        <v>78</v>
      </c>
      <c r="Y730" s="1">
        <v>282</v>
      </c>
      <c r="Z730" s="1" t="str">
        <f t="shared" si="222"/>
        <v>Shopping: $282.00</v>
      </c>
      <c r="AA730" s="1">
        <f>IF(Y730="","",ROUND(Y730*'Lookup Values'!$A$2,2))</f>
        <v>25.03</v>
      </c>
      <c r="AB730" s="12" t="str">
        <f t="shared" si="223"/>
        <v>Expense</v>
      </c>
      <c r="AC730" s="2" t="s">
        <v>374</v>
      </c>
      <c r="AD730" s="3">
        <f t="shared" si="224"/>
        <v>40578</v>
      </c>
      <c r="AE730" s="93" t="str">
        <f t="shared" si="225"/>
        <v>YES</v>
      </c>
      <c r="AF730" s="2" t="str">
        <f t="shared" si="226"/>
        <v>NO</v>
      </c>
      <c r="AG730" t="str">
        <f t="shared" si="227"/>
        <v>CRAP Transaction</v>
      </c>
    </row>
    <row r="731" spans="1:33" x14ac:dyDescent="0.25">
      <c r="A731" s="2">
        <v>730</v>
      </c>
      <c r="B731" s="3" t="str">
        <f t="shared" si="209"/>
        <v>101123-FO-CIT</v>
      </c>
      <c r="C731" s="3">
        <v>40505</v>
      </c>
      <c r="D731" s="3">
        <f t="shared" si="211"/>
        <v>40519</v>
      </c>
      <c r="E731" s="3">
        <f t="shared" si="212"/>
        <v>40566</v>
      </c>
      <c r="F731" s="3">
        <f t="shared" si="213"/>
        <v>40512</v>
      </c>
      <c r="G731" s="76">
        <f t="shared" si="214"/>
        <v>2010</v>
      </c>
      <c r="H731" s="76">
        <f t="shared" si="215"/>
        <v>11</v>
      </c>
      <c r="I731" s="76" t="str">
        <f>VLOOKUP(H731,'Lookup Values'!$C$2:$D$13,2,FALSE)</f>
        <v>NOV</v>
      </c>
      <c r="J731" s="76">
        <f t="shared" si="216"/>
        <v>23</v>
      </c>
      <c r="K731" s="76">
        <f t="shared" si="217"/>
        <v>3</v>
      </c>
      <c r="L731" s="76" t="str">
        <f>VLOOKUP(K731,'Lookup Values'!$F$2:$G$8,2,FALSE)</f>
        <v>Tuesday</v>
      </c>
      <c r="M731" s="3">
        <v>40508</v>
      </c>
      <c r="N731" s="78">
        <f t="shared" si="210"/>
        <v>3</v>
      </c>
      <c r="O731" s="11">
        <v>0.26355677120896714</v>
      </c>
      <c r="P731" s="94">
        <f t="shared" si="218"/>
        <v>6</v>
      </c>
      <c r="Q731" s="94">
        <f t="shared" si="219"/>
        <v>19</v>
      </c>
      <c r="R731" s="94">
        <f t="shared" si="220"/>
        <v>31</v>
      </c>
      <c r="S731" s="94" t="str">
        <f>VLOOKUP(O731,'Lookup Values'!$I$2:$L$8,4,TRUE)</f>
        <v>Early Morning</v>
      </c>
      <c r="T731" t="s">
        <v>80</v>
      </c>
      <c r="U731" t="s">
        <v>105</v>
      </c>
      <c r="V731" t="str">
        <f t="shared" si="221"/>
        <v>Food: Coffee</v>
      </c>
      <c r="W731" t="s">
        <v>104</v>
      </c>
      <c r="X731" t="s">
        <v>91</v>
      </c>
      <c r="Y731" s="1">
        <v>162</v>
      </c>
      <c r="Z731" s="1" t="str">
        <f t="shared" si="222"/>
        <v>Food: $162.00</v>
      </c>
      <c r="AA731" s="1">
        <f>IF(Y731="","",ROUND(Y731*'Lookup Values'!$A$2,2))</f>
        <v>14.38</v>
      </c>
      <c r="AB731" s="12" t="str">
        <f t="shared" si="223"/>
        <v>Expense</v>
      </c>
      <c r="AC731" s="2" t="s">
        <v>782</v>
      </c>
      <c r="AD731" s="3">
        <f t="shared" si="224"/>
        <v>40505</v>
      </c>
      <c r="AE731" s="93" t="str">
        <f t="shared" si="225"/>
        <v>NO</v>
      </c>
      <c r="AF731" s="2" t="str">
        <f t="shared" si="226"/>
        <v>NO</v>
      </c>
      <c r="AG731" t="str">
        <f t="shared" si="227"/>
        <v>Late Transaction</v>
      </c>
    </row>
    <row r="732" spans="1:33" x14ac:dyDescent="0.25">
      <c r="A732" s="2">
        <v>731</v>
      </c>
      <c r="B732" s="3" t="str">
        <f t="shared" si="209"/>
        <v>070301-EN-FAN</v>
      </c>
      <c r="C732" s="3">
        <v>39142</v>
      </c>
      <c r="D732" s="3">
        <f t="shared" si="211"/>
        <v>39156</v>
      </c>
      <c r="E732" s="3">
        <f t="shared" si="212"/>
        <v>39203</v>
      </c>
      <c r="F732" s="3">
        <f t="shared" si="213"/>
        <v>39172</v>
      </c>
      <c r="G732" s="76">
        <f t="shared" si="214"/>
        <v>2007</v>
      </c>
      <c r="H732" s="76">
        <f t="shared" si="215"/>
        <v>3</v>
      </c>
      <c r="I732" s="76" t="str">
        <f>VLOOKUP(H732,'Lookup Values'!$C$2:$D$13,2,FALSE)</f>
        <v>MAR</v>
      </c>
      <c r="J732" s="76">
        <f t="shared" si="216"/>
        <v>1</v>
      </c>
      <c r="K732" s="76">
        <f t="shared" si="217"/>
        <v>5</v>
      </c>
      <c r="L732" s="76" t="str">
        <f>VLOOKUP(K732,'Lookup Values'!$F$2:$G$8,2,FALSE)</f>
        <v>Thursday</v>
      </c>
      <c r="M732" s="3">
        <v>39144</v>
      </c>
      <c r="N732" s="78">
        <f t="shared" si="210"/>
        <v>2</v>
      </c>
      <c r="O732" s="11">
        <v>0.24425030825888139</v>
      </c>
      <c r="P732" s="94">
        <f t="shared" si="218"/>
        <v>5</v>
      </c>
      <c r="Q732" s="94">
        <f t="shared" si="219"/>
        <v>51</v>
      </c>
      <c r="R732" s="94">
        <f t="shared" si="220"/>
        <v>43</v>
      </c>
      <c r="S732" s="94" t="str">
        <f>VLOOKUP(O732,'Lookup Values'!$I$2:$L$8,4,TRUE)</f>
        <v>Early Morning</v>
      </c>
      <c r="T732" t="s">
        <v>76</v>
      </c>
      <c r="U732" t="s">
        <v>90</v>
      </c>
      <c r="V732" t="str">
        <f t="shared" si="221"/>
        <v>Entertainment: Movies</v>
      </c>
      <c r="W732" t="s">
        <v>89</v>
      </c>
      <c r="X732" t="s">
        <v>91</v>
      </c>
      <c r="Y732" s="1">
        <v>266</v>
      </c>
      <c r="Z732" s="1" t="str">
        <f t="shared" si="222"/>
        <v>Entertainment: $266.00</v>
      </c>
      <c r="AA732" s="1">
        <f>IF(Y732="","",ROUND(Y732*'Lookup Values'!$A$2,2))</f>
        <v>23.61</v>
      </c>
      <c r="AB732" s="12" t="str">
        <f t="shared" si="223"/>
        <v>Expense</v>
      </c>
      <c r="AC732" s="2" t="s">
        <v>783</v>
      </c>
      <c r="AD732" s="3">
        <f t="shared" si="224"/>
        <v>39142</v>
      </c>
      <c r="AE732" s="93" t="str">
        <f t="shared" si="225"/>
        <v>NO</v>
      </c>
      <c r="AF732" s="2" t="str">
        <f t="shared" si="226"/>
        <v>NO</v>
      </c>
      <c r="AG732" t="str">
        <f t="shared" si="227"/>
        <v>Awesome Transaction</v>
      </c>
    </row>
    <row r="733" spans="1:33" x14ac:dyDescent="0.25">
      <c r="A733" s="2">
        <v>732</v>
      </c>
      <c r="B733" s="3" t="str">
        <f t="shared" si="209"/>
        <v>070122-IN-AUN</v>
      </c>
      <c r="C733" s="3">
        <v>39104</v>
      </c>
      <c r="D733" s="3">
        <f t="shared" si="211"/>
        <v>39118</v>
      </c>
      <c r="E733" s="3">
        <f t="shared" si="212"/>
        <v>39163</v>
      </c>
      <c r="F733" s="3">
        <f t="shared" si="213"/>
        <v>39113</v>
      </c>
      <c r="G733" s="76">
        <f t="shared" si="214"/>
        <v>2007</v>
      </c>
      <c r="H733" s="76">
        <f t="shared" si="215"/>
        <v>1</v>
      </c>
      <c r="I733" s="76" t="str">
        <f>VLOOKUP(H733,'Lookup Values'!$C$2:$D$13,2,FALSE)</f>
        <v>JAN</v>
      </c>
      <c r="J733" s="76">
        <f t="shared" si="216"/>
        <v>22</v>
      </c>
      <c r="K733" s="76">
        <f t="shared" si="217"/>
        <v>2</v>
      </c>
      <c r="L733" s="76" t="str">
        <f>VLOOKUP(K733,'Lookup Values'!$F$2:$G$8,2,FALSE)</f>
        <v>Monday</v>
      </c>
      <c r="M733" s="3">
        <v>39109</v>
      </c>
      <c r="N733" s="78">
        <f t="shared" si="210"/>
        <v>5</v>
      </c>
      <c r="O733" s="11">
        <v>4.4623895313779749E-2</v>
      </c>
      <c r="P733" s="94">
        <f t="shared" si="218"/>
        <v>1</v>
      </c>
      <c r="Q733" s="94">
        <f t="shared" si="219"/>
        <v>4</v>
      </c>
      <c r="R733" s="94">
        <f t="shared" si="220"/>
        <v>16</v>
      </c>
      <c r="S733" s="94" t="str">
        <f>VLOOKUP(O733,'Lookup Values'!$I$2:$L$8,4,TRUE)</f>
        <v>Dead of Night</v>
      </c>
      <c r="T733" t="s">
        <v>158</v>
      </c>
      <c r="U733" t="s">
        <v>161</v>
      </c>
      <c r="V733" t="str">
        <f t="shared" si="221"/>
        <v>Income: Gift Received</v>
      </c>
      <c r="W733" t="s">
        <v>164</v>
      </c>
      <c r="X733" t="s">
        <v>78</v>
      </c>
      <c r="Y733" s="1">
        <v>24</v>
      </c>
      <c r="Z733" s="1" t="str">
        <f t="shared" si="222"/>
        <v>Income: $24.00</v>
      </c>
      <c r="AA733" s="1">
        <f>IF(Y733="","",ROUND(Y733*'Lookup Values'!$A$2,2))</f>
        <v>2.13</v>
      </c>
      <c r="AB733" s="12" t="str">
        <f t="shared" si="223"/>
        <v>Income</v>
      </c>
      <c r="AC733" s="2" t="s">
        <v>784</v>
      </c>
      <c r="AD733" s="3">
        <f t="shared" si="224"/>
        <v>39104</v>
      </c>
      <c r="AE733" s="93" t="str">
        <f t="shared" si="225"/>
        <v>NO</v>
      </c>
      <c r="AF733" s="2" t="str">
        <f t="shared" si="226"/>
        <v>NO</v>
      </c>
      <c r="AG733" t="str">
        <f t="shared" si="227"/>
        <v>Late Transaction</v>
      </c>
    </row>
    <row r="734" spans="1:33" x14ac:dyDescent="0.25">
      <c r="A734" s="2">
        <v>733</v>
      </c>
      <c r="B734" s="3" t="str">
        <f t="shared" si="209"/>
        <v>101023-BI-CON</v>
      </c>
      <c r="C734" s="3">
        <v>40474</v>
      </c>
      <c r="D734" s="3">
        <f t="shared" si="211"/>
        <v>40487</v>
      </c>
      <c r="E734" s="3">
        <f t="shared" si="212"/>
        <v>40535</v>
      </c>
      <c r="F734" s="3">
        <f t="shared" si="213"/>
        <v>40482</v>
      </c>
      <c r="G734" s="76">
        <f t="shared" si="214"/>
        <v>2010</v>
      </c>
      <c r="H734" s="76">
        <f t="shared" si="215"/>
        <v>10</v>
      </c>
      <c r="I734" s="76" t="str">
        <f>VLOOKUP(H734,'Lookup Values'!$C$2:$D$13,2,FALSE)</f>
        <v>OCT</v>
      </c>
      <c r="J734" s="76">
        <f t="shared" si="216"/>
        <v>23</v>
      </c>
      <c r="K734" s="76">
        <f t="shared" si="217"/>
        <v>7</v>
      </c>
      <c r="L734" s="76" t="str">
        <f>VLOOKUP(K734,'Lookup Values'!$F$2:$G$8,2,FALSE)</f>
        <v>Saturday</v>
      </c>
      <c r="M734" s="3">
        <v>40475</v>
      </c>
      <c r="N734" s="78">
        <f t="shared" si="210"/>
        <v>1</v>
      </c>
      <c r="O734" s="11">
        <v>0.71830196810569324</v>
      </c>
      <c r="P734" s="94">
        <f t="shared" si="218"/>
        <v>17</v>
      </c>
      <c r="Q734" s="94">
        <f t="shared" si="219"/>
        <v>14</v>
      </c>
      <c r="R734" s="94">
        <f t="shared" si="220"/>
        <v>21</v>
      </c>
      <c r="S734" s="94" t="str">
        <f>VLOOKUP(O734,'Lookup Values'!$I$2:$L$8,4,TRUE)</f>
        <v>Evening</v>
      </c>
      <c r="T734" t="s">
        <v>110</v>
      </c>
      <c r="U734" t="s">
        <v>111</v>
      </c>
      <c r="V734" t="str">
        <f t="shared" si="221"/>
        <v>Bills: Utilities</v>
      </c>
      <c r="W734" t="s">
        <v>109</v>
      </c>
      <c r="X734" t="s">
        <v>91</v>
      </c>
      <c r="Y734" s="1">
        <v>93</v>
      </c>
      <c r="Z734" s="1" t="str">
        <f t="shared" si="222"/>
        <v>Bills: $93.00</v>
      </c>
      <c r="AA734" s="1">
        <f>IF(Y734="","",ROUND(Y734*'Lookup Values'!$A$2,2))</f>
        <v>8.25</v>
      </c>
      <c r="AB734" s="12" t="str">
        <f t="shared" si="223"/>
        <v>Expense</v>
      </c>
      <c r="AC734" s="2" t="s">
        <v>785</v>
      </c>
      <c r="AD734" s="3">
        <f t="shared" si="224"/>
        <v>40474</v>
      </c>
      <c r="AE734" s="93" t="str">
        <f t="shared" si="225"/>
        <v>NO</v>
      </c>
      <c r="AF734" s="2" t="str">
        <f t="shared" si="226"/>
        <v>NO</v>
      </c>
      <c r="AG734" t="str">
        <f t="shared" si="227"/>
        <v>Late Transaction</v>
      </c>
    </row>
    <row r="735" spans="1:33" x14ac:dyDescent="0.25">
      <c r="A735" s="2">
        <v>734</v>
      </c>
      <c r="B735" s="3" t="str">
        <f t="shared" si="209"/>
        <v>120909-HE-FRE</v>
      </c>
      <c r="C735" s="3">
        <v>41161</v>
      </c>
      <c r="D735" s="3">
        <f t="shared" si="211"/>
        <v>41173</v>
      </c>
      <c r="E735" s="3">
        <f t="shared" si="212"/>
        <v>41222</v>
      </c>
      <c r="F735" s="3">
        <f t="shared" si="213"/>
        <v>41182</v>
      </c>
      <c r="G735" s="76">
        <f t="shared" si="214"/>
        <v>2012</v>
      </c>
      <c r="H735" s="76">
        <f t="shared" si="215"/>
        <v>9</v>
      </c>
      <c r="I735" s="76" t="str">
        <f>VLOOKUP(H735,'Lookup Values'!$C$2:$D$13,2,FALSE)</f>
        <v>SEP</v>
      </c>
      <c r="J735" s="76">
        <f t="shared" si="216"/>
        <v>9</v>
      </c>
      <c r="K735" s="76">
        <f t="shared" si="217"/>
        <v>1</v>
      </c>
      <c r="L735" s="76" t="str">
        <f>VLOOKUP(K735,'Lookup Values'!$F$2:$G$8,2,FALSE)</f>
        <v>Sunday</v>
      </c>
      <c r="M735" s="3">
        <v>41165</v>
      </c>
      <c r="N735" s="78">
        <f t="shared" si="210"/>
        <v>4</v>
      </c>
      <c r="O735" s="11">
        <v>0.48760250734235722</v>
      </c>
      <c r="P735" s="94">
        <f t="shared" si="218"/>
        <v>11</v>
      </c>
      <c r="Q735" s="94">
        <f t="shared" si="219"/>
        <v>42</v>
      </c>
      <c r="R735" s="94">
        <f t="shared" si="220"/>
        <v>9</v>
      </c>
      <c r="S735" s="94" t="str">
        <f>VLOOKUP(O735,'Lookup Values'!$I$2:$L$8,4,TRUE)</f>
        <v>Late Morning</v>
      </c>
      <c r="T735" t="s">
        <v>107</v>
      </c>
      <c r="U735" t="s">
        <v>108</v>
      </c>
      <c r="V735" t="str">
        <f t="shared" si="221"/>
        <v>Health: Insurance Premium</v>
      </c>
      <c r="W735" t="s">
        <v>106</v>
      </c>
      <c r="X735" t="s">
        <v>88</v>
      </c>
      <c r="Y735" s="1">
        <v>318</v>
      </c>
      <c r="Z735" s="1" t="str">
        <f t="shared" si="222"/>
        <v>Health: $318.00</v>
      </c>
      <c r="AA735" s="1">
        <f>IF(Y735="","",ROUND(Y735*'Lookup Values'!$A$2,2))</f>
        <v>28.22</v>
      </c>
      <c r="AB735" s="12" t="str">
        <f t="shared" si="223"/>
        <v>Expense</v>
      </c>
      <c r="AC735" s="2" t="s">
        <v>786</v>
      </c>
      <c r="AD735" s="3">
        <f t="shared" si="224"/>
        <v>41161</v>
      </c>
      <c r="AE735" s="93" t="str">
        <f t="shared" si="225"/>
        <v>NO</v>
      </c>
      <c r="AF735" s="2" t="str">
        <f t="shared" si="226"/>
        <v>NO</v>
      </c>
      <c r="AG735" t="str">
        <f t="shared" si="227"/>
        <v>CRAP Transaction</v>
      </c>
    </row>
    <row r="736" spans="1:33" x14ac:dyDescent="0.25">
      <c r="A736" s="2">
        <v>735</v>
      </c>
      <c r="B736" s="3" t="str">
        <f t="shared" si="209"/>
        <v>100316-SH-AMA</v>
      </c>
      <c r="C736" s="3">
        <v>40253</v>
      </c>
      <c r="D736" s="3">
        <f t="shared" si="211"/>
        <v>40267</v>
      </c>
      <c r="E736" s="3">
        <f t="shared" si="212"/>
        <v>40314</v>
      </c>
      <c r="F736" s="3">
        <f t="shared" si="213"/>
        <v>40268</v>
      </c>
      <c r="G736" s="76">
        <f t="shared" si="214"/>
        <v>2010</v>
      </c>
      <c r="H736" s="76">
        <f t="shared" si="215"/>
        <v>3</v>
      </c>
      <c r="I736" s="76" t="str">
        <f>VLOOKUP(H736,'Lookup Values'!$C$2:$D$13,2,FALSE)</f>
        <v>MAR</v>
      </c>
      <c r="J736" s="76">
        <f t="shared" si="216"/>
        <v>16</v>
      </c>
      <c r="K736" s="76">
        <f t="shared" si="217"/>
        <v>3</v>
      </c>
      <c r="L736" s="76" t="str">
        <f>VLOOKUP(K736,'Lookup Values'!$F$2:$G$8,2,FALSE)</f>
        <v>Tuesday</v>
      </c>
      <c r="M736" s="3">
        <v>40254</v>
      </c>
      <c r="N736" s="78">
        <f t="shared" si="210"/>
        <v>1</v>
      </c>
      <c r="O736" s="11">
        <v>0.47103287899210766</v>
      </c>
      <c r="P736" s="94">
        <f t="shared" si="218"/>
        <v>11</v>
      </c>
      <c r="Q736" s="94">
        <f t="shared" si="219"/>
        <v>18</v>
      </c>
      <c r="R736" s="94">
        <f t="shared" si="220"/>
        <v>17</v>
      </c>
      <c r="S736" s="94" t="str">
        <f>VLOOKUP(O736,'Lookup Values'!$I$2:$L$8,4,TRUE)</f>
        <v>Late Morning</v>
      </c>
      <c r="T736" t="s">
        <v>83</v>
      </c>
      <c r="U736" t="s">
        <v>84</v>
      </c>
      <c r="V736" t="str">
        <f t="shared" si="221"/>
        <v>Shopping: Electronics</v>
      </c>
      <c r="W736" t="s">
        <v>82</v>
      </c>
      <c r="X736" t="s">
        <v>78</v>
      </c>
      <c r="Y736" s="1">
        <v>159</v>
      </c>
      <c r="Z736" s="1" t="str">
        <f t="shared" si="222"/>
        <v>Shopping: $159.00</v>
      </c>
      <c r="AA736" s="1">
        <f>IF(Y736="","",ROUND(Y736*'Lookup Values'!$A$2,2))</f>
        <v>14.11</v>
      </c>
      <c r="AB736" s="12" t="str">
        <f t="shared" si="223"/>
        <v>Expense</v>
      </c>
      <c r="AC736" s="2" t="s">
        <v>787</v>
      </c>
      <c r="AD736" s="3">
        <f t="shared" si="224"/>
        <v>40253</v>
      </c>
      <c r="AE736" s="93" t="str">
        <f t="shared" si="225"/>
        <v>YES</v>
      </c>
      <c r="AF736" s="2" t="str">
        <f t="shared" si="226"/>
        <v>NO</v>
      </c>
      <c r="AG736" t="str">
        <f t="shared" si="227"/>
        <v>Late Transaction</v>
      </c>
    </row>
    <row r="737" spans="1:33" x14ac:dyDescent="0.25">
      <c r="A737" s="2">
        <v>736</v>
      </c>
      <c r="B737" s="3" t="str">
        <f t="shared" si="209"/>
        <v>071213-BI-CON</v>
      </c>
      <c r="C737" s="3">
        <v>39429</v>
      </c>
      <c r="D737" s="3">
        <f t="shared" si="211"/>
        <v>39443</v>
      </c>
      <c r="E737" s="3">
        <f t="shared" si="212"/>
        <v>39491</v>
      </c>
      <c r="F737" s="3">
        <f t="shared" si="213"/>
        <v>39447</v>
      </c>
      <c r="G737" s="76">
        <f t="shared" si="214"/>
        <v>2007</v>
      </c>
      <c r="H737" s="76">
        <f t="shared" si="215"/>
        <v>12</v>
      </c>
      <c r="I737" s="76" t="str">
        <f>VLOOKUP(H737,'Lookup Values'!$C$2:$D$13,2,FALSE)</f>
        <v>DEC</v>
      </c>
      <c r="J737" s="76">
        <f t="shared" si="216"/>
        <v>13</v>
      </c>
      <c r="K737" s="76">
        <f t="shared" si="217"/>
        <v>5</v>
      </c>
      <c r="L737" s="76" t="str">
        <f>VLOOKUP(K737,'Lookup Values'!$F$2:$G$8,2,FALSE)</f>
        <v>Thursday</v>
      </c>
      <c r="M737" s="3">
        <v>39433</v>
      </c>
      <c r="N737" s="78">
        <f t="shared" si="210"/>
        <v>4</v>
      </c>
      <c r="O737" s="11">
        <v>0.49694020692000362</v>
      </c>
      <c r="P737" s="94">
        <f t="shared" si="218"/>
        <v>11</v>
      </c>
      <c r="Q737" s="94">
        <f t="shared" si="219"/>
        <v>55</v>
      </c>
      <c r="R737" s="94">
        <f t="shared" si="220"/>
        <v>36</v>
      </c>
      <c r="S737" s="94" t="str">
        <f>VLOOKUP(O737,'Lookup Values'!$I$2:$L$8,4,TRUE)</f>
        <v>Late Morning</v>
      </c>
      <c r="T737" t="s">
        <v>110</v>
      </c>
      <c r="U737" t="s">
        <v>111</v>
      </c>
      <c r="V737" t="str">
        <f t="shared" si="221"/>
        <v>Bills: Utilities</v>
      </c>
      <c r="W737" t="s">
        <v>109</v>
      </c>
      <c r="X737" t="s">
        <v>91</v>
      </c>
      <c r="Y737" s="1">
        <v>416</v>
      </c>
      <c r="Z737" s="1" t="str">
        <f t="shared" si="222"/>
        <v>Bills: $416.00</v>
      </c>
      <c r="AA737" s="1">
        <f>IF(Y737="","",ROUND(Y737*'Lookup Values'!$A$2,2))</f>
        <v>36.92</v>
      </c>
      <c r="AB737" s="12" t="str">
        <f t="shared" si="223"/>
        <v>Expense</v>
      </c>
      <c r="AC737" s="2" t="s">
        <v>788</v>
      </c>
      <c r="AD737" s="3">
        <f t="shared" si="224"/>
        <v>39429</v>
      </c>
      <c r="AE737" s="93" t="str">
        <f t="shared" si="225"/>
        <v>NO</v>
      </c>
      <c r="AF737" s="2" t="str">
        <f t="shared" si="226"/>
        <v>NO</v>
      </c>
      <c r="AG737" t="str">
        <f t="shared" si="227"/>
        <v>Late Transaction</v>
      </c>
    </row>
    <row r="738" spans="1:33" x14ac:dyDescent="0.25">
      <c r="A738" s="2">
        <v>737</v>
      </c>
      <c r="B738" s="3" t="str">
        <f t="shared" si="209"/>
        <v>101208-FO-TRA</v>
      </c>
      <c r="C738" s="3">
        <v>40520</v>
      </c>
      <c r="D738" s="3">
        <f t="shared" si="211"/>
        <v>40534</v>
      </c>
      <c r="E738" s="3">
        <f t="shared" si="212"/>
        <v>40582</v>
      </c>
      <c r="F738" s="3">
        <f t="shared" si="213"/>
        <v>40543</v>
      </c>
      <c r="G738" s="76">
        <f t="shared" si="214"/>
        <v>2010</v>
      </c>
      <c r="H738" s="76">
        <f t="shared" si="215"/>
        <v>12</v>
      </c>
      <c r="I738" s="76" t="str">
        <f>VLOOKUP(H738,'Lookup Values'!$C$2:$D$13,2,FALSE)</f>
        <v>DEC</v>
      </c>
      <c r="J738" s="76">
        <f t="shared" si="216"/>
        <v>8</v>
      </c>
      <c r="K738" s="76">
        <f t="shared" si="217"/>
        <v>4</v>
      </c>
      <c r="L738" s="76" t="str">
        <f>VLOOKUP(K738,'Lookup Values'!$F$2:$G$8,2,FALSE)</f>
        <v>Wednesday</v>
      </c>
      <c r="M738" s="3">
        <v>40523</v>
      </c>
      <c r="N738" s="78">
        <f t="shared" si="210"/>
        <v>3</v>
      </c>
      <c r="O738" s="11">
        <v>0.64042471981860505</v>
      </c>
      <c r="P738" s="94">
        <f t="shared" si="218"/>
        <v>15</v>
      </c>
      <c r="Q738" s="94">
        <f t="shared" si="219"/>
        <v>22</v>
      </c>
      <c r="R738" s="94">
        <f t="shared" si="220"/>
        <v>13</v>
      </c>
      <c r="S738" s="94" t="str">
        <f>VLOOKUP(O738,'Lookup Values'!$I$2:$L$8,4,TRUE)</f>
        <v>Afternoon</v>
      </c>
      <c r="T738" t="s">
        <v>80</v>
      </c>
      <c r="U738" t="s">
        <v>93</v>
      </c>
      <c r="V738" t="str">
        <f t="shared" si="221"/>
        <v>Food: Groceries</v>
      </c>
      <c r="W738" t="s">
        <v>92</v>
      </c>
      <c r="X738" t="s">
        <v>88</v>
      </c>
      <c r="Y738" s="1">
        <v>9</v>
      </c>
      <c r="Z738" s="1" t="str">
        <f t="shared" si="222"/>
        <v>Food: $9.00</v>
      </c>
      <c r="AA738" s="1">
        <f>IF(Y738="","",ROUND(Y738*'Lookup Values'!$A$2,2))</f>
        <v>0.8</v>
      </c>
      <c r="AB738" s="12" t="str">
        <f t="shared" si="223"/>
        <v>Expense</v>
      </c>
      <c r="AC738" s="2" t="s">
        <v>789</v>
      </c>
      <c r="AD738" s="3">
        <f t="shared" si="224"/>
        <v>40520</v>
      </c>
      <c r="AE738" s="93" t="str">
        <f t="shared" si="225"/>
        <v>NO</v>
      </c>
      <c r="AF738" s="2" t="str">
        <f t="shared" si="226"/>
        <v>NO</v>
      </c>
      <c r="AG738" t="str">
        <f t="shared" si="227"/>
        <v>Late Transaction</v>
      </c>
    </row>
    <row r="739" spans="1:33" x14ac:dyDescent="0.25">
      <c r="A739" s="2">
        <v>738</v>
      </c>
      <c r="B739" s="3" t="str">
        <f t="shared" si="209"/>
        <v>081204-FO-CIT</v>
      </c>
      <c r="C739" s="3">
        <v>39786</v>
      </c>
      <c r="D739" s="3">
        <f t="shared" si="211"/>
        <v>39800</v>
      </c>
      <c r="E739" s="3">
        <f t="shared" si="212"/>
        <v>39848</v>
      </c>
      <c r="F739" s="3">
        <f t="shared" si="213"/>
        <v>39813</v>
      </c>
      <c r="G739" s="76">
        <f t="shared" si="214"/>
        <v>2008</v>
      </c>
      <c r="H739" s="76">
        <f t="shared" si="215"/>
        <v>12</v>
      </c>
      <c r="I739" s="76" t="str">
        <f>VLOOKUP(H739,'Lookup Values'!$C$2:$D$13,2,FALSE)</f>
        <v>DEC</v>
      </c>
      <c r="J739" s="76">
        <f t="shared" si="216"/>
        <v>4</v>
      </c>
      <c r="K739" s="76">
        <f t="shared" si="217"/>
        <v>5</v>
      </c>
      <c r="L739" s="76" t="str">
        <f>VLOOKUP(K739,'Lookup Values'!$F$2:$G$8,2,FALSE)</f>
        <v>Thursday</v>
      </c>
      <c r="M739" s="3">
        <v>39788</v>
      </c>
      <c r="N739" s="78">
        <f t="shared" si="210"/>
        <v>2</v>
      </c>
      <c r="O739" s="11">
        <v>0.562256960733301</v>
      </c>
      <c r="P739" s="94">
        <f t="shared" si="218"/>
        <v>13</v>
      </c>
      <c r="Q739" s="94">
        <f t="shared" si="219"/>
        <v>29</v>
      </c>
      <c r="R739" s="94">
        <f t="shared" si="220"/>
        <v>39</v>
      </c>
      <c r="S739" s="94" t="str">
        <f>VLOOKUP(O739,'Lookup Values'!$I$2:$L$8,4,TRUE)</f>
        <v>Afternoon</v>
      </c>
      <c r="T739" t="s">
        <v>80</v>
      </c>
      <c r="U739" t="s">
        <v>105</v>
      </c>
      <c r="V739" t="str">
        <f t="shared" si="221"/>
        <v>Food: Coffee</v>
      </c>
      <c r="W739" t="s">
        <v>104</v>
      </c>
      <c r="X739" t="s">
        <v>78</v>
      </c>
      <c r="Y739" s="1">
        <v>383</v>
      </c>
      <c r="Z739" s="1" t="str">
        <f t="shared" si="222"/>
        <v>Food: $383.00</v>
      </c>
      <c r="AA739" s="1">
        <f>IF(Y739="","",ROUND(Y739*'Lookup Values'!$A$2,2))</f>
        <v>33.99</v>
      </c>
      <c r="AB739" s="12" t="str">
        <f t="shared" si="223"/>
        <v>Expense</v>
      </c>
      <c r="AC739" s="2" t="s">
        <v>790</v>
      </c>
      <c r="AD739" s="3">
        <f t="shared" si="224"/>
        <v>39786</v>
      </c>
      <c r="AE739" s="93" t="str">
        <f t="shared" si="225"/>
        <v>NO</v>
      </c>
      <c r="AF739" s="2" t="str">
        <f t="shared" si="226"/>
        <v>NO</v>
      </c>
      <c r="AG739" t="str">
        <f t="shared" si="227"/>
        <v>Awesome Transaction</v>
      </c>
    </row>
    <row r="740" spans="1:33" x14ac:dyDescent="0.25">
      <c r="A740" s="2">
        <v>739</v>
      </c>
      <c r="B740" s="3" t="str">
        <f t="shared" si="209"/>
        <v>070113-IN-EZE</v>
      </c>
      <c r="C740" s="3">
        <v>39095</v>
      </c>
      <c r="D740" s="3">
        <f t="shared" si="211"/>
        <v>39108</v>
      </c>
      <c r="E740" s="3">
        <f t="shared" si="212"/>
        <v>39154</v>
      </c>
      <c r="F740" s="3">
        <f t="shared" si="213"/>
        <v>39113</v>
      </c>
      <c r="G740" s="76">
        <f t="shared" si="214"/>
        <v>2007</v>
      </c>
      <c r="H740" s="76">
        <f t="shared" si="215"/>
        <v>1</v>
      </c>
      <c r="I740" s="76" t="str">
        <f>VLOOKUP(H740,'Lookup Values'!$C$2:$D$13,2,FALSE)</f>
        <v>JAN</v>
      </c>
      <c r="J740" s="76">
        <f t="shared" si="216"/>
        <v>13</v>
      </c>
      <c r="K740" s="76">
        <f t="shared" si="217"/>
        <v>7</v>
      </c>
      <c r="L740" s="76" t="str">
        <f>VLOOKUP(K740,'Lookup Values'!$F$2:$G$8,2,FALSE)</f>
        <v>Saturday</v>
      </c>
      <c r="M740" s="3">
        <v>39096</v>
      </c>
      <c r="N740" s="78">
        <f t="shared" si="210"/>
        <v>1</v>
      </c>
      <c r="O740" s="11">
        <v>0.13496345328867476</v>
      </c>
      <c r="P740" s="94">
        <f t="shared" si="218"/>
        <v>3</v>
      </c>
      <c r="Q740" s="94">
        <f t="shared" si="219"/>
        <v>14</v>
      </c>
      <c r="R740" s="94">
        <f t="shared" si="220"/>
        <v>21</v>
      </c>
      <c r="S740" s="94" t="str">
        <f>VLOOKUP(O740,'Lookup Values'!$I$2:$L$8,4,TRUE)</f>
        <v>Dead of Night</v>
      </c>
      <c r="T740" t="s">
        <v>158</v>
      </c>
      <c r="U740" t="s">
        <v>159</v>
      </c>
      <c r="V740" t="str">
        <f t="shared" si="221"/>
        <v>Income: Salary</v>
      </c>
      <c r="W740" t="s">
        <v>162</v>
      </c>
      <c r="X740" t="s">
        <v>78</v>
      </c>
      <c r="Y740" s="1">
        <v>30</v>
      </c>
      <c r="Z740" s="1" t="str">
        <f t="shared" si="222"/>
        <v>Income: $30.00</v>
      </c>
      <c r="AA740" s="1">
        <f>IF(Y740="","",ROUND(Y740*'Lookup Values'!$A$2,2))</f>
        <v>2.66</v>
      </c>
      <c r="AB740" s="12" t="str">
        <f t="shared" si="223"/>
        <v>Income</v>
      </c>
      <c r="AC740" s="2" t="s">
        <v>791</v>
      </c>
      <c r="AD740" s="3">
        <f t="shared" si="224"/>
        <v>39095</v>
      </c>
      <c r="AE740" s="93" t="str">
        <f t="shared" si="225"/>
        <v>NO</v>
      </c>
      <c r="AF740" s="2" t="str">
        <f t="shared" si="226"/>
        <v>NO</v>
      </c>
      <c r="AG740" t="str">
        <f t="shared" si="227"/>
        <v>Late Transaction</v>
      </c>
    </row>
    <row r="741" spans="1:33" x14ac:dyDescent="0.25">
      <c r="A741" s="2">
        <v>740</v>
      </c>
      <c r="B741" s="3" t="str">
        <f t="shared" si="209"/>
        <v>070929-SH-EXP</v>
      </c>
      <c r="C741" s="3">
        <v>39354</v>
      </c>
      <c r="D741" s="3">
        <f t="shared" si="211"/>
        <v>39367</v>
      </c>
      <c r="E741" s="3">
        <f t="shared" si="212"/>
        <v>39415</v>
      </c>
      <c r="F741" s="3">
        <f t="shared" si="213"/>
        <v>39355</v>
      </c>
      <c r="G741" s="76">
        <f t="shared" si="214"/>
        <v>2007</v>
      </c>
      <c r="H741" s="76">
        <f t="shared" si="215"/>
        <v>9</v>
      </c>
      <c r="I741" s="76" t="str">
        <f>VLOOKUP(H741,'Lookup Values'!$C$2:$D$13,2,FALSE)</f>
        <v>SEP</v>
      </c>
      <c r="J741" s="76">
        <f t="shared" si="216"/>
        <v>29</v>
      </c>
      <c r="K741" s="76">
        <f t="shared" si="217"/>
        <v>7</v>
      </c>
      <c r="L741" s="76" t="str">
        <f>VLOOKUP(K741,'Lookup Values'!$F$2:$G$8,2,FALSE)</f>
        <v>Saturday</v>
      </c>
      <c r="M741" s="3">
        <v>39358</v>
      </c>
      <c r="N741" s="78">
        <f t="shared" si="210"/>
        <v>4</v>
      </c>
      <c r="O741" s="11">
        <v>0.76712154387962073</v>
      </c>
      <c r="P741" s="94">
        <f t="shared" si="218"/>
        <v>18</v>
      </c>
      <c r="Q741" s="94">
        <f t="shared" si="219"/>
        <v>24</v>
      </c>
      <c r="R741" s="94">
        <f t="shared" si="220"/>
        <v>39</v>
      </c>
      <c r="S741" s="94" t="str">
        <f>VLOOKUP(O741,'Lookup Values'!$I$2:$L$8,4,TRUE)</f>
        <v>Evening</v>
      </c>
      <c r="T741" t="s">
        <v>83</v>
      </c>
      <c r="U741" t="s">
        <v>103</v>
      </c>
      <c r="V741" t="str">
        <f t="shared" si="221"/>
        <v>Shopping: Clothing</v>
      </c>
      <c r="W741" t="s">
        <v>102</v>
      </c>
      <c r="X741" t="s">
        <v>78</v>
      </c>
      <c r="Y741" s="1">
        <v>251</v>
      </c>
      <c r="Z741" s="1" t="str">
        <f t="shared" si="222"/>
        <v>Shopping: $251.00</v>
      </c>
      <c r="AA741" s="1">
        <f>IF(Y741="","",ROUND(Y741*'Lookup Values'!$A$2,2))</f>
        <v>22.28</v>
      </c>
      <c r="AB741" s="12" t="str">
        <f t="shared" si="223"/>
        <v>Expense</v>
      </c>
      <c r="AC741" s="2" t="s">
        <v>256</v>
      </c>
      <c r="AD741" s="3">
        <f t="shared" si="224"/>
        <v>39354</v>
      </c>
      <c r="AE741" s="93" t="str">
        <f t="shared" si="225"/>
        <v>NO</v>
      </c>
      <c r="AF741" s="2" t="str">
        <f t="shared" si="226"/>
        <v>NO</v>
      </c>
      <c r="AG741" t="str">
        <f t="shared" si="227"/>
        <v>Awesome Transaction</v>
      </c>
    </row>
    <row r="742" spans="1:33" x14ac:dyDescent="0.25">
      <c r="A742" s="2">
        <v>741</v>
      </c>
      <c r="B742" s="3" t="str">
        <f t="shared" si="209"/>
        <v>120518-HO-BED</v>
      </c>
      <c r="C742" s="3">
        <v>41047</v>
      </c>
      <c r="D742" s="3">
        <f t="shared" si="211"/>
        <v>41061</v>
      </c>
      <c r="E742" s="3">
        <f t="shared" si="212"/>
        <v>41108</v>
      </c>
      <c r="F742" s="3">
        <f t="shared" si="213"/>
        <v>41060</v>
      </c>
      <c r="G742" s="76">
        <f t="shared" si="214"/>
        <v>2012</v>
      </c>
      <c r="H742" s="76">
        <f t="shared" si="215"/>
        <v>5</v>
      </c>
      <c r="I742" s="76" t="str">
        <f>VLOOKUP(H742,'Lookup Values'!$C$2:$D$13,2,FALSE)</f>
        <v>MAY</v>
      </c>
      <c r="J742" s="76">
        <f t="shared" si="216"/>
        <v>18</v>
      </c>
      <c r="K742" s="76">
        <f t="shared" si="217"/>
        <v>6</v>
      </c>
      <c r="L742" s="76" t="str">
        <f>VLOOKUP(K742,'Lookup Values'!$F$2:$G$8,2,FALSE)</f>
        <v>Friday</v>
      </c>
      <c r="M742" s="3">
        <v>41054</v>
      </c>
      <c r="N742" s="78">
        <f t="shared" si="210"/>
        <v>7</v>
      </c>
      <c r="O742" s="11">
        <v>0.9335933459162572</v>
      </c>
      <c r="P742" s="94">
        <f t="shared" si="218"/>
        <v>22</v>
      </c>
      <c r="Q742" s="94">
        <f t="shared" si="219"/>
        <v>24</v>
      </c>
      <c r="R742" s="94">
        <f t="shared" si="220"/>
        <v>22</v>
      </c>
      <c r="S742" s="94" t="str">
        <f>VLOOKUP(O742,'Lookup Values'!$I$2:$L$8,4,TRUE)</f>
        <v>Late Evening</v>
      </c>
      <c r="T742" t="s">
        <v>100</v>
      </c>
      <c r="U742" t="s">
        <v>101</v>
      </c>
      <c r="V742" t="str">
        <f t="shared" si="221"/>
        <v>Home: Cleaning Supplies</v>
      </c>
      <c r="W742" t="s">
        <v>99</v>
      </c>
      <c r="X742" t="s">
        <v>88</v>
      </c>
      <c r="Y742" s="1">
        <v>345</v>
      </c>
      <c r="Z742" s="1" t="str">
        <f t="shared" si="222"/>
        <v>Home: $345.00</v>
      </c>
      <c r="AA742" s="1">
        <f>IF(Y742="","",ROUND(Y742*'Lookup Values'!$A$2,2))</f>
        <v>30.62</v>
      </c>
      <c r="AB742" s="12" t="str">
        <f t="shared" si="223"/>
        <v>Expense</v>
      </c>
      <c r="AC742" s="2" t="s">
        <v>792</v>
      </c>
      <c r="AD742" s="3">
        <f t="shared" si="224"/>
        <v>41047</v>
      </c>
      <c r="AE742" s="93" t="str">
        <f t="shared" si="225"/>
        <v>NO</v>
      </c>
      <c r="AF742" s="2" t="str">
        <f t="shared" si="226"/>
        <v>NO</v>
      </c>
      <c r="AG742" t="str">
        <f t="shared" si="227"/>
        <v>CRAP Transaction</v>
      </c>
    </row>
    <row r="743" spans="1:33" x14ac:dyDescent="0.25">
      <c r="A743" s="2">
        <v>742</v>
      </c>
      <c r="B743" s="3" t="str">
        <f t="shared" si="209"/>
        <v>070610-HO-BED</v>
      </c>
      <c r="C743" s="3">
        <v>39243</v>
      </c>
      <c r="D743" s="3">
        <f t="shared" si="211"/>
        <v>39255</v>
      </c>
      <c r="E743" s="3">
        <f t="shared" si="212"/>
        <v>39304</v>
      </c>
      <c r="F743" s="3">
        <f t="shared" si="213"/>
        <v>39263</v>
      </c>
      <c r="G743" s="76">
        <f t="shared" si="214"/>
        <v>2007</v>
      </c>
      <c r="H743" s="76">
        <f t="shared" si="215"/>
        <v>6</v>
      </c>
      <c r="I743" s="76" t="str">
        <f>VLOOKUP(H743,'Lookup Values'!$C$2:$D$13,2,FALSE)</f>
        <v>JUN</v>
      </c>
      <c r="J743" s="76">
        <f t="shared" si="216"/>
        <v>10</v>
      </c>
      <c r="K743" s="76">
        <f t="shared" si="217"/>
        <v>1</v>
      </c>
      <c r="L743" s="76" t="str">
        <f>VLOOKUP(K743,'Lookup Values'!$F$2:$G$8,2,FALSE)</f>
        <v>Sunday</v>
      </c>
      <c r="M743" s="3">
        <v>39248</v>
      </c>
      <c r="N743" s="78">
        <f t="shared" si="210"/>
        <v>5</v>
      </c>
      <c r="O743" s="11">
        <v>0.79563775667716952</v>
      </c>
      <c r="P743" s="94">
        <f t="shared" si="218"/>
        <v>19</v>
      </c>
      <c r="Q743" s="94">
        <f t="shared" si="219"/>
        <v>5</v>
      </c>
      <c r="R743" s="94">
        <f t="shared" si="220"/>
        <v>43</v>
      </c>
      <c r="S743" s="94" t="str">
        <f>VLOOKUP(O743,'Lookup Values'!$I$2:$L$8,4,TRUE)</f>
        <v>Evening</v>
      </c>
      <c r="T743" t="s">
        <v>100</v>
      </c>
      <c r="U743" t="s">
        <v>101</v>
      </c>
      <c r="V743" t="str">
        <f t="shared" si="221"/>
        <v>Home: Cleaning Supplies</v>
      </c>
      <c r="W743" t="s">
        <v>99</v>
      </c>
      <c r="X743" t="s">
        <v>78</v>
      </c>
      <c r="Y743" s="1">
        <v>26</v>
      </c>
      <c r="Z743" s="1" t="str">
        <f t="shared" si="222"/>
        <v>Home: $26.00</v>
      </c>
      <c r="AA743" s="1">
        <f>IF(Y743="","",ROUND(Y743*'Lookup Values'!$A$2,2))</f>
        <v>2.31</v>
      </c>
      <c r="AB743" s="12" t="str">
        <f t="shared" si="223"/>
        <v>Expense</v>
      </c>
      <c r="AC743" s="2" t="s">
        <v>501</v>
      </c>
      <c r="AD743" s="3">
        <f t="shared" si="224"/>
        <v>39243</v>
      </c>
      <c r="AE743" s="93" t="str">
        <f t="shared" si="225"/>
        <v>NO</v>
      </c>
      <c r="AF743" s="2" t="str">
        <f t="shared" si="226"/>
        <v>NO</v>
      </c>
      <c r="AG743" t="str">
        <f t="shared" si="227"/>
        <v>Late Transaction</v>
      </c>
    </row>
    <row r="744" spans="1:33" x14ac:dyDescent="0.25">
      <c r="A744" s="2">
        <v>743</v>
      </c>
      <c r="B744" s="3" t="str">
        <f t="shared" si="209"/>
        <v>121012-FO-CIT</v>
      </c>
      <c r="C744" s="3">
        <v>41194</v>
      </c>
      <c r="D744" s="3">
        <f t="shared" si="211"/>
        <v>41208</v>
      </c>
      <c r="E744" s="3">
        <f t="shared" si="212"/>
        <v>41255</v>
      </c>
      <c r="F744" s="3">
        <f t="shared" si="213"/>
        <v>41213</v>
      </c>
      <c r="G744" s="76">
        <f t="shared" si="214"/>
        <v>2012</v>
      </c>
      <c r="H744" s="76">
        <f t="shared" si="215"/>
        <v>10</v>
      </c>
      <c r="I744" s="76" t="str">
        <f>VLOOKUP(H744,'Lookup Values'!$C$2:$D$13,2,FALSE)</f>
        <v>OCT</v>
      </c>
      <c r="J744" s="76">
        <f t="shared" si="216"/>
        <v>12</v>
      </c>
      <c r="K744" s="76">
        <f t="shared" si="217"/>
        <v>6</v>
      </c>
      <c r="L744" s="76" t="str">
        <f>VLOOKUP(K744,'Lookup Values'!$F$2:$G$8,2,FALSE)</f>
        <v>Friday</v>
      </c>
      <c r="M744" s="3">
        <v>41203</v>
      </c>
      <c r="N744" s="78">
        <f t="shared" si="210"/>
        <v>9</v>
      </c>
      <c r="O744" s="11">
        <v>0.21600933962102375</v>
      </c>
      <c r="P744" s="94">
        <f t="shared" si="218"/>
        <v>5</v>
      </c>
      <c r="Q744" s="94">
        <f t="shared" si="219"/>
        <v>11</v>
      </c>
      <c r="R744" s="94">
        <f t="shared" si="220"/>
        <v>3</v>
      </c>
      <c r="S744" s="94" t="str">
        <f>VLOOKUP(O744,'Lookup Values'!$I$2:$L$8,4,TRUE)</f>
        <v>Early Morning</v>
      </c>
      <c r="T744" t="s">
        <v>80</v>
      </c>
      <c r="U744" t="s">
        <v>105</v>
      </c>
      <c r="V744" t="str">
        <f t="shared" si="221"/>
        <v>Food: Coffee</v>
      </c>
      <c r="W744" t="s">
        <v>104</v>
      </c>
      <c r="X744" t="s">
        <v>88</v>
      </c>
      <c r="Y744" s="1">
        <v>123</v>
      </c>
      <c r="Z744" s="1" t="str">
        <f t="shared" si="222"/>
        <v>Food: $123.00</v>
      </c>
      <c r="AA744" s="1">
        <f>IF(Y744="","",ROUND(Y744*'Lookup Values'!$A$2,2))</f>
        <v>10.92</v>
      </c>
      <c r="AB744" s="12" t="str">
        <f t="shared" si="223"/>
        <v>Expense</v>
      </c>
      <c r="AC744" s="2" t="s">
        <v>793</v>
      </c>
      <c r="AD744" s="3">
        <f t="shared" si="224"/>
        <v>41194</v>
      </c>
      <c r="AE744" s="93" t="str">
        <f t="shared" si="225"/>
        <v>NO</v>
      </c>
      <c r="AF744" s="2" t="str">
        <f t="shared" si="226"/>
        <v>NO</v>
      </c>
      <c r="AG744" t="str">
        <f t="shared" si="227"/>
        <v>CRAP Transaction</v>
      </c>
    </row>
    <row r="745" spans="1:33" x14ac:dyDescent="0.25">
      <c r="A745" s="2">
        <v>744</v>
      </c>
      <c r="B745" s="3" t="str">
        <f t="shared" si="209"/>
        <v>120827-SH-EXP</v>
      </c>
      <c r="C745" s="3">
        <v>41148</v>
      </c>
      <c r="D745" s="3">
        <f t="shared" si="211"/>
        <v>41162</v>
      </c>
      <c r="E745" s="3">
        <f t="shared" si="212"/>
        <v>41209</v>
      </c>
      <c r="F745" s="3">
        <f t="shared" si="213"/>
        <v>41152</v>
      </c>
      <c r="G745" s="76">
        <f t="shared" si="214"/>
        <v>2012</v>
      </c>
      <c r="H745" s="76">
        <f t="shared" si="215"/>
        <v>8</v>
      </c>
      <c r="I745" s="76" t="str">
        <f>VLOOKUP(H745,'Lookup Values'!$C$2:$D$13,2,FALSE)</f>
        <v>AUG</v>
      </c>
      <c r="J745" s="76">
        <f t="shared" si="216"/>
        <v>27</v>
      </c>
      <c r="K745" s="76">
        <f t="shared" si="217"/>
        <v>2</v>
      </c>
      <c r="L745" s="76" t="str">
        <f>VLOOKUP(K745,'Lookup Values'!$F$2:$G$8,2,FALSE)</f>
        <v>Monday</v>
      </c>
      <c r="M745" s="3">
        <v>41150</v>
      </c>
      <c r="N745" s="78">
        <f t="shared" si="210"/>
        <v>2</v>
      </c>
      <c r="O745" s="11">
        <v>0.8245272019956813</v>
      </c>
      <c r="P745" s="94">
        <f t="shared" si="218"/>
        <v>19</v>
      </c>
      <c r="Q745" s="94">
        <f t="shared" si="219"/>
        <v>47</v>
      </c>
      <c r="R745" s="94">
        <f t="shared" si="220"/>
        <v>19</v>
      </c>
      <c r="S745" s="94" t="str">
        <f>VLOOKUP(O745,'Lookup Values'!$I$2:$L$8,4,TRUE)</f>
        <v>Evening</v>
      </c>
      <c r="T745" t="s">
        <v>83</v>
      </c>
      <c r="U745" t="s">
        <v>103</v>
      </c>
      <c r="V745" t="str">
        <f t="shared" si="221"/>
        <v>Shopping: Clothing</v>
      </c>
      <c r="W745" t="s">
        <v>102</v>
      </c>
      <c r="X745" t="s">
        <v>91</v>
      </c>
      <c r="Y745" s="1">
        <v>77</v>
      </c>
      <c r="Z745" s="1" t="str">
        <f t="shared" si="222"/>
        <v>Shopping: $77.00</v>
      </c>
      <c r="AA745" s="1">
        <f>IF(Y745="","",ROUND(Y745*'Lookup Values'!$A$2,2))</f>
        <v>6.83</v>
      </c>
      <c r="AB745" s="12" t="str">
        <f t="shared" si="223"/>
        <v>Expense</v>
      </c>
      <c r="AC745" s="2" t="s">
        <v>794</v>
      </c>
      <c r="AD745" s="3">
        <f t="shared" si="224"/>
        <v>41148</v>
      </c>
      <c r="AE745" s="93" t="str">
        <f t="shared" si="225"/>
        <v>NO</v>
      </c>
      <c r="AF745" s="2" t="str">
        <f t="shared" si="226"/>
        <v>NO</v>
      </c>
      <c r="AG745" t="str">
        <f t="shared" si="227"/>
        <v>CRAP Transaction</v>
      </c>
    </row>
    <row r="746" spans="1:33" x14ac:dyDescent="0.25">
      <c r="A746" s="2">
        <v>745</v>
      </c>
      <c r="B746" s="3" t="str">
        <f t="shared" si="209"/>
        <v>070304-FO-BAN</v>
      </c>
      <c r="C746" s="3">
        <v>39145</v>
      </c>
      <c r="D746" s="3">
        <f t="shared" si="211"/>
        <v>39157</v>
      </c>
      <c r="E746" s="3">
        <f t="shared" si="212"/>
        <v>39206</v>
      </c>
      <c r="F746" s="3">
        <f t="shared" si="213"/>
        <v>39172</v>
      </c>
      <c r="G746" s="76">
        <f t="shared" si="214"/>
        <v>2007</v>
      </c>
      <c r="H746" s="76">
        <f t="shared" si="215"/>
        <v>3</v>
      </c>
      <c r="I746" s="76" t="str">
        <f>VLOOKUP(H746,'Lookup Values'!$C$2:$D$13,2,FALSE)</f>
        <v>MAR</v>
      </c>
      <c r="J746" s="76">
        <f t="shared" si="216"/>
        <v>4</v>
      </c>
      <c r="K746" s="76">
        <f t="shared" si="217"/>
        <v>1</v>
      </c>
      <c r="L746" s="76" t="str">
        <f>VLOOKUP(K746,'Lookup Values'!$F$2:$G$8,2,FALSE)</f>
        <v>Sunday</v>
      </c>
      <c r="M746" s="3">
        <v>39146</v>
      </c>
      <c r="N746" s="78">
        <f t="shared" si="210"/>
        <v>1</v>
      </c>
      <c r="O746" s="11">
        <v>0.66602799404403656</v>
      </c>
      <c r="P746" s="94">
        <f t="shared" si="218"/>
        <v>15</v>
      </c>
      <c r="Q746" s="94">
        <f t="shared" si="219"/>
        <v>59</v>
      </c>
      <c r="R746" s="94">
        <f t="shared" si="220"/>
        <v>5</v>
      </c>
      <c r="S746" s="94" t="str">
        <f>VLOOKUP(O746,'Lookup Values'!$I$2:$L$8,4,TRUE)</f>
        <v>Afternoon</v>
      </c>
      <c r="T746" t="s">
        <v>80</v>
      </c>
      <c r="U746" t="s">
        <v>81</v>
      </c>
      <c r="V746" t="str">
        <f t="shared" si="221"/>
        <v>Food: Restaurants</v>
      </c>
      <c r="W746" t="s">
        <v>79</v>
      </c>
      <c r="X746" t="s">
        <v>78</v>
      </c>
      <c r="Y746" s="1">
        <v>245</v>
      </c>
      <c r="Z746" s="1" t="str">
        <f t="shared" si="222"/>
        <v>Food: $245.00</v>
      </c>
      <c r="AA746" s="1">
        <f>IF(Y746="","",ROUND(Y746*'Lookup Values'!$A$2,2))</f>
        <v>21.74</v>
      </c>
      <c r="AB746" s="12" t="str">
        <f t="shared" si="223"/>
        <v>Expense</v>
      </c>
      <c r="AC746" s="2" t="s">
        <v>795</v>
      </c>
      <c r="AD746" s="3">
        <f t="shared" si="224"/>
        <v>39145</v>
      </c>
      <c r="AE746" s="93" t="str">
        <f t="shared" si="225"/>
        <v>NO</v>
      </c>
      <c r="AF746" s="2" t="str">
        <f t="shared" si="226"/>
        <v>NO</v>
      </c>
      <c r="AG746" t="str">
        <f t="shared" si="227"/>
        <v>Awesome Transaction</v>
      </c>
    </row>
    <row r="747" spans="1:33" x14ac:dyDescent="0.25">
      <c r="A747" s="2">
        <v>746</v>
      </c>
      <c r="B747" s="3" t="str">
        <f t="shared" si="209"/>
        <v>110815-ED-ANT</v>
      </c>
      <c r="C747" s="3">
        <v>40770</v>
      </c>
      <c r="D747" s="3">
        <f t="shared" si="211"/>
        <v>40784</v>
      </c>
      <c r="E747" s="3">
        <f t="shared" si="212"/>
        <v>40831</v>
      </c>
      <c r="F747" s="3">
        <f t="shared" si="213"/>
        <v>40786</v>
      </c>
      <c r="G747" s="76">
        <f t="shared" si="214"/>
        <v>2011</v>
      </c>
      <c r="H747" s="76">
        <f t="shared" si="215"/>
        <v>8</v>
      </c>
      <c r="I747" s="76" t="str">
        <f>VLOOKUP(H747,'Lookup Values'!$C$2:$D$13,2,FALSE)</f>
        <v>AUG</v>
      </c>
      <c r="J747" s="76">
        <f t="shared" si="216"/>
        <v>15</v>
      </c>
      <c r="K747" s="76">
        <f t="shared" si="217"/>
        <v>2</v>
      </c>
      <c r="L747" s="76" t="str">
        <f>VLOOKUP(K747,'Lookup Values'!$F$2:$G$8,2,FALSE)</f>
        <v>Monday</v>
      </c>
      <c r="M747" s="3">
        <v>40772</v>
      </c>
      <c r="N747" s="78">
        <f t="shared" si="210"/>
        <v>2</v>
      </c>
      <c r="O747" s="11">
        <v>0.15767687760569726</v>
      </c>
      <c r="P747" s="94">
        <f t="shared" si="218"/>
        <v>3</v>
      </c>
      <c r="Q747" s="94">
        <f t="shared" si="219"/>
        <v>47</v>
      </c>
      <c r="R747" s="94">
        <f t="shared" si="220"/>
        <v>3</v>
      </c>
      <c r="S747" s="94" t="str">
        <f>VLOOKUP(O747,'Lookup Values'!$I$2:$L$8,4,TRUE)</f>
        <v>Dead of Night</v>
      </c>
      <c r="T747" t="s">
        <v>86</v>
      </c>
      <c r="U747" t="s">
        <v>87</v>
      </c>
      <c r="V747" t="str">
        <f t="shared" si="221"/>
        <v>Education: Tango Lessons</v>
      </c>
      <c r="W747" t="s">
        <v>85</v>
      </c>
      <c r="X747" t="s">
        <v>78</v>
      </c>
      <c r="Y747" s="1">
        <v>191</v>
      </c>
      <c r="Z747" s="1" t="str">
        <f t="shared" si="222"/>
        <v>Education: $191.00</v>
      </c>
      <c r="AA747" s="1">
        <f>IF(Y747="","",ROUND(Y747*'Lookup Values'!$A$2,2))</f>
        <v>16.95</v>
      </c>
      <c r="AB747" s="12" t="str">
        <f t="shared" si="223"/>
        <v>Expense</v>
      </c>
      <c r="AC747" s="2" t="s">
        <v>796</v>
      </c>
      <c r="AD747" s="3">
        <f t="shared" si="224"/>
        <v>40770</v>
      </c>
      <c r="AE747" s="93" t="str">
        <f t="shared" si="225"/>
        <v>NO</v>
      </c>
      <c r="AF747" s="2" t="str">
        <f t="shared" si="226"/>
        <v>NO</v>
      </c>
      <c r="AG747" t="str">
        <f t="shared" si="227"/>
        <v>CRAP Transaction</v>
      </c>
    </row>
    <row r="748" spans="1:33" x14ac:dyDescent="0.25">
      <c r="A748" s="2">
        <v>747</v>
      </c>
      <c r="B748" s="3" t="str">
        <f t="shared" si="209"/>
        <v>120401-ED-ANT</v>
      </c>
      <c r="C748" s="3">
        <v>41000</v>
      </c>
      <c r="D748" s="3">
        <f t="shared" si="211"/>
        <v>41012</v>
      </c>
      <c r="E748" s="3">
        <f t="shared" si="212"/>
        <v>41061</v>
      </c>
      <c r="F748" s="3">
        <f t="shared" si="213"/>
        <v>41029</v>
      </c>
      <c r="G748" s="76">
        <f t="shared" si="214"/>
        <v>2012</v>
      </c>
      <c r="H748" s="76">
        <f t="shared" si="215"/>
        <v>4</v>
      </c>
      <c r="I748" s="76" t="str">
        <f>VLOOKUP(H748,'Lookup Values'!$C$2:$D$13,2,FALSE)</f>
        <v>APR</v>
      </c>
      <c r="J748" s="76">
        <f t="shared" si="216"/>
        <v>1</v>
      </c>
      <c r="K748" s="76">
        <f t="shared" si="217"/>
        <v>1</v>
      </c>
      <c r="L748" s="76" t="str">
        <f>VLOOKUP(K748,'Lookup Values'!$F$2:$G$8,2,FALSE)</f>
        <v>Sunday</v>
      </c>
      <c r="M748" s="3">
        <v>41001</v>
      </c>
      <c r="N748" s="78">
        <f t="shared" si="210"/>
        <v>1</v>
      </c>
      <c r="O748" s="11">
        <v>0.21692770570827113</v>
      </c>
      <c r="P748" s="94">
        <f t="shared" si="218"/>
        <v>5</v>
      </c>
      <c r="Q748" s="94">
        <f t="shared" si="219"/>
        <v>12</v>
      </c>
      <c r="R748" s="94">
        <f t="shared" si="220"/>
        <v>23</v>
      </c>
      <c r="S748" s="94" t="str">
        <f>VLOOKUP(O748,'Lookup Values'!$I$2:$L$8,4,TRUE)</f>
        <v>Early Morning</v>
      </c>
      <c r="T748" t="s">
        <v>86</v>
      </c>
      <c r="U748" t="s">
        <v>87</v>
      </c>
      <c r="V748" t="str">
        <f t="shared" si="221"/>
        <v>Education: Tango Lessons</v>
      </c>
      <c r="W748" t="s">
        <v>85</v>
      </c>
      <c r="X748" t="s">
        <v>78</v>
      </c>
      <c r="Y748" s="1">
        <v>403</v>
      </c>
      <c r="Z748" s="1" t="str">
        <f t="shared" si="222"/>
        <v>Education: $403.00</v>
      </c>
      <c r="AA748" s="1">
        <f>IF(Y748="","",ROUND(Y748*'Lookup Values'!$A$2,2))</f>
        <v>35.770000000000003</v>
      </c>
      <c r="AB748" s="12" t="str">
        <f t="shared" si="223"/>
        <v>Expense</v>
      </c>
      <c r="AC748" s="2" t="s">
        <v>797</v>
      </c>
      <c r="AD748" s="3">
        <f t="shared" si="224"/>
        <v>41000</v>
      </c>
      <c r="AE748" s="93" t="str">
        <f t="shared" si="225"/>
        <v>NO</v>
      </c>
      <c r="AF748" s="2" t="str">
        <f t="shared" si="226"/>
        <v>NO</v>
      </c>
      <c r="AG748" t="str">
        <f t="shared" si="227"/>
        <v>CRAP Transaction</v>
      </c>
    </row>
    <row r="749" spans="1:33" x14ac:dyDescent="0.25">
      <c r="A749" s="2">
        <v>748</v>
      </c>
      <c r="B749" s="3" t="str">
        <f t="shared" si="209"/>
        <v>120730-SH-EXP</v>
      </c>
      <c r="C749" s="3">
        <v>41120</v>
      </c>
      <c r="D749" s="3">
        <f t="shared" si="211"/>
        <v>41134</v>
      </c>
      <c r="E749" s="3">
        <f t="shared" si="212"/>
        <v>41182</v>
      </c>
      <c r="F749" s="3">
        <f t="shared" si="213"/>
        <v>41121</v>
      </c>
      <c r="G749" s="76">
        <f t="shared" si="214"/>
        <v>2012</v>
      </c>
      <c r="H749" s="76">
        <f t="shared" si="215"/>
        <v>7</v>
      </c>
      <c r="I749" s="76" t="str">
        <f>VLOOKUP(H749,'Lookup Values'!$C$2:$D$13,2,FALSE)</f>
        <v>JUL</v>
      </c>
      <c r="J749" s="76">
        <f t="shared" si="216"/>
        <v>30</v>
      </c>
      <c r="K749" s="76">
        <f t="shared" si="217"/>
        <v>2</v>
      </c>
      <c r="L749" s="76" t="str">
        <f>VLOOKUP(K749,'Lookup Values'!$F$2:$G$8,2,FALSE)</f>
        <v>Monday</v>
      </c>
      <c r="M749" s="3">
        <v>41122</v>
      </c>
      <c r="N749" s="78">
        <f t="shared" si="210"/>
        <v>2</v>
      </c>
      <c r="O749" s="11">
        <v>0.80049352356688441</v>
      </c>
      <c r="P749" s="94">
        <f t="shared" si="218"/>
        <v>19</v>
      </c>
      <c r="Q749" s="94">
        <f t="shared" si="219"/>
        <v>12</v>
      </c>
      <c r="R749" s="94">
        <f t="shared" si="220"/>
        <v>43</v>
      </c>
      <c r="S749" s="94" t="str">
        <f>VLOOKUP(O749,'Lookup Values'!$I$2:$L$8,4,TRUE)</f>
        <v>Evening</v>
      </c>
      <c r="T749" t="s">
        <v>83</v>
      </c>
      <c r="U749" t="s">
        <v>103</v>
      </c>
      <c r="V749" t="str">
        <f t="shared" si="221"/>
        <v>Shopping: Clothing</v>
      </c>
      <c r="W749" t="s">
        <v>102</v>
      </c>
      <c r="X749" t="s">
        <v>88</v>
      </c>
      <c r="Y749" s="1">
        <v>482</v>
      </c>
      <c r="Z749" s="1" t="str">
        <f t="shared" si="222"/>
        <v>Shopping: $482.00</v>
      </c>
      <c r="AA749" s="1">
        <f>IF(Y749="","",ROUND(Y749*'Lookup Values'!$A$2,2))</f>
        <v>42.78</v>
      </c>
      <c r="AB749" s="12" t="str">
        <f t="shared" si="223"/>
        <v>Expense</v>
      </c>
      <c r="AC749" s="2" t="s">
        <v>798</v>
      </c>
      <c r="AD749" s="3">
        <f t="shared" si="224"/>
        <v>41120</v>
      </c>
      <c r="AE749" s="93" t="str">
        <f t="shared" si="225"/>
        <v>NO</v>
      </c>
      <c r="AF749" s="2" t="str">
        <f t="shared" si="226"/>
        <v>NO</v>
      </c>
      <c r="AG749" t="str">
        <f t="shared" si="227"/>
        <v>CRAP Transaction</v>
      </c>
    </row>
    <row r="750" spans="1:33" x14ac:dyDescent="0.25">
      <c r="A750" s="2">
        <v>749</v>
      </c>
      <c r="B750" s="3" t="str">
        <f t="shared" si="209"/>
        <v>101025-FO-CIT</v>
      </c>
      <c r="C750" s="3">
        <v>40476</v>
      </c>
      <c r="D750" s="3">
        <f t="shared" si="211"/>
        <v>40490</v>
      </c>
      <c r="E750" s="3">
        <f t="shared" si="212"/>
        <v>40537</v>
      </c>
      <c r="F750" s="3">
        <f t="shared" si="213"/>
        <v>40482</v>
      </c>
      <c r="G750" s="76">
        <f t="shared" si="214"/>
        <v>2010</v>
      </c>
      <c r="H750" s="76">
        <f t="shared" si="215"/>
        <v>10</v>
      </c>
      <c r="I750" s="76" t="str">
        <f>VLOOKUP(H750,'Lookup Values'!$C$2:$D$13,2,FALSE)</f>
        <v>OCT</v>
      </c>
      <c r="J750" s="76">
        <f t="shared" si="216"/>
        <v>25</v>
      </c>
      <c r="K750" s="76">
        <f t="shared" si="217"/>
        <v>2</v>
      </c>
      <c r="L750" s="76" t="str">
        <f>VLOOKUP(K750,'Lookup Values'!$F$2:$G$8,2,FALSE)</f>
        <v>Monday</v>
      </c>
      <c r="M750" s="3">
        <v>40485</v>
      </c>
      <c r="N750" s="78">
        <f t="shared" si="210"/>
        <v>9</v>
      </c>
      <c r="O750" s="11">
        <v>0.41666281998954524</v>
      </c>
      <c r="P750" s="94">
        <f t="shared" si="218"/>
        <v>10</v>
      </c>
      <c r="Q750" s="94">
        <f t="shared" si="219"/>
        <v>0</v>
      </c>
      <c r="R750" s="94">
        <f t="shared" si="220"/>
        <v>0</v>
      </c>
      <c r="S750" s="94" t="str">
        <f>VLOOKUP(O750,'Lookup Values'!$I$2:$L$8,4,TRUE)</f>
        <v>Morning</v>
      </c>
      <c r="T750" t="s">
        <v>80</v>
      </c>
      <c r="U750" t="s">
        <v>105</v>
      </c>
      <c r="V750" t="str">
        <f t="shared" si="221"/>
        <v>Food: Coffee</v>
      </c>
      <c r="W750" t="s">
        <v>104</v>
      </c>
      <c r="X750" t="s">
        <v>78</v>
      </c>
      <c r="Y750" s="1">
        <v>410</v>
      </c>
      <c r="Z750" s="1" t="str">
        <f t="shared" si="222"/>
        <v>Food: $410.00</v>
      </c>
      <c r="AA750" s="1">
        <f>IF(Y750="","",ROUND(Y750*'Lookup Values'!$A$2,2))</f>
        <v>36.39</v>
      </c>
      <c r="AB750" s="12" t="str">
        <f t="shared" si="223"/>
        <v>Expense</v>
      </c>
      <c r="AC750" s="2" t="s">
        <v>799</v>
      </c>
      <c r="AD750" s="3">
        <f t="shared" si="224"/>
        <v>40476</v>
      </c>
      <c r="AE750" s="93" t="str">
        <f t="shared" si="225"/>
        <v>NO</v>
      </c>
      <c r="AF750" s="2" t="str">
        <f t="shared" si="226"/>
        <v>NO</v>
      </c>
      <c r="AG750" t="str">
        <f t="shared" si="227"/>
        <v>Late Transaction</v>
      </c>
    </row>
    <row r="751" spans="1:33" x14ac:dyDescent="0.25">
      <c r="A751" s="2">
        <v>750</v>
      </c>
      <c r="B751" s="3" t="str">
        <f t="shared" si="209"/>
        <v>070127-TR-MTA</v>
      </c>
      <c r="C751" s="3">
        <v>39109</v>
      </c>
      <c r="D751" s="3">
        <f t="shared" si="211"/>
        <v>39122</v>
      </c>
      <c r="E751" s="3">
        <f t="shared" si="212"/>
        <v>39168</v>
      </c>
      <c r="F751" s="3">
        <f t="shared" si="213"/>
        <v>39113</v>
      </c>
      <c r="G751" s="76">
        <f t="shared" si="214"/>
        <v>2007</v>
      </c>
      <c r="H751" s="76">
        <f t="shared" si="215"/>
        <v>1</v>
      </c>
      <c r="I751" s="76" t="str">
        <f>VLOOKUP(H751,'Lookup Values'!$C$2:$D$13,2,FALSE)</f>
        <v>JAN</v>
      </c>
      <c r="J751" s="76">
        <f t="shared" si="216"/>
        <v>27</v>
      </c>
      <c r="K751" s="76">
        <f t="shared" si="217"/>
        <v>7</v>
      </c>
      <c r="L751" s="76" t="str">
        <f>VLOOKUP(K751,'Lookup Values'!$F$2:$G$8,2,FALSE)</f>
        <v>Saturday</v>
      </c>
      <c r="M751" s="3">
        <v>39119</v>
      </c>
      <c r="N751" s="78">
        <f t="shared" si="210"/>
        <v>10</v>
      </c>
      <c r="O751" s="11">
        <v>0.31437208669500905</v>
      </c>
      <c r="P751" s="94">
        <f t="shared" si="218"/>
        <v>7</v>
      </c>
      <c r="Q751" s="94">
        <f t="shared" si="219"/>
        <v>32</v>
      </c>
      <c r="R751" s="94">
        <f t="shared" si="220"/>
        <v>42</v>
      </c>
      <c r="S751" s="94" t="str">
        <f>VLOOKUP(O751,'Lookup Values'!$I$2:$L$8,4,TRUE)</f>
        <v>Morning</v>
      </c>
      <c r="T751" t="s">
        <v>95</v>
      </c>
      <c r="U751" t="s">
        <v>96</v>
      </c>
      <c r="V751" t="str">
        <f t="shared" si="221"/>
        <v>Transportation: Subway</v>
      </c>
      <c r="W751" t="s">
        <v>94</v>
      </c>
      <c r="X751" t="s">
        <v>88</v>
      </c>
      <c r="Y751" s="1">
        <v>124</v>
      </c>
      <c r="Z751" s="1" t="str">
        <f t="shared" si="222"/>
        <v>Transportation: $124.00</v>
      </c>
      <c r="AA751" s="1">
        <f>IF(Y751="","",ROUND(Y751*'Lookup Values'!$A$2,2))</f>
        <v>11.01</v>
      </c>
      <c r="AB751" s="12" t="str">
        <f t="shared" si="223"/>
        <v>Expense</v>
      </c>
      <c r="AC751" s="2" t="s">
        <v>800</v>
      </c>
      <c r="AD751" s="3">
        <f t="shared" si="224"/>
        <v>39109</v>
      </c>
      <c r="AE751" s="93" t="str">
        <f t="shared" si="225"/>
        <v>YES</v>
      </c>
      <c r="AF751" s="2" t="str">
        <f t="shared" si="226"/>
        <v>NO</v>
      </c>
      <c r="AG751" t="str">
        <f t="shared" si="227"/>
        <v>Late Transaction</v>
      </c>
    </row>
    <row r="752" spans="1:33" x14ac:dyDescent="0.25">
      <c r="A752" s="2">
        <v>751</v>
      </c>
      <c r="B752" s="3" t="str">
        <f t="shared" si="209"/>
        <v>081226-IN-AUN</v>
      </c>
      <c r="C752" s="3">
        <v>39808</v>
      </c>
      <c r="D752" s="3">
        <f t="shared" si="211"/>
        <v>39822</v>
      </c>
      <c r="E752" s="3">
        <f t="shared" si="212"/>
        <v>39870</v>
      </c>
      <c r="F752" s="3">
        <f t="shared" si="213"/>
        <v>39813</v>
      </c>
      <c r="G752" s="76">
        <f t="shared" si="214"/>
        <v>2008</v>
      </c>
      <c r="H752" s="76">
        <f t="shared" si="215"/>
        <v>12</v>
      </c>
      <c r="I752" s="76" t="str">
        <f>VLOOKUP(H752,'Lookup Values'!$C$2:$D$13,2,FALSE)</f>
        <v>DEC</v>
      </c>
      <c r="J752" s="76">
        <f t="shared" si="216"/>
        <v>26</v>
      </c>
      <c r="K752" s="76">
        <f t="shared" si="217"/>
        <v>6</v>
      </c>
      <c r="L752" s="76" t="str">
        <f>VLOOKUP(K752,'Lookup Values'!$F$2:$G$8,2,FALSE)</f>
        <v>Friday</v>
      </c>
      <c r="M752" s="3">
        <v>39809</v>
      </c>
      <c r="N752" s="78">
        <f t="shared" si="210"/>
        <v>1</v>
      </c>
      <c r="O752" s="11">
        <v>0.92093897411626779</v>
      </c>
      <c r="P752" s="94">
        <f t="shared" si="218"/>
        <v>22</v>
      </c>
      <c r="Q752" s="94">
        <f t="shared" si="219"/>
        <v>6</v>
      </c>
      <c r="R752" s="94">
        <f t="shared" si="220"/>
        <v>9</v>
      </c>
      <c r="S752" s="94" t="str">
        <f>VLOOKUP(O752,'Lookup Values'!$I$2:$L$8,4,TRUE)</f>
        <v>Late Evening</v>
      </c>
      <c r="T752" t="s">
        <v>158</v>
      </c>
      <c r="U752" t="s">
        <v>161</v>
      </c>
      <c r="V752" t="str">
        <f t="shared" si="221"/>
        <v>Income: Gift Received</v>
      </c>
      <c r="W752" t="s">
        <v>164</v>
      </c>
      <c r="X752" t="s">
        <v>78</v>
      </c>
      <c r="Y752" s="1">
        <v>34</v>
      </c>
      <c r="Z752" s="1" t="str">
        <f t="shared" si="222"/>
        <v>Income: $34.00</v>
      </c>
      <c r="AA752" s="1">
        <f>IF(Y752="","",ROUND(Y752*'Lookup Values'!$A$2,2))</f>
        <v>3.02</v>
      </c>
      <c r="AB752" s="12" t="str">
        <f t="shared" si="223"/>
        <v>Income</v>
      </c>
      <c r="AC752" s="2" t="s">
        <v>801</v>
      </c>
      <c r="AD752" s="3">
        <f t="shared" si="224"/>
        <v>39808</v>
      </c>
      <c r="AE752" s="93" t="str">
        <f t="shared" si="225"/>
        <v>NO</v>
      </c>
      <c r="AF752" s="2" t="str">
        <f t="shared" si="226"/>
        <v>NO</v>
      </c>
      <c r="AG752" t="str">
        <f t="shared" si="227"/>
        <v>Late Transaction</v>
      </c>
    </row>
    <row r="753" spans="1:33" x14ac:dyDescent="0.25">
      <c r="A753" s="2">
        <v>752</v>
      </c>
      <c r="B753" s="3" t="str">
        <f t="shared" si="209"/>
        <v>100218-HE-FRE</v>
      </c>
      <c r="C753" s="3">
        <v>40227</v>
      </c>
      <c r="D753" s="3">
        <f t="shared" si="211"/>
        <v>40241</v>
      </c>
      <c r="E753" s="3">
        <f t="shared" si="212"/>
        <v>40286</v>
      </c>
      <c r="F753" s="3">
        <f t="shared" si="213"/>
        <v>40237</v>
      </c>
      <c r="G753" s="76">
        <f t="shared" si="214"/>
        <v>2010</v>
      </c>
      <c r="H753" s="76">
        <f t="shared" si="215"/>
        <v>2</v>
      </c>
      <c r="I753" s="76" t="str">
        <f>VLOOKUP(H753,'Lookup Values'!$C$2:$D$13,2,FALSE)</f>
        <v>FEB</v>
      </c>
      <c r="J753" s="76">
        <f t="shared" si="216"/>
        <v>18</v>
      </c>
      <c r="K753" s="76">
        <f t="shared" si="217"/>
        <v>5</v>
      </c>
      <c r="L753" s="76" t="str">
        <f>VLOOKUP(K753,'Lookup Values'!$F$2:$G$8,2,FALSE)</f>
        <v>Thursday</v>
      </c>
      <c r="M753" s="3">
        <v>40230</v>
      </c>
      <c r="N753" s="78">
        <f t="shared" si="210"/>
        <v>3</v>
      </c>
      <c r="O753" s="11">
        <v>0.58358449830257808</v>
      </c>
      <c r="P753" s="94">
        <f t="shared" si="218"/>
        <v>14</v>
      </c>
      <c r="Q753" s="94">
        <f t="shared" si="219"/>
        <v>0</v>
      </c>
      <c r="R753" s="94">
        <f t="shared" si="220"/>
        <v>22</v>
      </c>
      <c r="S753" s="94" t="str">
        <f>VLOOKUP(O753,'Lookup Values'!$I$2:$L$8,4,TRUE)</f>
        <v>Afternoon</v>
      </c>
      <c r="T753" t="s">
        <v>107</v>
      </c>
      <c r="U753" t="s">
        <v>108</v>
      </c>
      <c r="V753" t="str">
        <f t="shared" si="221"/>
        <v>Health: Insurance Premium</v>
      </c>
      <c r="W753" t="s">
        <v>106</v>
      </c>
      <c r="X753" t="s">
        <v>78</v>
      </c>
      <c r="Y753" s="1">
        <v>192</v>
      </c>
      <c r="Z753" s="1" t="str">
        <f t="shared" si="222"/>
        <v>Health: $192.00</v>
      </c>
      <c r="AA753" s="1">
        <f>IF(Y753="","",ROUND(Y753*'Lookup Values'!$A$2,2))</f>
        <v>17.04</v>
      </c>
      <c r="AB753" s="12" t="str">
        <f t="shared" si="223"/>
        <v>Expense</v>
      </c>
      <c r="AC753" s="2" t="s">
        <v>331</v>
      </c>
      <c r="AD753" s="3">
        <f t="shared" si="224"/>
        <v>40227</v>
      </c>
      <c r="AE753" s="93" t="str">
        <f t="shared" si="225"/>
        <v>NO</v>
      </c>
      <c r="AF753" s="2" t="str">
        <f t="shared" si="226"/>
        <v>NO</v>
      </c>
      <c r="AG753" t="str">
        <f t="shared" si="227"/>
        <v>Late Transaction</v>
      </c>
    </row>
    <row r="754" spans="1:33" x14ac:dyDescent="0.25">
      <c r="A754" s="2">
        <v>753</v>
      </c>
      <c r="B754" s="3" t="str">
        <f t="shared" si="209"/>
        <v>120919-ED-SKI</v>
      </c>
      <c r="C754" s="3">
        <v>41171</v>
      </c>
      <c r="D754" s="3">
        <f t="shared" si="211"/>
        <v>41185</v>
      </c>
      <c r="E754" s="3">
        <f t="shared" si="212"/>
        <v>41232</v>
      </c>
      <c r="F754" s="3">
        <f t="shared" si="213"/>
        <v>41182</v>
      </c>
      <c r="G754" s="76">
        <f t="shared" si="214"/>
        <v>2012</v>
      </c>
      <c r="H754" s="76">
        <f t="shared" si="215"/>
        <v>9</v>
      </c>
      <c r="I754" s="76" t="str">
        <f>VLOOKUP(H754,'Lookup Values'!$C$2:$D$13,2,FALSE)</f>
        <v>SEP</v>
      </c>
      <c r="J754" s="76">
        <f t="shared" si="216"/>
        <v>19</v>
      </c>
      <c r="K754" s="76">
        <f t="shared" si="217"/>
        <v>4</v>
      </c>
      <c r="L754" s="76" t="str">
        <f>VLOOKUP(K754,'Lookup Values'!$F$2:$G$8,2,FALSE)</f>
        <v>Wednesday</v>
      </c>
      <c r="M754" s="3">
        <v>41174</v>
      </c>
      <c r="N754" s="78">
        <f t="shared" si="210"/>
        <v>3</v>
      </c>
      <c r="O754" s="11">
        <v>0.34662036952747954</v>
      </c>
      <c r="P754" s="94">
        <f t="shared" si="218"/>
        <v>8</v>
      </c>
      <c r="Q754" s="94">
        <f t="shared" si="219"/>
        <v>19</v>
      </c>
      <c r="R754" s="94">
        <f t="shared" si="220"/>
        <v>8</v>
      </c>
      <c r="S754" s="94" t="str">
        <f>VLOOKUP(O754,'Lookup Values'!$I$2:$L$8,4,TRUE)</f>
        <v>Morning</v>
      </c>
      <c r="T754" t="s">
        <v>86</v>
      </c>
      <c r="U754" t="s">
        <v>98</v>
      </c>
      <c r="V754" t="str">
        <f t="shared" si="221"/>
        <v>Education: Professional Development</v>
      </c>
      <c r="W754" t="s">
        <v>97</v>
      </c>
      <c r="X754" t="s">
        <v>78</v>
      </c>
      <c r="Y754" s="1">
        <v>466</v>
      </c>
      <c r="Z754" s="1" t="str">
        <f t="shared" si="222"/>
        <v>Education: $466.00</v>
      </c>
      <c r="AA754" s="1">
        <f>IF(Y754="","",ROUND(Y754*'Lookup Values'!$A$2,2))</f>
        <v>41.36</v>
      </c>
      <c r="AB754" s="12" t="str">
        <f t="shared" si="223"/>
        <v>Expense</v>
      </c>
      <c r="AC754" s="2" t="s">
        <v>802</v>
      </c>
      <c r="AD754" s="3">
        <f t="shared" si="224"/>
        <v>41171</v>
      </c>
      <c r="AE754" s="93" t="str">
        <f t="shared" si="225"/>
        <v>YES</v>
      </c>
      <c r="AF754" s="2" t="str">
        <f t="shared" si="226"/>
        <v>YES</v>
      </c>
      <c r="AG754" t="str">
        <f t="shared" si="227"/>
        <v>CRAP Transaction</v>
      </c>
    </row>
    <row r="755" spans="1:33" x14ac:dyDescent="0.25">
      <c r="A755" s="2">
        <v>754</v>
      </c>
      <c r="B755" s="3" t="str">
        <f t="shared" si="209"/>
        <v>120908-EN-FAN</v>
      </c>
      <c r="C755" s="3">
        <v>41160</v>
      </c>
      <c r="D755" s="3">
        <f t="shared" si="211"/>
        <v>41173</v>
      </c>
      <c r="E755" s="3">
        <f t="shared" si="212"/>
        <v>41221</v>
      </c>
      <c r="F755" s="3">
        <f t="shared" si="213"/>
        <v>41182</v>
      </c>
      <c r="G755" s="76">
        <f t="shared" si="214"/>
        <v>2012</v>
      </c>
      <c r="H755" s="76">
        <f t="shared" si="215"/>
        <v>9</v>
      </c>
      <c r="I755" s="76" t="str">
        <f>VLOOKUP(H755,'Lookup Values'!$C$2:$D$13,2,FALSE)</f>
        <v>SEP</v>
      </c>
      <c r="J755" s="76">
        <f t="shared" si="216"/>
        <v>8</v>
      </c>
      <c r="K755" s="76">
        <f t="shared" si="217"/>
        <v>7</v>
      </c>
      <c r="L755" s="76" t="str">
        <f>VLOOKUP(K755,'Lookup Values'!$F$2:$G$8,2,FALSE)</f>
        <v>Saturday</v>
      </c>
      <c r="M755" s="3">
        <v>41169</v>
      </c>
      <c r="N755" s="78">
        <f t="shared" si="210"/>
        <v>9</v>
      </c>
      <c r="O755" s="11">
        <v>0.30123096704622476</v>
      </c>
      <c r="P755" s="94">
        <f t="shared" si="218"/>
        <v>7</v>
      </c>
      <c r="Q755" s="94">
        <f t="shared" si="219"/>
        <v>13</v>
      </c>
      <c r="R755" s="94">
        <f t="shared" si="220"/>
        <v>46</v>
      </c>
      <c r="S755" s="94" t="str">
        <f>VLOOKUP(O755,'Lookup Values'!$I$2:$L$8,4,TRUE)</f>
        <v>Morning</v>
      </c>
      <c r="T755" t="s">
        <v>76</v>
      </c>
      <c r="U755" t="s">
        <v>90</v>
      </c>
      <c r="V755" t="str">
        <f t="shared" si="221"/>
        <v>Entertainment: Movies</v>
      </c>
      <c r="W755" t="s">
        <v>89</v>
      </c>
      <c r="X755" t="s">
        <v>88</v>
      </c>
      <c r="Y755" s="1">
        <v>468</v>
      </c>
      <c r="Z755" s="1" t="str">
        <f t="shared" si="222"/>
        <v>Entertainment: $468.00</v>
      </c>
      <c r="AA755" s="1">
        <f>IF(Y755="","",ROUND(Y755*'Lookup Values'!$A$2,2))</f>
        <v>41.54</v>
      </c>
      <c r="AB755" s="12" t="str">
        <f t="shared" si="223"/>
        <v>Expense</v>
      </c>
      <c r="AC755" s="2" t="s">
        <v>803</v>
      </c>
      <c r="AD755" s="3">
        <f t="shared" si="224"/>
        <v>41160</v>
      </c>
      <c r="AE755" s="93" t="str">
        <f t="shared" si="225"/>
        <v>NO</v>
      </c>
      <c r="AF755" s="2" t="str">
        <f t="shared" si="226"/>
        <v>NO</v>
      </c>
      <c r="AG755" t="str">
        <f t="shared" si="227"/>
        <v>CRAP Transaction</v>
      </c>
    </row>
    <row r="756" spans="1:33" x14ac:dyDescent="0.25">
      <c r="A756" s="2">
        <v>755</v>
      </c>
      <c r="B756" s="3" t="str">
        <f t="shared" si="209"/>
        <v>091119-BI-CON</v>
      </c>
      <c r="C756" s="3">
        <v>40136</v>
      </c>
      <c r="D756" s="3">
        <f t="shared" si="211"/>
        <v>40150</v>
      </c>
      <c r="E756" s="3">
        <f t="shared" si="212"/>
        <v>40197</v>
      </c>
      <c r="F756" s="3">
        <f t="shared" si="213"/>
        <v>40147</v>
      </c>
      <c r="G756" s="76">
        <f t="shared" si="214"/>
        <v>2009</v>
      </c>
      <c r="H756" s="76">
        <f t="shared" si="215"/>
        <v>11</v>
      </c>
      <c r="I756" s="76" t="str">
        <f>VLOOKUP(H756,'Lookup Values'!$C$2:$D$13,2,FALSE)</f>
        <v>NOV</v>
      </c>
      <c r="J756" s="76">
        <f t="shared" si="216"/>
        <v>19</v>
      </c>
      <c r="K756" s="76">
        <f t="shared" si="217"/>
        <v>5</v>
      </c>
      <c r="L756" s="76" t="str">
        <f>VLOOKUP(K756,'Lookup Values'!$F$2:$G$8,2,FALSE)</f>
        <v>Thursday</v>
      </c>
      <c r="M756" s="3">
        <v>40144</v>
      </c>
      <c r="N756" s="78">
        <f t="shared" si="210"/>
        <v>8</v>
      </c>
      <c r="O756" s="11">
        <v>0.33516852490668481</v>
      </c>
      <c r="P756" s="94">
        <f t="shared" si="218"/>
        <v>8</v>
      </c>
      <c r="Q756" s="94">
        <f t="shared" si="219"/>
        <v>2</v>
      </c>
      <c r="R756" s="94">
        <f t="shared" si="220"/>
        <v>39</v>
      </c>
      <c r="S756" s="94" t="str">
        <f>VLOOKUP(O756,'Lookup Values'!$I$2:$L$8,4,TRUE)</f>
        <v>Morning</v>
      </c>
      <c r="T756" t="s">
        <v>110</v>
      </c>
      <c r="U756" t="s">
        <v>111</v>
      </c>
      <c r="V756" t="str">
        <f t="shared" si="221"/>
        <v>Bills: Utilities</v>
      </c>
      <c r="W756" t="s">
        <v>109</v>
      </c>
      <c r="X756" t="s">
        <v>78</v>
      </c>
      <c r="Y756" s="1">
        <v>170</v>
      </c>
      <c r="Z756" s="1" t="str">
        <f t="shared" si="222"/>
        <v>Bills: $170.00</v>
      </c>
      <c r="AA756" s="1">
        <f>IF(Y756="","",ROUND(Y756*'Lookup Values'!$A$2,2))</f>
        <v>15.09</v>
      </c>
      <c r="AB756" s="12" t="str">
        <f t="shared" si="223"/>
        <v>Expense</v>
      </c>
      <c r="AC756" s="2" t="s">
        <v>318</v>
      </c>
      <c r="AD756" s="3">
        <f t="shared" si="224"/>
        <v>40136</v>
      </c>
      <c r="AE756" s="93" t="str">
        <f t="shared" si="225"/>
        <v>NO</v>
      </c>
      <c r="AF756" s="2" t="str">
        <f t="shared" si="226"/>
        <v>NO</v>
      </c>
      <c r="AG756" t="str">
        <f t="shared" si="227"/>
        <v>Late Transaction</v>
      </c>
    </row>
    <row r="757" spans="1:33" x14ac:dyDescent="0.25">
      <c r="A757" s="2">
        <v>756</v>
      </c>
      <c r="B757" s="3" t="str">
        <f t="shared" si="209"/>
        <v>111027-IN-AUN</v>
      </c>
      <c r="C757" s="3">
        <v>40843</v>
      </c>
      <c r="D757" s="3">
        <f t="shared" si="211"/>
        <v>40857</v>
      </c>
      <c r="E757" s="3">
        <f t="shared" si="212"/>
        <v>40904</v>
      </c>
      <c r="F757" s="3">
        <f t="shared" si="213"/>
        <v>40847</v>
      </c>
      <c r="G757" s="76">
        <f t="shared" si="214"/>
        <v>2011</v>
      </c>
      <c r="H757" s="76">
        <f t="shared" si="215"/>
        <v>10</v>
      </c>
      <c r="I757" s="76" t="str">
        <f>VLOOKUP(H757,'Lookup Values'!$C$2:$D$13,2,FALSE)</f>
        <v>OCT</v>
      </c>
      <c r="J757" s="76">
        <f t="shared" si="216"/>
        <v>27</v>
      </c>
      <c r="K757" s="76">
        <f t="shared" si="217"/>
        <v>5</v>
      </c>
      <c r="L757" s="76" t="str">
        <f>VLOOKUP(K757,'Lookup Values'!$F$2:$G$8,2,FALSE)</f>
        <v>Thursday</v>
      </c>
      <c r="M757" s="3">
        <v>40852</v>
      </c>
      <c r="N757" s="78">
        <f t="shared" si="210"/>
        <v>9</v>
      </c>
      <c r="O757" s="11">
        <v>0.72442885408852897</v>
      </c>
      <c r="P757" s="94">
        <f t="shared" si="218"/>
        <v>17</v>
      </c>
      <c r="Q757" s="94">
        <f t="shared" si="219"/>
        <v>23</v>
      </c>
      <c r="R757" s="94">
        <f t="shared" si="220"/>
        <v>11</v>
      </c>
      <c r="S757" s="94" t="str">
        <f>VLOOKUP(O757,'Lookup Values'!$I$2:$L$8,4,TRUE)</f>
        <v>Evening</v>
      </c>
      <c r="T757" t="s">
        <v>158</v>
      </c>
      <c r="U757" t="s">
        <v>161</v>
      </c>
      <c r="V757" t="str">
        <f t="shared" si="221"/>
        <v>Income: Gift Received</v>
      </c>
      <c r="W757" t="s">
        <v>164</v>
      </c>
      <c r="X757" t="s">
        <v>78</v>
      </c>
      <c r="Y757" s="1">
        <v>280</v>
      </c>
      <c r="Z757" s="1" t="str">
        <f t="shared" si="222"/>
        <v>Income: $280.00</v>
      </c>
      <c r="AA757" s="1">
        <f>IF(Y757="","",ROUND(Y757*'Lookup Values'!$A$2,2))</f>
        <v>24.85</v>
      </c>
      <c r="AB757" s="12" t="str">
        <f t="shared" si="223"/>
        <v>Income</v>
      </c>
      <c r="AC757" s="2" t="s">
        <v>804</v>
      </c>
      <c r="AD757" s="3">
        <f t="shared" si="224"/>
        <v>40843</v>
      </c>
      <c r="AE757" s="93" t="str">
        <f t="shared" si="225"/>
        <v>NO</v>
      </c>
      <c r="AF757" s="2" t="str">
        <f t="shared" si="226"/>
        <v>NO</v>
      </c>
      <c r="AG757" t="str">
        <f t="shared" si="227"/>
        <v>CRAP Transaction</v>
      </c>
    </row>
    <row r="758" spans="1:33" x14ac:dyDescent="0.25">
      <c r="A758" s="2">
        <v>757</v>
      </c>
      <c r="B758" s="3" t="str">
        <f t="shared" si="209"/>
        <v>080213-ED-SKI</v>
      </c>
      <c r="C758" s="3">
        <v>39491</v>
      </c>
      <c r="D758" s="3">
        <f t="shared" si="211"/>
        <v>39505</v>
      </c>
      <c r="E758" s="3">
        <f t="shared" si="212"/>
        <v>39551</v>
      </c>
      <c r="F758" s="3">
        <f t="shared" si="213"/>
        <v>39507</v>
      </c>
      <c r="G758" s="76">
        <f t="shared" si="214"/>
        <v>2008</v>
      </c>
      <c r="H758" s="76">
        <f t="shared" si="215"/>
        <v>2</v>
      </c>
      <c r="I758" s="76" t="str">
        <f>VLOOKUP(H758,'Lookup Values'!$C$2:$D$13,2,FALSE)</f>
        <v>FEB</v>
      </c>
      <c r="J758" s="76">
        <f t="shared" si="216"/>
        <v>13</v>
      </c>
      <c r="K758" s="76">
        <f t="shared" si="217"/>
        <v>4</v>
      </c>
      <c r="L758" s="76" t="str">
        <f>VLOOKUP(K758,'Lookup Values'!$F$2:$G$8,2,FALSE)</f>
        <v>Wednesday</v>
      </c>
      <c r="M758" s="3">
        <v>39496</v>
      </c>
      <c r="N758" s="78">
        <f t="shared" si="210"/>
        <v>5</v>
      </c>
      <c r="O758" s="11">
        <v>4.3877811950132406E-2</v>
      </c>
      <c r="P758" s="94">
        <f t="shared" si="218"/>
        <v>1</v>
      </c>
      <c r="Q758" s="94">
        <f t="shared" si="219"/>
        <v>3</v>
      </c>
      <c r="R758" s="94">
        <f t="shared" si="220"/>
        <v>11</v>
      </c>
      <c r="S758" s="94" t="str">
        <f>VLOOKUP(O758,'Lookup Values'!$I$2:$L$8,4,TRUE)</f>
        <v>Dead of Night</v>
      </c>
      <c r="T758" t="s">
        <v>86</v>
      </c>
      <c r="U758" t="s">
        <v>98</v>
      </c>
      <c r="V758" t="str">
        <f t="shared" si="221"/>
        <v>Education: Professional Development</v>
      </c>
      <c r="W758" t="s">
        <v>97</v>
      </c>
      <c r="X758" t="s">
        <v>78</v>
      </c>
      <c r="Y758" s="1">
        <v>225</v>
      </c>
      <c r="Z758" s="1" t="str">
        <f t="shared" si="222"/>
        <v>Education: $225.00</v>
      </c>
      <c r="AA758" s="1">
        <f>IF(Y758="","",ROUND(Y758*'Lookup Values'!$A$2,2))</f>
        <v>19.97</v>
      </c>
      <c r="AB758" s="12" t="str">
        <f t="shared" si="223"/>
        <v>Expense</v>
      </c>
      <c r="AC758" s="2" t="s">
        <v>508</v>
      </c>
      <c r="AD758" s="3">
        <f t="shared" si="224"/>
        <v>39491</v>
      </c>
      <c r="AE758" s="93" t="str">
        <f t="shared" si="225"/>
        <v>YES</v>
      </c>
      <c r="AF758" s="2" t="str">
        <f t="shared" si="226"/>
        <v>NO</v>
      </c>
      <c r="AG758" t="str">
        <f t="shared" si="227"/>
        <v>Late Transaction</v>
      </c>
    </row>
    <row r="759" spans="1:33" x14ac:dyDescent="0.25">
      <c r="A759" s="2">
        <v>758</v>
      </c>
      <c r="B759" s="3" t="str">
        <f t="shared" si="209"/>
        <v>091107-TR-MTA</v>
      </c>
      <c r="C759" s="3">
        <v>40124</v>
      </c>
      <c r="D759" s="3">
        <f t="shared" si="211"/>
        <v>40137</v>
      </c>
      <c r="E759" s="3">
        <f t="shared" si="212"/>
        <v>40185</v>
      </c>
      <c r="F759" s="3">
        <f t="shared" si="213"/>
        <v>40147</v>
      </c>
      <c r="G759" s="76">
        <f t="shared" si="214"/>
        <v>2009</v>
      </c>
      <c r="H759" s="76">
        <f t="shared" si="215"/>
        <v>11</v>
      </c>
      <c r="I759" s="76" t="str">
        <f>VLOOKUP(H759,'Lookup Values'!$C$2:$D$13,2,FALSE)</f>
        <v>NOV</v>
      </c>
      <c r="J759" s="76">
        <f t="shared" si="216"/>
        <v>7</v>
      </c>
      <c r="K759" s="76">
        <f t="shared" si="217"/>
        <v>7</v>
      </c>
      <c r="L759" s="76" t="str">
        <f>VLOOKUP(K759,'Lookup Values'!$F$2:$G$8,2,FALSE)</f>
        <v>Saturday</v>
      </c>
      <c r="M759" s="3">
        <v>40133</v>
      </c>
      <c r="N759" s="78">
        <f t="shared" si="210"/>
        <v>9</v>
      </c>
      <c r="O759" s="11">
        <v>0.83616214456717719</v>
      </c>
      <c r="P759" s="94">
        <f t="shared" si="218"/>
        <v>20</v>
      </c>
      <c r="Q759" s="94">
        <f t="shared" si="219"/>
        <v>4</v>
      </c>
      <c r="R759" s="94">
        <f t="shared" si="220"/>
        <v>4</v>
      </c>
      <c r="S759" s="94" t="str">
        <f>VLOOKUP(O759,'Lookup Values'!$I$2:$L$8,4,TRUE)</f>
        <v>Evening</v>
      </c>
      <c r="T759" t="s">
        <v>95</v>
      </c>
      <c r="U759" t="s">
        <v>96</v>
      </c>
      <c r="V759" t="str">
        <f t="shared" si="221"/>
        <v>Transportation: Subway</v>
      </c>
      <c r="W759" t="s">
        <v>94</v>
      </c>
      <c r="X759" t="s">
        <v>78</v>
      </c>
      <c r="Y759" s="1">
        <v>447</v>
      </c>
      <c r="Z759" s="1" t="str">
        <f t="shared" si="222"/>
        <v>Transportation: $447.00</v>
      </c>
      <c r="AA759" s="1">
        <f>IF(Y759="","",ROUND(Y759*'Lookup Values'!$A$2,2))</f>
        <v>39.67</v>
      </c>
      <c r="AB759" s="12" t="str">
        <f t="shared" si="223"/>
        <v>Expense</v>
      </c>
      <c r="AC759" s="2" t="s">
        <v>511</v>
      </c>
      <c r="AD759" s="3">
        <f t="shared" si="224"/>
        <v>40124</v>
      </c>
      <c r="AE759" s="93" t="str">
        <f t="shared" si="225"/>
        <v>YES</v>
      </c>
      <c r="AF759" s="2" t="str">
        <f t="shared" si="226"/>
        <v>YES</v>
      </c>
      <c r="AG759" t="str">
        <f t="shared" si="227"/>
        <v>Late Transaction</v>
      </c>
    </row>
    <row r="760" spans="1:33" x14ac:dyDescent="0.25">
      <c r="A760" s="2">
        <v>759</v>
      </c>
      <c r="B760" s="3" t="str">
        <f t="shared" si="209"/>
        <v>100925-HO-BED</v>
      </c>
      <c r="C760" s="3">
        <v>40446</v>
      </c>
      <c r="D760" s="3">
        <f t="shared" si="211"/>
        <v>40459</v>
      </c>
      <c r="E760" s="3">
        <f t="shared" si="212"/>
        <v>40507</v>
      </c>
      <c r="F760" s="3">
        <f t="shared" si="213"/>
        <v>40451</v>
      </c>
      <c r="G760" s="76">
        <f t="shared" si="214"/>
        <v>2010</v>
      </c>
      <c r="H760" s="76">
        <f t="shared" si="215"/>
        <v>9</v>
      </c>
      <c r="I760" s="76" t="str">
        <f>VLOOKUP(H760,'Lookup Values'!$C$2:$D$13,2,FALSE)</f>
        <v>SEP</v>
      </c>
      <c r="J760" s="76">
        <f t="shared" si="216"/>
        <v>25</v>
      </c>
      <c r="K760" s="76">
        <f t="shared" si="217"/>
        <v>7</v>
      </c>
      <c r="L760" s="76" t="str">
        <f>VLOOKUP(K760,'Lookup Values'!$F$2:$G$8,2,FALSE)</f>
        <v>Saturday</v>
      </c>
      <c r="M760" s="3">
        <v>40455</v>
      </c>
      <c r="N760" s="78">
        <f t="shared" si="210"/>
        <v>9</v>
      </c>
      <c r="O760" s="11">
        <v>0.3336880474033308</v>
      </c>
      <c r="P760" s="94">
        <f t="shared" si="218"/>
        <v>8</v>
      </c>
      <c r="Q760" s="94">
        <f t="shared" si="219"/>
        <v>0</v>
      </c>
      <c r="R760" s="94">
        <f t="shared" si="220"/>
        <v>31</v>
      </c>
      <c r="S760" s="94" t="str">
        <f>VLOOKUP(O760,'Lookup Values'!$I$2:$L$8,4,TRUE)</f>
        <v>Morning</v>
      </c>
      <c r="T760" t="s">
        <v>100</v>
      </c>
      <c r="U760" t="s">
        <v>101</v>
      </c>
      <c r="V760" t="str">
        <f t="shared" si="221"/>
        <v>Home: Cleaning Supplies</v>
      </c>
      <c r="W760" t="s">
        <v>99</v>
      </c>
      <c r="X760" t="s">
        <v>88</v>
      </c>
      <c r="Y760" s="1">
        <v>354</v>
      </c>
      <c r="Z760" s="1" t="str">
        <f t="shared" si="222"/>
        <v>Home: $354.00</v>
      </c>
      <c r="AA760" s="1">
        <f>IF(Y760="","",ROUND(Y760*'Lookup Values'!$A$2,2))</f>
        <v>31.42</v>
      </c>
      <c r="AB760" s="12" t="str">
        <f t="shared" si="223"/>
        <v>Expense</v>
      </c>
      <c r="AC760" s="2" t="s">
        <v>805</v>
      </c>
      <c r="AD760" s="3">
        <f t="shared" si="224"/>
        <v>40446</v>
      </c>
      <c r="AE760" s="93" t="str">
        <f t="shared" si="225"/>
        <v>NO</v>
      </c>
      <c r="AF760" s="2" t="str">
        <f t="shared" si="226"/>
        <v>NO</v>
      </c>
      <c r="AG760" t="str">
        <f t="shared" si="227"/>
        <v>Late Transaction</v>
      </c>
    </row>
    <row r="761" spans="1:33" x14ac:dyDescent="0.25">
      <c r="A761" s="2">
        <v>760</v>
      </c>
      <c r="B761" s="3" t="str">
        <f t="shared" si="209"/>
        <v>101105-ED-ANT</v>
      </c>
      <c r="C761" s="3">
        <v>40487</v>
      </c>
      <c r="D761" s="3">
        <f t="shared" si="211"/>
        <v>40501</v>
      </c>
      <c r="E761" s="3">
        <f t="shared" si="212"/>
        <v>40548</v>
      </c>
      <c r="F761" s="3">
        <f t="shared" si="213"/>
        <v>40512</v>
      </c>
      <c r="G761" s="76">
        <f t="shared" si="214"/>
        <v>2010</v>
      </c>
      <c r="H761" s="76">
        <f t="shared" si="215"/>
        <v>11</v>
      </c>
      <c r="I761" s="76" t="str">
        <f>VLOOKUP(H761,'Lookup Values'!$C$2:$D$13,2,FALSE)</f>
        <v>NOV</v>
      </c>
      <c r="J761" s="76">
        <f t="shared" si="216"/>
        <v>5</v>
      </c>
      <c r="K761" s="76">
        <f t="shared" si="217"/>
        <v>6</v>
      </c>
      <c r="L761" s="76" t="str">
        <f>VLOOKUP(K761,'Lookup Values'!$F$2:$G$8,2,FALSE)</f>
        <v>Friday</v>
      </c>
      <c r="M761" s="3">
        <v>40491</v>
      </c>
      <c r="N761" s="78">
        <f t="shared" si="210"/>
        <v>4</v>
      </c>
      <c r="O761" s="11">
        <v>3.415235911807557E-2</v>
      </c>
      <c r="P761" s="94">
        <f t="shared" si="218"/>
        <v>0</v>
      </c>
      <c r="Q761" s="94">
        <f t="shared" si="219"/>
        <v>49</v>
      </c>
      <c r="R761" s="94">
        <f t="shared" si="220"/>
        <v>11</v>
      </c>
      <c r="S761" s="94" t="str">
        <f>VLOOKUP(O761,'Lookup Values'!$I$2:$L$8,4,TRUE)</f>
        <v>Dead of Night</v>
      </c>
      <c r="T761" t="s">
        <v>86</v>
      </c>
      <c r="U761" t="s">
        <v>87</v>
      </c>
      <c r="V761" t="str">
        <f t="shared" si="221"/>
        <v>Education: Tango Lessons</v>
      </c>
      <c r="W761" t="s">
        <v>85</v>
      </c>
      <c r="X761" t="s">
        <v>91</v>
      </c>
      <c r="Y761" s="1">
        <v>287</v>
      </c>
      <c r="Z761" s="1" t="str">
        <f t="shared" si="222"/>
        <v>Education: $287.00</v>
      </c>
      <c r="AA761" s="1">
        <f>IF(Y761="","",ROUND(Y761*'Lookup Values'!$A$2,2))</f>
        <v>25.47</v>
      </c>
      <c r="AB761" s="12" t="str">
        <f t="shared" si="223"/>
        <v>Expense</v>
      </c>
      <c r="AC761" s="2" t="s">
        <v>806</v>
      </c>
      <c r="AD761" s="3">
        <f t="shared" si="224"/>
        <v>40487</v>
      </c>
      <c r="AE761" s="93" t="str">
        <f t="shared" si="225"/>
        <v>NO</v>
      </c>
      <c r="AF761" s="2" t="str">
        <f t="shared" si="226"/>
        <v>NO</v>
      </c>
      <c r="AG761" t="str">
        <f t="shared" si="227"/>
        <v>Late Transaction</v>
      </c>
    </row>
    <row r="762" spans="1:33" x14ac:dyDescent="0.25">
      <c r="A762" s="2">
        <v>761</v>
      </c>
      <c r="B762" s="3" t="str">
        <f t="shared" si="209"/>
        <v>100307-TR-MTA</v>
      </c>
      <c r="C762" s="3">
        <v>40244</v>
      </c>
      <c r="D762" s="3">
        <f t="shared" si="211"/>
        <v>40256</v>
      </c>
      <c r="E762" s="3">
        <f t="shared" si="212"/>
        <v>40305</v>
      </c>
      <c r="F762" s="3">
        <f t="shared" si="213"/>
        <v>40268</v>
      </c>
      <c r="G762" s="76">
        <f t="shared" si="214"/>
        <v>2010</v>
      </c>
      <c r="H762" s="76">
        <f t="shared" si="215"/>
        <v>3</v>
      </c>
      <c r="I762" s="76" t="str">
        <f>VLOOKUP(H762,'Lookup Values'!$C$2:$D$13,2,FALSE)</f>
        <v>MAR</v>
      </c>
      <c r="J762" s="76">
        <f t="shared" si="216"/>
        <v>7</v>
      </c>
      <c r="K762" s="76">
        <f t="shared" si="217"/>
        <v>1</v>
      </c>
      <c r="L762" s="76" t="str">
        <f>VLOOKUP(K762,'Lookup Values'!$F$2:$G$8,2,FALSE)</f>
        <v>Sunday</v>
      </c>
      <c r="M762" s="3">
        <v>40249</v>
      </c>
      <c r="N762" s="78">
        <f t="shared" si="210"/>
        <v>5</v>
      </c>
      <c r="O762" s="11">
        <v>0.79364760342965068</v>
      </c>
      <c r="P762" s="94">
        <f t="shared" si="218"/>
        <v>19</v>
      </c>
      <c r="Q762" s="94">
        <f t="shared" si="219"/>
        <v>2</v>
      </c>
      <c r="R762" s="94">
        <f t="shared" si="220"/>
        <v>51</v>
      </c>
      <c r="S762" s="94" t="str">
        <f>VLOOKUP(O762,'Lookup Values'!$I$2:$L$8,4,TRUE)</f>
        <v>Evening</v>
      </c>
      <c r="T762" t="s">
        <v>95</v>
      </c>
      <c r="U762" t="s">
        <v>96</v>
      </c>
      <c r="V762" t="str">
        <f t="shared" si="221"/>
        <v>Transportation: Subway</v>
      </c>
      <c r="W762" t="s">
        <v>94</v>
      </c>
      <c r="X762" t="s">
        <v>88</v>
      </c>
      <c r="Y762" s="1">
        <v>30</v>
      </c>
      <c r="Z762" s="1" t="str">
        <f t="shared" si="222"/>
        <v>Transportation: $30.00</v>
      </c>
      <c r="AA762" s="1">
        <f>IF(Y762="","",ROUND(Y762*'Lookup Values'!$A$2,2))</f>
        <v>2.66</v>
      </c>
      <c r="AB762" s="12" t="str">
        <f t="shared" si="223"/>
        <v>Expense</v>
      </c>
      <c r="AC762" s="2" t="s">
        <v>616</v>
      </c>
      <c r="AD762" s="3">
        <f t="shared" si="224"/>
        <v>40244</v>
      </c>
      <c r="AE762" s="93" t="str">
        <f t="shared" si="225"/>
        <v>YES</v>
      </c>
      <c r="AF762" s="2" t="str">
        <f t="shared" si="226"/>
        <v>NO</v>
      </c>
      <c r="AG762" t="str">
        <f t="shared" si="227"/>
        <v>Late Transaction</v>
      </c>
    </row>
    <row r="763" spans="1:33" x14ac:dyDescent="0.25">
      <c r="A763" s="2">
        <v>762</v>
      </c>
      <c r="B763" s="3" t="str">
        <f t="shared" si="209"/>
        <v>120423-EN-MOE</v>
      </c>
      <c r="C763" s="3">
        <v>41022</v>
      </c>
      <c r="D763" s="3">
        <f t="shared" si="211"/>
        <v>41036</v>
      </c>
      <c r="E763" s="3">
        <f t="shared" si="212"/>
        <v>41083</v>
      </c>
      <c r="F763" s="3">
        <f t="shared" si="213"/>
        <v>41029</v>
      </c>
      <c r="G763" s="76">
        <f t="shared" si="214"/>
        <v>2012</v>
      </c>
      <c r="H763" s="76">
        <f t="shared" si="215"/>
        <v>4</v>
      </c>
      <c r="I763" s="76" t="str">
        <f>VLOOKUP(H763,'Lookup Values'!$C$2:$D$13,2,FALSE)</f>
        <v>APR</v>
      </c>
      <c r="J763" s="76">
        <f t="shared" si="216"/>
        <v>23</v>
      </c>
      <c r="K763" s="76">
        <f t="shared" si="217"/>
        <v>2</v>
      </c>
      <c r="L763" s="76" t="str">
        <f>VLOOKUP(K763,'Lookup Values'!$F$2:$G$8,2,FALSE)</f>
        <v>Monday</v>
      </c>
      <c r="M763" s="3">
        <v>41031</v>
      </c>
      <c r="N763" s="78">
        <f t="shared" si="210"/>
        <v>9</v>
      </c>
      <c r="O763" s="11">
        <v>7.7055884322758561E-2</v>
      </c>
      <c r="P763" s="94">
        <f t="shared" si="218"/>
        <v>1</v>
      </c>
      <c r="Q763" s="94">
        <f t="shared" si="219"/>
        <v>50</v>
      </c>
      <c r="R763" s="94">
        <f t="shared" si="220"/>
        <v>58</v>
      </c>
      <c r="S763" s="94" t="str">
        <f>VLOOKUP(O763,'Lookup Values'!$I$2:$L$8,4,TRUE)</f>
        <v>Dead of Night</v>
      </c>
      <c r="T763" t="s">
        <v>76</v>
      </c>
      <c r="U763" t="s">
        <v>77</v>
      </c>
      <c r="V763" t="str">
        <f t="shared" si="221"/>
        <v>Entertainment: Alcohol</v>
      </c>
      <c r="W763" t="s">
        <v>75</v>
      </c>
      <c r="X763" t="s">
        <v>88</v>
      </c>
      <c r="Y763" s="1">
        <v>193</v>
      </c>
      <c r="Z763" s="1" t="str">
        <f t="shared" si="222"/>
        <v>Entertainment: $193.00</v>
      </c>
      <c r="AA763" s="1">
        <f>IF(Y763="","",ROUND(Y763*'Lookup Values'!$A$2,2))</f>
        <v>17.13</v>
      </c>
      <c r="AB763" s="12" t="str">
        <f t="shared" si="223"/>
        <v>Expense</v>
      </c>
      <c r="AC763" s="2" t="s">
        <v>807</v>
      </c>
      <c r="AD763" s="3">
        <f t="shared" si="224"/>
        <v>41022</v>
      </c>
      <c r="AE763" s="93" t="str">
        <f t="shared" si="225"/>
        <v>NO</v>
      </c>
      <c r="AF763" s="2" t="str">
        <f t="shared" si="226"/>
        <v>NO</v>
      </c>
      <c r="AG763" t="str">
        <f t="shared" si="227"/>
        <v>CRAP Transaction</v>
      </c>
    </row>
    <row r="764" spans="1:33" x14ac:dyDescent="0.25">
      <c r="A764" s="2">
        <v>763</v>
      </c>
      <c r="B764" s="3" t="str">
        <f t="shared" si="209"/>
        <v>101209-SH-EXP</v>
      </c>
      <c r="C764" s="3">
        <v>40521</v>
      </c>
      <c r="D764" s="3">
        <f t="shared" si="211"/>
        <v>40535</v>
      </c>
      <c r="E764" s="3">
        <f t="shared" si="212"/>
        <v>40583</v>
      </c>
      <c r="F764" s="3">
        <f t="shared" si="213"/>
        <v>40543</v>
      </c>
      <c r="G764" s="76">
        <f t="shared" si="214"/>
        <v>2010</v>
      </c>
      <c r="H764" s="76">
        <f t="shared" si="215"/>
        <v>12</v>
      </c>
      <c r="I764" s="76" t="str">
        <f>VLOOKUP(H764,'Lookup Values'!$C$2:$D$13,2,FALSE)</f>
        <v>DEC</v>
      </c>
      <c r="J764" s="76">
        <f t="shared" si="216"/>
        <v>9</v>
      </c>
      <c r="K764" s="76">
        <f t="shared" si="217"/>
        <v>5</v>
      </c>
      <c r="L764" s="76" t="str">
        <f>VLOOKUP(K764,'Lookup Values'!$F$2:$G$8,2,FALSE)</f>
        <v>Thursday</v>
      </c>
      <c r="M764" s="3">
        <v>40526</v>
      </c>
      <c r="N764" s="78">
        <f t="shared" si="210"/>
        <v>5</v>
      </c>
      <c r="O764" s="11">
        <v>0.39571443256966687</v>
      </c>
      <c r="P764" s="94">
        <f t="shared" si="218"/>
        <v>9</v>
      </c>
      <c r="Q764" s="94">
        <f t="shared" si="219"/>
        <v>29</v>
      </c>
      <c r="R764" s="94">
        <f t="shared" si="220"/>
        <v>50</v>
      </c>
      <c r="S764" s="94" t="str">
        <f>VLOOKUP(O764,'Lookup Values'!$I$2:$L$8,4,TRUE)</f>
        <v>Morning</v>
      </c>
      <c r="T764" t="s">
        <v>83</v>
      </c>
      <c r="U764" t="s">
        <v>103</v>
      </c>
      <c r="V764" t="str">
        <f t="shared" si="221"/>
        <v>Shopping: Clothing</v>
      </c>
      <c r="W764" t="s">
        <v>102</v>
      </c>
      <c r="X764" t="s">
        <v>78</v>
      </c>
      <c r="Y764" s="1">
        <v>13</v>
      </c>
      <c r="Z764" s="1" t="str">
        <f t="shared" si="222"/>
        <v>Shopping: $13.00</v>
      </c>
      <c r="AA764" s="1">
        <f>IF(Y764="","",ROUND(Y764*'Lookup Values'!$A$2,2))</f>
        <v>1.1499999999999999</v>
      </c>
      <c r="AB764" s="12" t="str">
        <f t="shared" si="223"/>
        <v>Expense</v>
      </c>
      <c r="AC764" s="2" t="s">
        <v>405</v>
      </c>
      <c r="AD764" s="3">
        <f t="shared" si="224"/>
        <v>40521</v>
      </c>
      <c r="AE764" s="93" t="str">
        <f t="shared" si="225"/>
        <v>NO</v>
      </c>
      <c r="AF764" s="2" t="str">
        <f t="shared" si="226"/>
        <v>NO</v>
      </c>
      <c r="AG764" t="str">
        <f t="shared" si="227"/>
        <v>Late Transaction</v>
      </c>
    </row>
    <row r="765" spans="1:33" x14ac:dyDescent="0.25">
      <c r="A765" s="2">
        <v>764</v>
      </c>
      <c r="B765" s="3" t="str">
        <f t="shared" si="209"/>
        <v>101126-TR-MTA</v>
      </c>
      <c r="C765" s="3">
        <v>40508</v>
      </c>
      <c r="D765" s="3">
        <f t="shared" si="211"/>
        <v>40522</v>
      </c>
      <c r="E765" s="3">
        <f t="shared" si="212"/>
        <v>40569</v>
      </c>
      <c r="F765" s="3">
        <f t="shared" si="213"/>
        <v>40512</v>
      </c>
      <c r="G765" s="76">
        <f t="shared" si="214"/>
        <v>2010</v>
      </c>
      <c r="H765" s="76">
        <f t="shared" si="215"/>
        <v>11</v>
      </c>
      <c r="I765" s="76" t="str">
        <f>VLOOKUP(H765,'Lookup Values'!$C$2:$D$13,2,FALSE)</f>
        <v>NOV</v>
      </c>
      <c r="J765" s="76">
        <f t="shared" si="216"/>
        <v>26</v>
      </c>
      <c r="K765" s="76">
        <f t="shared" si="217"/>
        <v>6</v>
      </c>
      <c r="L765" s="76" t="str">
        <f>VLOOKUP(K765,'Lookup Values'!$F$2:$G$8,2,FALSE)</f>
        <v>Friday</v>
      </c>
      <c r="M765" s="3">
        <v>40509</v>
      </c>
      <c r="N765" s="78">
        <f t="shared" si="210"/>
        <v>1</v>
      </c>
      <c r="O765" s="11">
        <v>0.26664700612280512</v>
      </c>
      <c r="P765" s="94">
        <f t="shared" si="218"/>
        <v>6</v>
      </c>
      <c r="Q765" s="94">
        <f t="shared" si="219"/>
        <v>23</v>
      </c>
      <c r="R765" s="94">
        <f t="shared" si="220"/>
        <v>58</v>
      </c>
      <c r="S765" s="94" t="str">
        <f>VLOOKUP(O765,'Lookup Values'!$I$2:$L$8,4,TRUE)</f>
        <v>Early Morning</v>
      </c>
      <c r="T765" t="s">
        <v>95</v>
      </c>
      <c r="U765" t="s">
        <v>96</v>
      </c>
      <c r="V765" t="str">
        <f t="shared" si="221"/>
        <v>Transportation: Subway</v>
      </c>
      <c r="W765" t="s">
        <v>94</v>
      </c>
      <c r="X765" t="s">
        <v>78</v>
      </c>
      <c r="Y765" s="1">
        <v>120</v>
      </c>
      <c r="Z765" s="1" t="str">
        <f t="shared" si="222"/>
        <v>Transportation: $120.00</v>
      </c>
      <c r="AA765" s="1">
        <f>IF(Y765="","",ROUND(Y765*'Lookup Values'!$A$2,2))</f>
        <v>10.65</v>
      </c>
      <c r="AB765" s="12" t="str">
        <f t="shared" si="223"/>
        <v>Expense</v>
      </c>
      <c r="AC765" s="2" t="s">
        <v>808</v>
      </c>
      <c r="AD765" s="3">
        <f t="shared" si="224"/>
        <v>40508</v>
      </c>
      <c r="AE765" s="93" t="str">
        <f t="shared" si="225"/>
        <v>YES</v>
      </c>
      <c r="AF765" s="2" t="str">
        <f t="shared" si="226"/>
        <v>NO</v>
      </c>
      <c r="AG765" t="str">
        <f t="shared" si="227"/>
        <v>Late Transaction</v>
      </c>
    </row>
    <row r="766" spans="1:33" x14ac:dyDescent="0.25">
      <c r="A766" s="2">
        <v>765</v>
      </c>
      <c r="B766" s="3" t="str">
        <f t="shared" si="209"/>
        <v>120507-EN-MOE</v>
      </c>
      <c r="C766" s="3">
        <v>41036</v>
      </c>
      <c r="D766" s="3">
        <f t="shared" si="211"/>
        <v>41050</v>
      </c>
      <c r="E766" s="3">
        <f t="shared" si="212"/>
        <v>41097</v>
      </c>
      <c r="F766" s="3">
        <f t="shared" si="213"/>
        <v>41060</v>
      </c>
      <c r="G766" s="76">
        <f t="shared" si="214"/>
        <v>2012</v>
      </c>
      <c r="H766" s="76">
        <f t="shared" si="215"/>
        <v>5</v>
      </c>
      <c r="I766" s="76" t="str">
        <f>VLOOKUP(H766,'Lookup Values'!$C$2:$D$13,2,FALSE)</f>
        <v>MAY</v>
      </c>
      <c r="J766" s="76">
        <f t="shared" si="216"/>
        <v>7</v>
      </c>
      <c r="K766" s="76">
        <f t="shared" si="217"/>
        <v>2</v>
      </c>
      <c r="L766" s="76" t="str">
        <f>VLOOKUP(K766,'Lookup Values'!$F$2:$G$8,2,FALSE)</f>
        <v>Monday</v>
      </c>
      <c r="M766" s="3">
        <v>41042</v>
      </c>
      <c r="N766" s="78">
        <f t="shared" si="210"/>
        <v>6</v>
      </c>
      <c r="O766" s="11">
        <v>0.62122524370024135</v>
      </c>
      <c r="P766" s="94">
        <f t="shared" si="218"/>
        <v>14</v>
      </c>
      <c r="Q766" s="94">
        <f t="shared" si="219"/>
        <v>54</v>
      </c>
      <c r="R766" s="94">
        <f t="shared" si="220"/>
        <v>34</v>
      </c>
      <c r="S766" s="94" t="str">
        <f>VLOOKUP(O766,'Lookup Values'!$I$2:$L$8,4,TRUE)</f>
        <v>Afternoon</v>
      </c>
      <c r="T766" t="s">
        <v>76</v>
      </c>
      <c r="U766" t="s">
        <v>77</v>
      </c>
      <c r="V766" t="str">
        <f t="shared" si="221"/>
        <v>Entertainment: Alcohol</v>
      </c>
      <c r="W766" t="s">
        <v>75</v>
      </c>
      <c r="X766" t="s">
        <v>78</v>
      </c>
      <c r="Y766" s="1">
        <v>327</v>
      </c>
      <c r="Z766" s="1" t="str">
        <f t="shared" si="222"/>
        <v>Entertainment: $327.00</v>
      </c>
      <c r="AA766" s="1">
        <f>IF(Y766="","",ROUND(Y766*'Lookup Values'!$A$2,2))</f>
        <v>29.02</v>
      </c>
      <c r="AB766" s="12" t="str">
        <f t="shared" si="223"/>
        <v>Expense</v>
      </c>
      <c r="AC766" s="2" t="s">
        <v>809</v>
      </c>
      <c r="AD766" s="3">
        <f t="shared" si="224"/>
        <v>41036</v>
      </c>
      <c r="AE766" s="93" t="str">
        <f t="shared" si="225"/>
        <v>NO</v>
      </c>
      <c r="AF766" s="2" t="str">
        <f t="shared" si="226"/>
        <v>NO</v>
      </c>
      <c r="AG766" t="str">
        <f t="shared" si="227"/>
        <v>CRAP Transaction</v>
      </c>
    </row>
    <row r="767" spans="1:33" x14ac:dyDescent="0.25">
      <c r="A767" s="2">
        <v>766</v>
      </c>
      <c r="B767" s="3" t="str">
        <f t="shared" si="209"/>
        <v>120404-ED-ANT</v>
      </c>
      <c r="C767" s="3">
        <v>41003</v>
      </c>
      <c r="D767" s="3">
        <f t="shared" si="211"/>
        <v>41017</v>
      </c>
      <c r="E767" s="3">
        <f t="shared" si="212"/>
        <v>41064</v>
      </c>
      <c r="F767" s="3">
        <f t="shared" si="213"/>
        <v>41029</v>
      </c>
      <c r="G767" s="76">
        <f t="shared" si="214"/>
        <v>2012</v>
      </c>
      <c r="H767" s="76">
        <f t="shared" si="215"/>
        <v>4</v>
      </c>
      <c r="I767" s="76" t="str">
        <f>VLOOKUP(H767,'Lookup Values'!$C$2:$D$13,2,FALSE)</f>
        <v>APR</v>
      </c>
      <c r="J767" s="76">
        <f t="shared" si="216"/>
        <v>4</v>
      </c>
      <c r="K767" s="76">
        <f t="shared" si="217"/>
        <v>4</v>
      </c>
      <c r="L767" s="76" t="str">
        <f>VLOOKUP(K767,'Lookup Values'!$F$2:$G$8,2,FALSE)</f>
        <v>Wednesday</v>
      </c>
      <c r="M767" s="3">
        <v>41012</v>
      </c>
      <c r="N767" s="78">
        <f t="shared" si="210"/>
        <v>9</v>
      </c>
      <c r="O767" s="11">
        <v>0.51362909867156159</v>
      </c>
      <c r="P767" s="94">
        <f t="shared" si="218"/>
        <v>12</v>
      </c>
      <c r="Q767" s="94">
        <f t="shared" si="219"/>
        <v>19</v>
      </c>
      <c r="R767" s="94">
        <f t="shared" si="220"/>
        <v>38</v>
      </c>
      <c r="S767" s="94" t="str">
        <f>VLOOKUP(O767,'Lookup Values'!$I$2:$L$8,4,TRUE)</f>
        <v>Afternoon</v>
      </c>
      <c r="T767" t="s">
        <v>86</v>
      </c>
      <c r="U767" t="s">
        <v>87</v>
      </c>
      <c r="V767" t="str">
        <f t="shared" si="221"/>
        <v>Education: Tango Lessons</v>
      </c>
      <c r="W767" t="s">
        <v>85</v>
      </c>
      <c r="X767" t="s">
        <v>78</v>
      </c>
      <c r="Y767" s="1">
        <v>428</v>
      </c>
      <c r="Z767" s="1" t="str">
        <f t="shared" si="222"/>
        <v>Education: $428.00</v>
      </c>
      <c r="AA767" s="1">
        <f>IF(Y767="","",ROUND(Y767*'Lookup Values'!$A$2,2))</f>
        <v>37.99</v>
      </c>
      <c r="AB767" s="12" t="str">
        <f t="shared" si="223"/>
        <v>Expense</v>
      </c>
      <c r="AC767" s="2" t="s">
        <v>747</v>
      </c>
      <c r="AD767" s="3">
        <f t="shared" si="224"/>
        <v>41003</v>
      </c>
      <c r="AE767" s="93" t="str">
        <f t="shared" si="225"/>
        <v>NO</v>
      </c>
      <c r="AF767" s="2" t="str">
        <f t="shared" si="226"/>
        <v>NO</v>
      </c>
      <c r="AG767" t="str">
        <f t="shared" si="227"/>
        <v>CRAP Transaction</v>
      </c>
    </row>
    <row r="768" spans="1:33" x14ac:dyDescent="0.25">
      <c r="A768" s="2">
        <v>767</v>
      </c>
      <c r="B768" s="3" t="str">
        <f t="shared" si="209"/>
        <v>090204-IN-EZE</v>
      </c>
      <c r="C768" s="3">
        <v>39848</v>
      </c>
      <c r="D768" s="3">
        <f t="shared" si="211"/>
        <v>39862</v>
      </c>
      <c r="E768" s="3">
        <f t="shared" si="212"/>
        <v>39907</v>
      </c>
      <c r="F768" s="3">
        <f t="shared" si="213"/>
        <v>39872</v>
      </c>
      <c r="G768" s="76">
        <f t="shared" si="214"/>
        <v>2009</v>
      </c>
      <c r="H768" s="76">
        <f t="shared" si="215"/>
        <v>2</v>
      </c>
      <c r="I768" s="76" t="str">
        <f>VLOOKUP(H768,'Lookup Values'!$C$2:$D$13,2,FALSE)</f>
        <v>FEB</v>
      </c>
      <c r="J768" s="76">
        <f t="shared" si="216"/>
        <v>4</v>
      </c>
      <c r="K768" s="76">
        <f t="shared" si="217"/>
        <v>4</v>
      </c>
      <c r="L768" s="76" t="str">
        <f>VLOOKUP(K768,'Lookup Values'!$F$2:$G$8,2,FALSE)</f>
        <v>Wednesday</v>
      </c>
      <c r="M768" s="3">
        <v>39853</v>
      </c>
      <c r="N768" s="78">
        <f t="shared" si="210"/>
        <v>5</v>
      </c>
      <c r="O768" s="11">
        <v>0.33771915403696573</v>
      </c>
      <c r="P768" s="94">
        <f t="shared" si="218"/>
        <v>8</v>
      </c>
      <c r="Q768" s="94">
        <f t="shared" si="219"/>
        <v>6</v>
      </c>
      <c r="R768" s="94">
        <f t="shared" si="220"/>
        <v>19</v>
      </c>
      <c r="S768" s="94" t="str">
        <f>VLOOKUP(O768,'Lookup Values'!$I$2:$L$8,4,TRUE)</f>
        <v>Morning</v>
      </c>
      <c r="T768" t="s">
        <v>158</v>
      </c>
      <c r="U768" t="s">
        <v>159</v>
      </c>
      <c r="V768" t="str">
        <f t="shared" si="221"/>
        <v>Income: Salary</v>
      </c>
      <c r="W768" t="s">
        <v>162</v>
      </c>
      <c r="X768" t="s">
        <v>78</v>
      </c>
      <c r="Y768" s="1">
        <v>109</v>
      </c>
      <c r="Z768" s="1" t="str">
        <f t="shared" si="222"/>
        <v>Income: $109.00</v>
      </c>
      <c r="AA768" s="1">
        <f>IF(Y768="","",ROUND(Y768*'Lookup Values'!$A$2,2))</f>
        <v>9.67</v>
      </c>
      <c r="AB768" s="12" t="str">
        <f t="shared" si="223"/>
        <v>Income</v>
      </c>
      <c r="AC768" s="2" t="s">
        <v>810</v>
      </c>
      <c r="AD768" s="3">
        <f t="shared" si="224"/>
        <v>39848</v>
      </c>
      <c r="AE768" s="93" t="str">
        <f t="shared" si="225"/>
        <v>NO</v>
      </c>
      <c r="AF768" s="2" t="str">
        <f t="shared" si="226"/>
        <v>NO</v>
      </c>
      <c r="AG768" t="str">
        <f t="shared" si="227"/>
        <v>Late Transaction</v>
      </c>
    </row>
    <row r="769" spans="1:33" x14ac:dyDescent="0.25">
      <c r="A769" s="2">
        <v>768</v>
      </c>
      <c r="B769" s="3" t="str">
        <f t="shared" si="209"/>
        <v>080701-ED-SKI</v>
      </c>
      <c r="C769" s="3">
        <v>39630</v>
      </c>
      <c r="D769" s="3">
        <f t="shared" si="211"/>
        <v>39644</v>
      </c>
      <c r="E769" s="3">
        <f t="shared" si="212"/>
        <v>39692</v>
      </c>
      <c r="F769" s="3">
        <f t="shared" si="213"/>
        <v>39660</v>
      </c>
      <c r="G769" s="76">
        <f t="shared" si="214"/>
        <v>2008</v>
      </c>
      <c r="H769" s="76">
        <f t="shared" si="215"/>
        <v>7</v>
      </c>
      <c r="I769" s="76" t="str">
        <f>VLOOKUP(H769,'Lookup Values'!$C$2:$D$13,2,FALSE)</f>
        <v>JUL</v>
      </c>
      <c r="J769" s="76">
        <f t="shared" si="216"/>
        <v>1</v>
      </c>
      <c r="K769" s="76">
        <f t="shared" si="217"/>
        <v>3</v>
      </c>
      <c r="L769" s="76" t="str">
        <f>VLOOKUP(K769,'Lookup Values'!$F$2:$G$8,2,FALSE)</f>
        <v>Tuesday</v>
      </c>
      <c r="M769" s="3">
        <v>39631</v>
      </c>
      <c r="N769" s="78">
        <f t="shared" si="210"/>
        <v>1</v>
      </c>
      <c r="O769" s="11">
        <v>0.67054975530818473</v>
      </c>
      <c r="P769" s="94">
        <f t="shared" si="218"/>
        <v>16</v>
      </c>
      <c r="Q769" s="94">
        <f t="shared" si="219"/>
        <v>5</v>
      </c>
      <c r="R769" s="94">
        <f t="shared" si="220"/>
        <v>35</v>
      </c>
      <c r="S769" s="94" t="str">
        <f>VLOOKUP(O769,'Lookup Values'!$I$2:$L$8,4,TRUE)</f>
        <v>Afternoon</v>
      </c>
      <c r="T769" t="s">
        <v>86</v>
      </c>
      <c r="U769" t="s">
        <v>98</v>
      </c>
      <c r="V769" t="str">
        <f t="shared" si="221"/>
        <v>Education: Professional Development</v>
      </c>
      <c r="W769" t="s">
        <v>97</v>
      </c>
      <c r="X769" t="s">
        <v>88</v>
      </c>
      <c r="Y769" s="1">
        <v>404</v>
      </c>
      <c r="Z769" s="1" t="str">
        <f t="shared" si="222"/>
        <v>Education: $404.00</v>
      </c>
      <c r="AA769" s="1">
        <f>IF(Y769="","",ROUND(Y769*'Lookup Values'!$A$2,2))</f>
        <v>35.86</v>
      </c>
      <c r="AB769" s="12" t="str">
        <f t="shared" si="223"/>
        <v>Expense</v>
      </c>
      <c r="AC769" s="2" t="s">
        <v>811</v>
      </c>
      <c r="AD769" s="3">
        <f t="shared" si="224"/>
        <v>39630</v>
      </c>
      <c r="AE769" s="93" t="str">
        <f t="shared" si="225"/>
        <v>YES</v>
      </c>
      <c r="AF769" s="2" t="str">
        <f t="shared" si="226"/>
        <v>YES</v>
      </c>
      <c r="AG769" t="str">
        <f t="shared" si="227"/>
        <v>Late Transaction</v>
      </c>
    </row>
    <row r="770" spans="1:33" x14ac:dyDescent="0.25">
      <c r="A770" s="2">
        <v>769</v>
      </c>
      <c r="B770" s="3" t="str">
        <f t="shared" ref="B770:B833" si="228">TEXT(C770,"yymmdd") &amp; "-" &amp; UPPER(LEFT(T770,2)) &amp; "-" &amp; UPPER(LEFT(W770,3))</f>
        <v>070803-SH-AMA</v>
      </c>
      <c r="C770" s="3">
        <v>39297</v>
      </c>
      <c r="D770" s="3">
        <f t="shared" si="211"/>
        <v>39311</v>
      </c>
      <c r="E770" s="3">
        <f t="shared" si="212"/>
        <v>39358</v>
      </c>
      <c r="F770" s="3">
        <f t="shared" si="213"/>
        <v>39325</v>
      </c>
      <c r="G770" s="76">
        <f t="shared" si="214"/>
        <v>2007</v>
      </c>
      <c r="H770" s="76">
        <f t="shared" si="215"/>
        <v>8</v>
      </c>
      <c r="I770" s="76" t="str">
        <f>VLOOKUP(H770,'Lookup Values'!$C$2:$D$13,2,FALSE)</f>
        <v>AUG</v>
      </c>
      <c r="J770" s="76">
        <f t="shared" si="216"/>
        <v>3</v>
      </c>
      <c r="K770" s="76">
        <f t="shared" si="217"/>
        <v>6</v>
      </c>
      <c r="L770" s="76" t="str">
        <f>VLOOKUP(K770,'Lookup Values'!$F$2:$G$8,2,FALSE)</f>
        <v>Friday</v>
      </c>
      <c r="M770" s="3">
        <v>39300</v>
      </c>
      <c r="N770" s="78">
        <f t="shared" ref="N770:N833" si="229">M770-C770</f>
        <v>3</v>
      </c>
      <c r="O770" s="11">
        <v>0.36072282053459093</v>
      </c>
      <c r="P770" s="94">
        <f t="shared" si="218"/>
        <v>8</v>
      </c>
      <c r="Q770" s="94">
        <f t="shared" si="219"/>
        <v>39</v>
      </c>
      <c r="R770" s="94">
        <f t="shared" si="220"/>
        <v>26</v>
      </c>
      <c r="S770" s="94" t="str">
        <f>VLOOKUP(O770,'Lookup Values'!$I$2:$L$8,4,TRUE)</f>
        <v>Morning</v>
      </c>
      <c r="T770" t="s">
        <v>83</v>
      </c>
      <c r="U770" t="s">
        <v>84</v>
      </c>
      <c r="V770" t="str">
        <f t="shared" si="221"/>
        <v>Shopping: Electronics</v>
      </c>
      <c r="W770" t="s">
        <v>82</v>
      </c>
      <c r="X770" t="s">
        <v>78</v>
      </c>
      <c r="Y770" s="1">
        <v>441</v>
      </c>
      <c r="Z770" s="1" t="str">
        <f t="shared" si="222"/>
        <v>Shopping: $441.00</v>
      </c>
      <c r="AA770" s="1">
        <f>IF(Y770="","",ROUND(Y770*'Lookup Values'!$A$2,2))</f>
        <v>39.14</v>
      </c>
      <c r="AB770" s="12" t="str">
        <f t="shared" si="223"/>
        <v>Expense</v>
      </c>
      <c r="AC770" s="2" t="s">
        <v>316</v>
      </c>
      <c r="AD770" s="3">
        <f t="shared" si="224"/>
        <v>39297</v>
      </c>
      <c r="AE770" s="93" t="str">
        <f t="shared" si="225"/>
        <v>YES</v>
      </c>
      <c r="AF770" s="2" t="str">
        <f t="shared" si="226"/>
        <v>YES</v>
      </c>
      <c r="AG770" t="str">
        <f t="shared" si="227"/>
        <v>Awesome Transaction</v>
      </c>
    </row>
    <row r="771" spans="1:33" x14ac:dyDescent="0.25">
      <c r="A771" s="2">
        <v>770</v>
      </c>
      <c r="B771" s="3" t="str">
        <f t="shared" si="228"/>
        <v>090606-EN-MOE</v>
      </c>
      <c r="C771" s="3">
        <v>39970</v>
      </c>
      <c r="D771" s="3">
        <f t="shared" ref="D771:D834" si="230">WORKDAY(C771,10)</f>
        <v>39983</v>
      </c>
      <c r="E771" s="3">
        <f t="shared" ref="E771:E834" si="231">EDATE(C771,2)</f>
        <v>40031</v>
      </c>
      <c r="F771" s="3">
        <f t="shared" ref="F771:F834" si="232">EOMONTH(C771,0)</f>
        <v>39994</v>
      </c>
      <c r="G771" s="76">
        <f t="shared" ref="G771:G834" si="233">YEAR(C771)</f>
        <v>2009</v>
      </c>
      <c r="H771" s="76">
        <f t="shared" ref="H771:H834" si="234">MONTH(C771)</f>
        <v>6</v>
      </c>
      <c r="I771" s="76" t="str">
        <f>VLOOKUP(H771,'Lookup Values'!$C$2:$D$13,2,FALSE)</f>
        <v>JUN</v>
      </c>
      <c r="J771" s="76">
        <f t="shared" ref="J771:J834" si="235">DAY(C771)</f>
        <v>6</v>
      </c>
      <c r="K771" s="76">
        <f t="shared" ref="K771:K834" si="236">WEEKDAY(C771)</f>
        <v>7</v>
      </c>
      <c r="L771" s="76" t="str">
        <f>VLOOKUP(K771,'Lookup Values'!$F$2:$G$8,2,FALSE)</f>
        <v>Saturday</v>
      </c>
      <c r="M771" s="3">
        <v>39978</v>
      </c>
      <c r="N771" s="78">
        <f t="shared" si="229"/>
        <v>8</v>
      </c>
      <c r="O771" s="11">
        <v>0.72087298128145516</v>
      </c>
      <c r="P771" s="94">
        <f t="shared" ref="P771:P834" si="237">HOUR(O771)</f>
        <v>17</v>
      </c>
      <c r="Q771" s="94">
        <f t="shared" ref="Q771:Q834" si="238">MINUTE(O771)</f>
        <v>18</v>
      </c>
      <c r="R771" s="94">
        <f t="shared" ref="R771:R834" si="239">SECOND(O771)</f>
        <v>3</v>
      </c>
      <c r="S771" s="94" t="str">
        <f>VLOOKUP(O771,'Lookup Values'!$I$2:$L$8,4,TRUE)</f>
        <v>Evening</v>
      </c>
      <c r="T771" t="s">
        <v>76</v>
      </c>
      <c r="U771" t="s">
        <v>77</v>
      </c>
      <c r="V771" t="str">
        <f t="shared" ref="V771:V834" si="240">T771 &amp; ": " &amp; U771</f>
        <v>Entertainment: Alcohol</v>
      </c>
      <c r="W771" t="s">
        <v>75</v>
      </c>
      <c r="X771" t="s">
        <v>88</v>
      </c>
      <c r="Y771" s="1">
        <v>151</v>
      </c>
      <c r="Z771" s="1" t="str">
        <f t="shared" ref="Z771:Z834" si="241">T771 &amp; ": " &amp; TEXT(Y771,"$#,###.00")</f>
        <v>Entertainment: $151.00</v>
      </c>
      <c r="AA771" s="1">
        <f>IF(Y771="","",ROUND(Y771*'Lookup Values'!$A$2,2))</f>
        <v>13.4</v>
      </c>
      <c r="AB771" s="12" t="str">
        <f t="shared" ref="AB771:AB834" si="242">IF(T771="Income","Income","Expense")</f>
        <v>Expense</v>
      </c>
      <c r="AC771" s="2" t="s">
        <v>812</v>
      </c>
      <c r="AD771" s="3">
        <f t="shared" ref="AD771:AD834" si="243">VALUE(SUBSTITUTE(AC771,".","/"))</f>
        <v>39970</v>
      </c>
      <c r="AE771" s="93" t="str">
        <f t="shared" ref="AE771:AE834" si="244">IF(OR(T771="Transportation",U771="Professional Development",U771="Electronics"),"YES","NO")</f>
        <v>NO</v>
      </c>
      <c r="AF771" s="2" t="str">
        <f t="shared" ref="AF771:AF834" si="245">IF(AND(AE771="YES",Y771&gt;=400),"YES","NO")</f>
        <v>NO</v>
      </c>
      <c r="AG771" t="str">
        <f t="shared" ref="AG771:AG834" si="246">IF(AND(AND(G771&gt;=2007,G771&lt;=2009),OR(W771&lt;&gt;"MTA",W771&lt;&gt;"Fandango"),OR(T771="Food",T771="Shopping",T771="Entertainment")),"Awesome Transaction",IF(AND(G771&lt;=2010,U771&lt;&gt;"Alcohol"),"Late Transaction",IF(G771=2006,"Early Transaction","CRAP Transaction")))</f>
        <v>Awesome Transaction</v>
      </c>
    </row>
    <row r="772" spans="1:33" x14ac:dyDescent="0.25">
      <c r="A772" s="2">
        <v>771</v>
      </c>
      <c r="B772" s="3" t="str">
        <f t="shared" si="228"/>
        <v>090926-EN-FAN</v>
      </c>
      <c r="C772" s="3">
        <v>40082</v>
      </c>
      <c r="D772" s="3">
        <f t="shared" si="230"/>
        <v>40095</v>
      </c>
      <c r="E772" s="3">
        <f t="shared" si="231"/>
        <v>40143</v>
      </c>
      <c r="F772" s="3">
        <f t="shared" si="232"/>
        <v>40086</v>
      </c>
      <c r="G772" s="76">
        <f t="shared" si="233"/>
        <v>2009</v>
      </c>
      <c r="H772" s="76">
        <f t="shared" si="234"/>
        <v>9</v>
      </c>
      <c r="I772" s="76" t="str">
        <f>VLOOKUP(H772,'Lookup Values'!$C$2:$D$13,2,FALSE)</f>
        <v>SEP</v>
      </c>
      <c r="J772" s="76">
        <f t="shared" si="235"/>
        <v>26</v>
      </c>
      <c r="K772" s="76">
        <f t="shared" si="236"/>
        <v>7</v>
      </c>
      <c r="L772" s="76" t="str">
        <f>VLOOKUP(K772,'Lookup Values'!$F$2:$G$8,2,FALSE)</f>
        <v>Saturday</v>
      </c>
      <c r="M772" s="3">
        <v>40083</v>
      </c>
      <c r="N772" s="78">
        <f t="shared" si="229"/>
        <v>1</v>
      </c>
      <c r="O772" s="11">
        <v>3.5135725121401284E-2</v>
      </c>
      <c r="P772" s="94">
        <f t="shared" si="237"/>
        <v>0</v>
      </c>
      <c r="Q772" s="94">
        <f t="shared" si="238"/>
        <v>50</v>
      </c>
      <c r="R772" s="94">
        <f t="shared" si="239"/>
        <v>36</v>
      </c>
      <c r="S772" s="94" t="str">
        <f>VLOOKUP(O772,'Lookup Values'!$I$2:$L$8,4,TRUE)</f>
        <v>Dead of Night</v>
      </c>
      <c r="T772" t="s">
        <v>76</v>
      </c>
      <c r="U772" t="s">
        <v>90</v>
      </c>
      <c r="V772" t="str">
        <f t="shared" si="240"/>
        <v>Entertainment: Movies</v>
      </c>
      <c r="W772" t="s">
        <v>89</v>
      </c>
      <c r="X772" t="s">
        <v>88</v>
      </c>
      <c r="Y772" s="1">
        <v>63</v>
      </c>
      <c r="Z772" s="1" t="str">
        <f t="shared" si="241"/>
        <v>Entertainment: $63.00</v>
      </c>
      <c r="AA772" s="1">
        <f>IF(Y772="","",ROUND(Y772*'Lookup Values'!$A$2,2))</f>
        <v>5.59</v>
      </c>
      <c r="AB772" s="12" t="str">
        <f t="shared" si="242"/>
        <v>Expense</v>
      </c>
      <c r="AC772" s="2" t="s">
        <v>813</v>
      </c>
      <c r="AD772" s="3">
        <f t="shared" si="243"/>
        <v>40082</v>
      </c>
      <c r="AE772" s="93" t="str">
        <f t="shared" si="244"/>
        <v>NO</v>
      </c>
      <c r="AF772" s="2" t="str">
        <f t="shared" si="245"/>
        <v>NO</v>
      </c>
      <c r="AG772" t="str">
        <f t="shared" si="246"/>
        <v>Awesome Transaction</v>
      </c>
    </row>
    <row r="773" spans="1:33" x14ac:dyDescent="0.25">
      <c r="A773" s="2">
        <v>772</v>
      </c>
      <c r="B773" s="3" t="str">
        <f t="shared" si="228"/>
        <v>090915-TR-MTA</v>
      </c>
      <c r="C773" s="3">
        <v>40071</v>
      </c>
      <c r="D773" s="3">
        <f t="shared" si="230"/>
        <v>40085</v>
      </c>
      <c r="E773" s="3">
        <f t="shared" si="231"/>
        <v>40132</v>
      </c>
      <c r="F773" s="3">
        <f t="shared" si="232"/>
        <v>40086</v>
      </c>
      <c r="G773" s="76">
        <f t="shared" si="233"/>
        <v>2009</v>
      </c>
      <c r="H773" s="76">
        <f t="shared" si="234"/>
        <v>9</v>
      </c>
      <c r="I773" s="76" t="str">
        <f>VLOOKUP(H773,'Lookup Values'!$C$2:$D$13,2,FALSE)</f>
        <v>SEP</v>
      </c>
      <c r="J773" s="76">
        <f t="shared" si="235"/>
        <v>15</v>
      </c>
      <c r="K773" s="76">
        <f t="shared" si="236"/>
        <v>3</v>
      </c>
      <c r="L773" s="76" t="str">
        <f>VLOOKUP(K773,'Lookup Values'!$F$2:$G$8,2,FALSE)</f>
        <v>Tuesday</v>
      </c>
      <c r="M773" s="3">
        <v>40078</v>
      </c>
      <c r="N773" s="78">
        <f t="shared" si="229"/>
        <v>7</v>
      </c>
      <c r="O773" s="11">
        <v>0.9167866574812793</v>
      </c>
      <c r="P773" s="94">
        <f t="shared" si="237"/>
        <v>22</v>
      </c>
      <c r="Q773" s="94">
        <f t="shared" si="238"/>
        <v>0</v>
      </c>
      <c r="R773" s="94">
        <f t="shared" si="239"/>
        <v>10</v>
      </c>
      <c r="S773" s="94" t="str">
        <f>VLOOKUP(O773,'Lookup Values'!$I$2:$L$8,4,TRUE)</f>
        <v>Late Evening</v>
      </c>
      <c r="T773" t="s">
        <v>95</v>
      </c>
      <c r="U773" t="s">
        <v>96</v>
      </c>
      <c r="V773" t="str">
        <f t="shared" si="240"/>
        <v>Transportation: Subway</v>
      </c>
      <c r="W773" t="s">
        <v>94</v>
      </c>
      <c r="X773" t="s">
        <v>91</v>
      </c>
      <c r="Y773" s="1">
        <v>323</v>
      </c>
      <c r="Z773" s="1" t="str">
        <f t="shared" si="241"/>
        <v>Transportation: $323.00</v>
      </c>
      <c r="AA773" s="1">
        <f>IF(Y773="","",ROUND(Y773*'Lookup Values'!$A$2,2))</f>
        <v>28.67</v>
      </c>
      <c r="AB773" s="12" t="str">
        <f t="shared" si="242"/>
        <v>Expense</v>
      </c>
      <c r="AC773" s="2" t="s">
        <v>315</v>
      </c>
      <c r="AD773" s="3">
        <f t="shared" si="243"/>
        <v>40071</v>
      </c>
      <c r="AE773" s="93" t="str">
        <f t="shared" si="244"/>
        <v>YES</v>
      </c>
      <c r="AF773" s="2" t="str">
        <f t="shared" si="245"/>
        <v>NO</v>
      </c>
      <c r="AG773" t="str">
        <f t="shared" si="246"/>
        <v>Late Transaction</v>
      </c>
    </row>
    <row r="774" spans="1:33" x14ac:dyDescent="0.25">
      <c r="A774" s="2">
        <v>773</v>
      </c>
      <c r="B774" s="3" t="str">
        <f t="shared" si="228"/>
        <v>070224-FO-TRA</v>
      </c>
      <c r="C774" s="3">
        <v>39137</v>
      </c>
      <c r="D774" s="3">
        <f t="shared" si="230"/>
        <v>39150</v>
      </c>
      <c r="E774" s="3">
        <f t="shared" si="231"/>
        <v>39196</v>
      </c>
      <c r="F774" s="3">
        <f t="shared" si="232"/>
        <v>39141</v>
      </c>
      <c r="G774" s="76">
        <f t="shared" si="233"/>
        <v>2007</v>
      </c>
      <c r="H774" s="76">
        <f t="shared" si="234"/>
        <v>2</v>
      </c>
      <c r="I774" s="76" t="str">
        <f>VLOOKUP(H774,'Lookup Values'!$C$2:$D$13,2,FALSE)</f>
        <v>FEB</v>
      </c>
      <c r="J774" s="76">
        <f t="shared" si="235"/>
        <v>24</v>
      </c>
      <c r="K774" s="76">
        <f t="shared" si="236"/>
        <v>7</v>
      </c>
      <c r="L774" s="76" t="str">
        <f>VLOOKUP(K774,'Lookup Values'!$F$2:$G$8,2,FALSE)</f>
        <v>Saturday</v>
      </c>
      <c r="M774" s="3">
        <v>39141</v>
      </c>
      <c r="N774" s="78">
        <f t="shared" si="229"/>
        <v>4</v>
      </c>
      <c r="O774" s="11">
        <v>0.94106457704294633</v>
      </c>
      <c r="P774" s="94">
        <f t="shared" si="237"/>
        <v>22</v>
      </c>
      <c r="Q774" s="94">
        <f t="shared" si="238"/>
        <v>35</v>
      </c>
      <c r="R774" s="94">
        <f t="shared" si="239"/>
        <v>8</v>
      </c>
      <c r="S774" s="94" t="str">
        <f>VLOOKUP(O774,'Lookup Values'!$I$2:$L$8,4,TRUE)</f>
        <v>Late Evening</v>
      </c>
      <c r="T774" t="s">
        <v>80</v>
      </c>
      <c r="U774" t="s">
        <v>93</v>
      </c>
      <c r="V774" t="str">
        <f t="shared" si="240"/>
        <v>Food: Groceries</v>
      </c>
      <c r="W774" t="s">
        <v>92</v>
      </c>
      <c r="X774" t="s">
        <v>91</v>
      </c>
      <c r="Y774" s="1">
        <v>161</v>
      </c>
      <c r="Z774" s="1" t="str">
        <f t="shared" si="241"/>
        <v>Food: $161.00</v>
      </c>
      <c r="AA774" s="1">
        <f>IF(Y774="","",ROUND(Y774*'Lookup Values'!$A$2,2))</f>
        <v>14.29</v>
      </c>
      <c r="AB774" s="12" t="str">
        <f t="shared" si="242"/>
        <v>Expense</v>
      </c>
      <c r="AC774" s="2" t="s">
        <v>814</v>
      </c>
      <c r="AD774" s="3">
        <f t="shared" si="243"/>
        <v>39137</v>
      </c>
      <c r="AE774" s="93" t="str">
        <f t="shared" si="244"/>
        <v>NO</v>
      </c>
      <c r="AF774" s="2" t="str">
        <f t="shared" si="245"/>
        <v>NO</v>
      </c>
      <c r="AG774" t="str">
        <f t="shared" si="246"/>
        <v>Awesome Transaction</v>
      </c>
    </row>
    <row r="775" spans="1:33" x14ac:dyDescent="0.25">
      <c r="A775" s="2">
        <v>774</v>
      </c>
      <c r="B775" s="3" t="str">
        <f t="shared" si="228"/>
        <v>100718-HO-BED</v>
      </c>
      <c r="C775" s="3">
        <v>40377</v>
      </c>
      <c r="D775" s="3">
        <f t="shared" si="230"/>
        <v>40389</v>
      </c>
      <c r="E775" s="3">
        <f t="shared" si="231"/>
        <v>40439</v>
      </c>
      <c r="F775" s="3">
        <f t="shared" si="232"/>
        <v>40390</v>
      </c>
      <c r="G775" s="76">
        <f t="shared" si="233"/>
        <v>2010</v>
      </c>
      <c r="H775" s="76">
        <f t="shared" si="234"/>
        <v>7</v>
      </c>
      <c r="I775" s="76" t="str">
        <f>VLOOKUP(H775,'Lookup Values'!$C$2:$D$13,2,FALSE)</f>
        <v>JUL</v>
      </c>
      <c r="J775" s="76">
        <f t="shared" si="235"/>
        <v>18</v>
      </c>
      <c r="K775" s="76">
        <f t="shared" si="236"/>
        <v>1</v>
      </c>
      <c r="L775" s="76" t="str">
        <f>VLOOKUP(K775,'Lookup Values'!$F$2:$G$8,2,FALSE)</f>
        <v>Sunday</v>
      </c>
      <c r="M775" s="3">
        <v>40383</v>
      </c>
      <c r="N775" s="78">
        <f t="shared" si="229"/>
        <v>6</v>
      </c>
      <c r="O775" s="11">
        <v>0.61478799187400424</v>
      </c>
      <c r="P775" s="94">
        <f t="shared" si="237"/>
        <v>14</v>
      </c>
      <c r="Q775" s="94">
        <f t="shared" si="238"/>
        <v>45</v>
      </c>
      <c r="R775" s="94">
        <f t="shared" si="239"/>
        <v>18</v>
      </c>
      <c r="S775" s="94" t="str">
        <f>VLOOKUP(O775,'Lookup Values'!$I$2:$L$8,4,TRUE)</f>
        <v>Afternoon</v>
      </c>
      <c r="T775" t="s">
        <v>100</v>
      </c>
      <c r="U775" t="s">
        <v>101</v>
      </c>
      <c r="V775" t="str">
        <f t="shared" si="240"/>
        <v>Home: Cleaning Supplies</v>
      </c>
      <c r="W775" t="s">
        <v>99</v>
      </c>
      <c r="X775" t="s">
        <v>91</v>
      </c>
      <c r="Y775" s="1">
        <v>208</v>
      </c>
      <c r="Z775" s="1" t="str">
        <f t="shared" si="241"/>
        <v>Home: $208.00</v>
      </c>
      <c r="AA775" s="1">
        <f>IF(Y775="","",ROUND(Y775*'Lookup Values'!$A$2,2))</f>
        <v>18.46</v>
      </c>
      <c r="AB775" s="12" t="str">
        <f t="shared" si="242"/>
        <v>Expense</v>
      </c>
      <c r="AC775" s="2" t="s">
        <v>815</v>
      </c>
      <c r="AD775" s="3">
        <f t="shared" si="243"/>
        <v>40377</v>
      </c>
      <c r="AE775" s="93" t="str">
        <f t="shared" si="244"/>
        <v>NO</v>
      </c>
      <c r="AF775" s="2" t="str">
        <f t="shared" si="245"/>
        <v>NO</v>
      </c>
      <c r="AG775" t="str">
        <f t="shared" si="246"/>
        <v>Late Transaction</v>
      </c>
    </row>
    <row r="776" spans="1:33" x14ac:dyDescent="0.25">
      <c r="A776" s="2">
        <v>775</v>
      </c>
      <c r="B776" s="3" t="str">
        <f t="shared" si="228"/>
        <v>110710-FO-CIT</v>
      </c>
      <c r="C776" s="3">
        <v>40734</v>
      </c>
      <c r="D776" s="3">
        <f t="shared" si="230"/>
        <v>40746</v>
      </c>
      <c r="E776" s="3">
        <f t="shared" si="231"/>
        <v>40796</v>
      </c>
      <c r="F776" s="3">
        <f t="shared" si="232"/>
        <v>40755</v>
      </c>
      <c r="G776" s="76">
        <f t="shared" si="233"/>
        <v>2011</v>
      </c>
      <c r="H776" s="76">
        <f t="shared" si="234"/>
        <v>7</v>
      </c>
      <c r="I776" s="76" t="str">
        <f>VLOOKUP(H776,'Lookup Values'!$C$2:$D$13,2,FALSE)</f>
        <v>JUL</v>
      </c>
      <c r="J776" s="76">
        <f t="shared" si="235"/>
        <v>10</v>
      </c>
      <c r="K776" s="76">
        <f t="shared" si="236"/>
        <v>1</v>
      </c>
      <c r="L776" s="76" t="str">
        <f>VLOOKUP(K776,'Lookup Values'!$F$2:$G$8,2,FALSE)</f>
        <v>Sunday</v>
      </c>
      <c r="M776" s="3">
        <v>40739</v>
      </c>
      <c r="N776" s="78">
        <f t="shared" si="229"/>
        <v>5</v>
      </c>
      <c r="O776" s="11">
        <v>0.79202206028668465</v>
      </c>
      <c r="P776" s="94">
        <f t="shared" si="237"/>
        <v>19</v>
      </c>
      <c r="Q776" s="94">
        <f t="shared" si="238"/>
        <v>0</v>
      </c>
      <c r="R776" s="94">
        <f t="shared" si="239"/>
        <v>31</v>
      </c>
      <c r="S776" s="94" t="str">
        <f>VLOOKUP(O776,'Lookup Values'!$I$2:$L$8,4,TRUE)</f>
        <v>Evening</v>
      </c>
      <c r="T776" t="s">
        <v>80</v>
      </c>
      <c r="U776" t="s">
        <v>105</v>
      </c>
      <c r="V776" t="str">
        <f t="shared" si="240"/>
        <v>Food: Coffee</v>
      </c>
      <c r="W776" t="s">
        <v>104</v>
      </c>
      <c r="X776" t="s">
        <v>88</v>
      </c>
      <c r="Y776" s="1">
        <v>365</v>
      </c>
      <c r="Z776" s="1" t="str">
        <f t="shared" si="241"/>
        <v>Food: $365.00</v>
      </c>
      <c r="AA776" s="1">
        <f>IF(Y776="","",ROUND(Y776*'Lookup Values'!$A$2,2))</f>
        <v>32.39</v>
      </c>
      <c r="AB776" s="12" t="str">
        <f t="shared" si="242"/>
        <v>Expense</v>
      </c>
      <c r="AC776" s="2" t="s">
        <v>816</v>
      </c>
      <c r="AD776" s="3">
        <f t="shared" si="243"/>
        <v>40734</v>
      </c>
      <c r="AE776" s="93" t="str">
        <f t="shared" si="244"/>
        <v>NO</v>
      </c>
      <c r="AF776" s="2" t="str">
        <f t="shared" si="245"/>
        <v>NO</v>
      </c>
      <c r="AG776" t="str">
        <f t="shared" si="246"/>
        <v>CRAP Transaction</v>
      </c>
    </row>
    <row r="777" spans="1:33" x14ac:dyDescent="0.25">
      <c r="A777" s="2">
        <v>776</v>
      </c>
      <c r="B777" s="3" t="str">
        <f t="shared" si="228"/>
        <v>090625-HE-FRE</v>
      </c>
      <c r="C777" s="3">
        <v>39989</v>
      </c>
      <c r="D777" s="3">
        <f t="shared" si="230"/>
        <v>40003</v>
      </c>
      <c r="E777" s="3">
        <f t="shared" si="231"/>
        <v>40050</v>
      </c>
      <c r="F777" s="3">
        <f t="shared" si="232"/>
        <v>39994</v>
      </c>
      <c r="G777" s="76">
        <f t="shared" si="233"/>
        <v>2009</v>
      </c>
      <c r="H777" s="76">
        <f t="shared" si="234"/>
        <v>6</v>
      </c>
      <c r="I777" s="76" t="str">
        <f>VLOOKUP(H777,'Lookup Values'!$C$2:$D$13,2,FALSE)</f>
        <v>JUN</v>
      </c>
      <c r="J777" s="76">
        <f t="shared" si="235"/>
        <v>25</v>
      </c>
      <c r="K777" s="76">
        <f t="shared" si="236"/>
        <v>5</v>
      </c>
      <c r="L777" s="76" t="str">
        <f>VLOOKUP(K777,'Lookup Values'!$F$2:$G$8,2,FALSE)</f>
        <v>Thursday</v>
      </c>
      <c r="M777" s="3">
        <v>39992</v>
      </c>
      <c r="N777" s="78">
        <f t="shared" si="229"/>
        <v>3</v>
      </c>
      <c r="O777" s="11">
        <v>0.42435954594229042</v>
      </c>
      <c r="P777" s="94">
        <f t="shared" si="237"/>
        <v>10</v>
      </c>
      <c r="Q777" s="94">
        <f t="shared" si="238"/>
        <v>11</v>
      </c>
      <c r="R777" s="94">
        <f t="shared" si="239"/>
        <v>5</v>
      </c>
      <c r="S777" s="94" t="str">
        <f>VLOOKUP(O777,'Lookup Values'!$I$2:$L$8,4,TRUE)</f>
        <v>Late Morning</v>
      </c>
      <c r="T777" t="s">
        <v>107</v>
      </c>
      <c r="U777" t="s">
        <v>108</v>
      </c>
      <c r="V777" t="str">
        <f t="shared" si="240"/>
        <v>Health: Insurance Premium</v>
      </c>
      <c r="W777" t="s">
        <v>106</v>
      </c>
      <c r="X777" t="s">
        <v>88</v>
      </c>
      <c r="Y777" s="1">
        <v>320</v>
      </c>
      <c r="Z777" s="1" t="str">
        <f t="shared" si="241"/>
        <v>Health: $320.00</v>
      </c>
      <c r="AA777" s="1">
        <f>IF(Y777="","",ROUND(Y777*'Lookup Values'!$A$2,2))</f>
        <v>28.4</v>
      </c>
      <c r="AB777" s="12" t="str">
        <f t="shared" si="242"/>
        <v>Expense</v>
      </c>
      <c r="AC777" s="2" t="s">
        <v>817</v>
      </c>
      <c r="AD777" s="3">
        <f t="shared" si="243"/>
        <v>39989</v>
      </c>
      <c r="AE777" s="93" t="str">
        <f t="shared" si="244"/>
        <v>NO</v>
      </c>
      <c r="AF777" s="2" t="str">
        <f t="shared" si="245"/>
        <v>NO</v>
      </c>
      <c r="AG777" t="str">
        <f t="shared" si="246"/>
        <v>Late Transaction</v>
      </c>
    </row>
    <row r="778" spans="1:33" x14ac:dyDescent="0.25">
      <c r="A778" s="2">
        <v>777</v>
      </c>
      <c r="B778" s="3" t="str">
        <f t="shared" si="228"/>
        <v>110129-FO-TRA</v>
      </c>
      <c r="C778" s="3">
        <v>40572</v>
      </c>
      <c r="D778" s="3">
        <f t="shared" si="230"/>
        <v>40585</v>
      </c>
      <c r="E778" s="3">
        <f t="shared" si="231"/>
        <v>40631</v>
      </c>
      <c r="F778" s="3">
        <f t="shared" si="232"/>
        <v>40574</v>
      </c>
      <c r="G778" s="76">
        <f t="shared" si="233"/>
        <v>2011</v>
      </c>
      <c r="H778" s="76">
        <f t="shared" si="234"/>
        <v>1</v>
      </c>
      <c r="I778" s="76" t="str">
        <f>VLOOKUP(H778,'Lookup Values'!$C$2:$D$13,2,FALSE)</f>
        <v>JAN</v>
      </c>
      <c r="J778" s="76">
        <f t="shared" si="235"/>
        <v>29</v>
      </c>
      <c r="K778" s="76">
        <f t="shared" si="236"/>
        <v>7</v>
      </c>
      <c r="L778" s="76" t="str">
        <f>VLOOKUP(K778,'Lookup Values'!$F$2:$G$8,2,FALSE)</f>
        <v>Saturday</v>
      </c>
      <c r="M778" s="3">
        <v>40577</v>
      </c>
      <c r="N778" s="78">
        <f t="shared" si="229"/>
        <v>5</v>
      </c>
      <c r="O778" s="11">
        <v>0.99727520484112253</v>
      </c>
      <c r="P778" s="94">
        <f t="shared" si="237"/>
        <v>23</v>
      </c>
      <c r="Q778" s="94">
        <f t="shared" si="238"/>
        <v>56</v>
      </c>
      <c r="R778" s="94">
        <f t="shared" si="239"/>
        <v>5</v>
      </c>
      <c r="S778" s="94" t="str">
        <f>VLOOKUP(O778,'Lookup Values'!$I$2:$L$8,4,TRUE)</f>
        <v>Late Evening</v>
      </c>
      <c r="T778" t="s">
        <v>80</v>
      </c>
      <c r="U778" t="s">
        <v>93</v>
      </c>
      <c r="V778" t="str">
        <f t="shared" si="240"/>
        <v>Food: Groceries</v>
      </c>
      <c r="W778" t="s">
        <v>92</v>
      </c>
      <c r="X778" t="s">
        <v>88</v>
      </c>
      <c r="Y778" s="1">
        <v>317</v>
      </c>
      <c r="Z778" s="1" t="str">
        <f t="shared" si="241"/>
        <v>Food: $317.00</v>
      </c>
      <c r="AA778" s="1">
        <f>IF(Y778="","",ROUND(Y778*'Lookup Values'!$A$2,2))</f>
        <v>28.13</v>
      </c>
      <c r="AB778" s="12" t="str">
        <f t="shared" si="242"/>
        <v>Expense</v>
      </c>
      <c r="AC778" s="2" t="s">
        <v>818</v>
      </c>
      <c r="AD778" s="3">
        <f t="shared" si="243"/>
        <v>40572</v>
      </c>
      <c r="AE778" s="93" t="str">
        <f t="shared" si="244"/>
        <v>NO</v>
      </c>
      <c r="AF778" s="2" t="str">
        <f t="shared" si="245"/>
        <v>NO</v>
      </c>
      <c r="AG778" t="str">
        <f t="shared" si="246"/>
        <v>CRAP Transaction</v>
      </c>
    </row>
    <row r="779" spans="1:33" x14ac:dyDescent="0.25">
      <c r="A779" s="2">
        <v>778</v>
      </c>
      <c r="B779" s="3" t="str">
        <f t="shared" si="228"/>
        <v>090909-FO-BAN</v>
      </c>
      <c r="C779" s="3">
        <v>40065</v>
      </c>
      <c r="D779" s="3">
        <f t="shared" si="230"/>
        <v>40079</v>
      </c>
      <c r="E779" s="3">
        <f t="shared" si="231"/>
        <v>40126</v>
      </c>
      <c r="F779" s="3">
        <f t="shared" si="232"/>
        <v>40086</v>
      </c>
      <c r="G779" s="76">
        <f t="shared" si="233"/>
        <v>2009</v>
      </c>
      <c r="H779" s="76">
        <f t="shared" si="234"/>
        <v>9</v>
      </c>
      <c r="I779" s="76" t="str">
        <f>VLOOKUP(H779,'Lookup Values'!$C$2:$D$13,2,FALSE)</f>
        <v>SEP</v>
      </c>
      <c r="J779" s="76">
        <f t="shared" si="235"/>
        <v>9</v>
      </c>
      <c r="K779" s="76">
        <f t="shared" si="236"/>
        <v>4</v>
      </c>
      <c r="L779" s="76" t="str">
        <f>VLOOKUP(K779,'Lookup Values'!$F$2:$G$8,2,FALSE)</f>
        <v>Wednesday</v>
      </c>
      <c r="M779" s="3">
        <v>40071</v>
      </c>
      <c r="N779" s="78">
        <f t="shared" si="229"/>
        <v>6</v>
      </c>
      <c r="O779" s="11">
        <v>0.2634890318510863</v>
      </c>
      <c r="P779" s="94">
        <f t="shared" si="237"/>
        <v>6</v>
      </c>
      <c r="Q779" s="94">
        <f t="shared" si="238"/>
        <v>19</v>
      </c>
      <c r="R779" s="94">
        <f t="shared" si="239"/>
        <v>25</v>
      </c>
      <c r="S779" s="94" t="str">
        <f>VLOOKUP(O779,'Lookup Values'!$I$2:$L$8,4,TRUE)</f>
        <v>Early Morning</v>
      </c>
      <c r="T779" t="s">
        <v>80</v>
      </c>
      <c r="U779" t="s">
        <v>81</v>
      </c>
      <c r="V779" t="str">
        <f t="shared" si="240"/>
        <v>Food: Restaurants</v>
      </c>
      <c r="W779" t="s">
        <v>79</v>
      </c>
      <c r="X779" t="s">
        <v>78</v>
      </c>
      <c r="Y779" s="1">
        <v>453</v>
      </c>
      <c r="Z779" s="1" t="str">
        <f t="shared" si="241"/>
        <v>Food: $453.00</v>
      </c>
      <c r="AA779" s="1">
        <f>IF(Y779="","",ROUND(Y779*'Lookup Values'!$A$2,2))</f>
        <v>40.200000000000003</v>
      </c>
      <c r="AB779" s="12" t="str">
        <f t="shared" si="242"/>
        <v>Expense</v>
      </c>
      <c r="AC779" s="2" t="s">
        <v>819</v>
      </c>
      <c r="AD779" s="3">
        <f t="shared" si="243"/>
        <v>40065</v>
      </c>
      <c r="AE779" s="93" t="str">
        <f t="shared" si="244"/>
        <v>NO</v>
      </c>
      <c r="AF779" s="2" t="str">
        <f t="shared" si="245"/>
        <v>NO</v>
      </c>
      <c r="AG779" t="str">
        <f t="shared" si="246"/>
        <v>Awesome Transaction</v>
      </c>
    </row>
    <row r="780" spans="1:33" x14ac:dyDescent="0.25">
      <c r="A780" s="2">
        <v>779</v>
      </c>
      <c r="B780" s="3" t="str">
        <f t="shared" si="228"/>
        <v>100915-BI-CON</v>
      </c>
      <c r="C780" s="3">
        <v>40436</v>
      </c>
      <c r="D780" s="3">
        <f t="shared" si="230"/>
        <v>40450</v>
      </c>
      <c r="E780" s="3">
        <f t="shared" si="231"/>
        <v>40497</v>
      </c>
      <c r="F780" s="3">
        <f t="shared" si="232"/>
        <v>40451</v>
      </c>
      <c r="G780" s="76">
        <f t="shared" si="233"/>
        <v>2010</v>
      </c>
      <c r="H780" s="76">
        <f t="shared" si="234"/>
        <v>9</v>
      </c>
      <c r="I780" s="76" t="str">
        <f>VLOOKUP(H780,'Lookup Values'!$C$2:$D$13,2,FALSE)</f>
        <v>SEP</v>
      </c>
      <c r="J780" s="76">
        <f t="shared" si="235"/>
        <v>15</v>
      </c>
      <c r="K780" s="76">
        <f t="shared" si="236"/>
        <v>4</v>
      </c>
      <c r="L780" s="76" t="str">
        <f>VLOOKUP(K780,'Lookup Values'!$F$2:$G$8,2,FALSE)</f>
        <v>Wednesday</v>
      </c>
      <c r="M780" s="3">
        <v>40441</v>
      </c>
      <c r="N780" s="78">
        <f t="shared" si="229"/>
        <v>5</v>
      </c>
      <c r="O780" s="11">
        <v>0.45999689445437386</v>
      </c>
      <c r="P780" s="94">
        <f t="shared" si="237"/>
        <v>11</v>
      </c>
      <c r="Q780" s="94">
        <f t="shared" si="238"/>
        <v>2</v>
      </c>
      <c r="R780" s="94">
        <f t="shared" si="239"/>
        <v>24</v>
      </c>
      <c r="S780" s="94" t="str">
        <f>VLOOKUP(O780,'Lookup Values'!$I$2:$L$8,4,TRUE)</f>
        <v>Late Morning</v>
      </c>
      <c r="T780" t="s">
        <v>110</v>
      </c>
      <c r="U780" t="s">
        <v>111</v>
      </c>
      <c r="V780" t="str">
        <f t="shared" si="240"/>
        <v>Bills: Utilities</v>
      </c>
      <c r="W780" t="s">
        <v>109</v>
      </c>
      <c r="X780" t="s">
        <v>88</v>
      </c>
      <c r="Y780" s="1">
        <v>307</v>
      </c>
      <c r="Z780" s="1" t="str">
        <f t="shared" si="241"/>
        <v>Bills: $307.00</v>
      </c>
      <c r="AA780" s="1">
        <f>IF(Y780="","",ROUND(Y780*'Lookup Values'!$A$2,2))</f>
        <v>27.25</v>
      </c>
      <c r="AB780" s="12" t="str">
        <f t="shared" si="242"/>
        <v>Expense</v>
      </c>
      <c r="AC780" s="2" t="s">
        <v>820</v>
      </c>
      <c r="AD780" s="3">
        <f t="shared" si="243"/>
        <v>40436</v>
      </c>
      <c r="AE780" s="93" t="str">
        <f t="shared" si="244"/>
        <v>NO</v>
      </c>
      <c r="AF780" s="2" t="str">
        <f t="shared" si="245"/>
        <v>NO</v>
      </c>
      <c r="AG780" t="str">
        <f t="shared" si="246"/>
        <v>Late Transaction</v>
      </c>
    </row>
    <row r="781" spans="1:33" x14ac:dyDescent="0.25">
      <c r="A781" s="2">
        <v>780</v>
      </c>
      <c r="B781" s="3" t="str">
        <f t="shared" si="228"/>
        <v>090226-HO-BED</v>
      </c>
      <c r="C781" s="3">
        <v>39870</v>
      </c>
      <c r="D781" s="3">
        <f t="shared" si="230"/>
        <v>39884</v>
      </c>
      <c r="E781" s="3">
        <f t="shared" si="231"/>
        <v>39929</v>
      </c>
      <c r="F781" s="3">
        <f t="shared" si="232"/>
        <v>39872</v>
      </c>
      <c r="G781" s="76">
        <f t="shared" si="233"/>
        <v>2009</v>
      </c>
      <c r="H781" s="76">
        <f t="shared" si="234"/>
        <v>2</v>
      </c>
      <c r="I781" s="76" t="str">
        <f>VLOOKUP(H781,'Lookup Values'!$C$2:$D$13,2,FALSE)</f>
        <v>FEB</v>
      </c>
      <c r="J781" s="76">
        <f t="shared" si="235"/>
        <v>26</v>
      </c>
      <c r="K781" s="76">
        <f t="shared" si="236"/>
        <v>5</v>
      </c>
      <c r="L781" s="76" t="str">
        <f>VLOOKUP(K781,'Lookup Values'!$F$2:$G$8,2,FALSE)</f>
        <v>Thursday</v>
      </c>
      <c r="M781" s="3">
        <v>39872</v>
      </c>
      <c r="N781" s="78">
        <f t="shared" si="229"/>
        <v>2</v>
      </c>
      <c r="O781" s="11">
        <v>9.9376346971891349E-2</v>
      </c>
      <c r="P781" s="94">
        <f t="shared" si="237"/>
        <v>2</v>
      </c>
      <c r="Q781" s="94">
        <f t="shared" si="238"/>
        <v>23</v>
      </c>
      <c r="R781" s="94">
        <f t="shared" si="239"/>
        <v>6</v>
      </c>
      <c r="S781" s="94" t="str">
        <f>VLOOKUP(O781,'Lookup Values'!$I$2:$L$8,4,TRUE)</f>
        <v>Dead of Night</v>
      </c>
      <c r="T781" t="s">
        <v>100</v>
      </c>
      <c r="U781" t="s">
        <v>101</v>
      </c>
      <c r="V781" t="str">
        <f t="shared" si="240"/>
        <v>Home: Cleaning Supplies</v>
      </c>
      <c r="W781" t="s">
        <v>99</v>
      </c>
      <c r="X781" t="s">
        <v>78</v>
      </c>
      <c r="Y781" s="1">
        <v>156</v>
      </c>
      <c r="Z781" s="1" t="str">
        <f t="shared" si="241"/>
        <v>Home: $156.00</v>
      </c>
      <c r="AA781" s="1">
        <f>IF(Y781="","",ROUND(Y781*'Lookup Values'!$A$2,2))</f>
        <v>13.85</v>
      </c>
      <c r="AB781" s="12" t="str">
        <f t="shared" si="242"/>
        <v>Expense</v>
      </c>
      <c r="AC781" s="2" t="s">
        <v>821</v>
      </c>
      <c r="AD781" s="3">
        <f t="shared" si="243"/>
        <v>39870</v>
      </c>
      <c r="AE781" s="93" t="str">
        <f t="shared" si="244"/>
        <v>NO</v>
      </c>
      <c r="AF781" s="2" t="str">
        <f t="shared" si="245"/>
        <v>NO</v>
      </c>
      <c r="AG781" t="str">
        <f t="shared" si="246"/>
        <v>Late Transaction</v>
      </c>
    </row>
    <row r="782" spans="1:33" x14ac:dyDescent="0.25">
      <c r="A782" s="2">
        <v>781</v>
      </c>
      <c r="B782" s="3" t="str">
        <f t="shared" si="228"/>
        <v>091012-FO-BAN</v>
      </c>
      <c r="C782" s="3">
        <v>40098</v>
      </c>
      <c r="D782" s="3">
        <f t="shared" si="230"/>
        <v>40112</v>
      </c>
      <c r="E782" s="3">
        <f t="shared" si="231"/>
        <v>40159</v>
      </c>
      <c r="F782" s="3">
        <f t="shared" si="232"/>
        <v>40117</v>
      </c>
      <c r="G782" s="76">
        <f t="shared" si="233"/>
        <v>2009</v>
      </c>
      <c r="H782" s="76">
        <f t="shared" si="234"/>
        <v>10</v>
      </c>
      <c r="I782" s="76" t="str">
        <f>VLOOKUP(H782,'Lookup Values'!$C$2:$D$13,2,FALSE)</f>
        <v>OCT</v>
      </c>
      <c r="J782" s="76">
        <f t="shared" si="235"/>
        <v>12</v>
      </c>
      <c r="K782" s="76">
        <f t="shared" si="236"/>
        <v>2</v>
      </c>
      <c r="L782" s="76" t="str">
        <f>VLOOKUP(K782,'Lookup Values'!$F$2:$G$8,2,FALSE)</f>
        <v>Monday</v>
      </c>
      <c r="M782" s="3">
        <v>40100</v>
      </c>
      <c r="N782" s="78">
        <f t="shared" si="229"/>
        <v>2</v>
      </c>
      <c r="O782" s="11">
        <v>0.56797087551643766</v>
      </c>
      <c r="P782" s="94">
        <f t="shared" si="237"/>
        <v>13</v>
      </c>
      <c r="Q782" s="94">
        <f t="shared" si="238"/>
        <v>37</v>
      </c>
      <c r="R782" s="94">
        <f t="shared" si="239"/>
        <v>53</v>
      </c>
      <c r="S782" s="94" t="str">
        <f>VLOOKUP(O782,'Lookup Values'!$I$2:$L$8,4,TRUE)</f>
        <v>Afternoon</v>
      </c>
      <c r="T782" t="s">
        <v>80</v>
      </c>
      <c r="U782" t="s">
        <v>81</v>
      </c>
      <c r="V782" t="str">
        <f t="shared" si="240"/>
        <v>Food: Restaurants</v>
      </c>
      <c r="W782" t="s">
        <v>79</v>
      </c>
      <c r="X782" t="s">
        <v>78</v>
      </c>
      <c r="Y782" s="1">
        <v>397</v>
      </c>
      <c r="Z782" s="1" t="str">
        <f t="shared" si="241"/>
        <v>Food: $397.00</v>
      </c>
      <c r="AA782" s="1">
        <f>IF(Y782="","",ROUND(Y782*'Lookup Values'!$A$2,2))</f>
        <v>35.229999999999997</v>
      </c>
      <c r="AB782" s="12" t="str">
        <f t="shared" si="242"/>
        <v>Expense</v>
      </c>
      <c r="AC782" s="2" t="s">
        <v>822</v>
      </c>
      <c r="AD782" s="3">
        <f t="shared" si="243"/>
        <v>40098</v>
      </c>
      <c r="AE782" s="93" t="str">
        <f t="shared" si="244"/>
        <v>NO</v>
      </c>
      <c r="AF782" s="2" t="str">
        <f t="shared" si="245"/>
        <v>NO</v>
      </c>
      <c r="AG782" t="str">
        <f t="shared" si="246"/>
        <v>Awesome Transaction</v>
      </c>
    </row>
    <row r="783" spans="1:33" x14ac:dyDescent="0.25">
      <c r="A783" s="2">
        <v>782</v>
      </c>
      <c r="B783" s="3" t="str">
        <f t="shared" si="228"/>
        <v>111209-SH-EXP</v>
      </c>
      <c r="C783" s="3">
        <v>40886</v>
      </c>
      <c r="D783" s="3">
        <f t="shared" si="230"/>
        <v>40900</v>
      </c>
      <c r="E783" s="3">
        <f t="shared" si="231"/>
        <v>40948</v>
      </c>
      <c r="F783" s="3">
        <f t="shared" si="232"/>
        <v>40908</v>
      </c>
      <c r="G783" s="76">
        <f t="shared" si="233"/>
        <v>2011</v>
      </c>
      <c r="H783" s="76">
        <f t="shared" si="234"/>
        <v>12</v>
      </c>
      <c r="I783" s="76" t="str">
        <f>VLOOKUP(H783,'Lookup Values'!$C$2:$D$13,2,FALSE)</f>
        <v>DEC</v>
      </c>
      <c r="J783" s="76">
        <f t="shared" si="235"/>
        <v>9</v>
      </c>
      <c r="K783" s="76">
        <f t="shared" si="236"/>
        <v>6</v>
      </c>
      <c r="L783" s="76" t="str">
        <f>VLOOKUP(K783,'Lookup Values'!$F$2:$G$8,2,FALSE)</f>
        <v>Friday</v>
      </c>
      <c r="M783" s="3">
        <v>40892</v>
      </c>
      <c r="N783" s="78">
        <f t="shared" si="229"/>
        <v>6</v>
      </c>
      <c r="O783" s="11">
        <v>0.68807627662868986</v>
      </c>
      <c r="P783" s="94">
        <f t="shared" si="237"/>
        <v>16</v>
      </c>
      <c r="Q783" s="94">
        <f t="shared" si="238"/>
        <v>30</v>
      </c>
      <c r="R783" s="94">
        <f t="shared" si="239"/>
        <v>50</v>
      </c>
      <c r="S783" s="94" t="str">
        <f>VLOOKUP(O783,'Lookup Values'!$I$2:$L$8,4,TRUE)</f>
        <v>Afternoon</v>
      </c>
      <c r="T783" t="s">
        <v>83</v>
      </c>
      <c r="U783" t="s">
        <v>103</v>
      </c>
      <c r="V783" t="str">
        <f t="shared" si="240"/>
        <v>Shopping: Clothing</v>
      </c>
      <c r="W783" t="s">
        <v>102</v>
      </c>
      <c r="X783" t="s">
        <v>88</v>
      </c>
      <c r="Y783" s="1">
        <v>435</v>
      </c>
      <c r="Z783" s="1" t="str">
        <f t="shared" si="241"/>
        <v>Shopping: $435.00</v>
      </c>
      <c r="AA783" s="1">
        <f>IF(Y783="","",ROUND(Y783*'Lookup Values'!$A$2,2))</f>
        <v>38.61</v>
      </c>
      <c r="AB783" s="12" t="str">
        <f t="shared" si="242"/>
        <v>Expense</v>
      </c>
      <c r="AC783" s="2" t="s">
        <v>823</v>
      </c>
      <c r="AD783" s="3">
        <f t="shared" si="243"/>
        <v>40886</v>
      </c>
      <c r="AE783" s="93" t="str">
        <f t="shared" si="244"/>
        <v>NO</v>
      </c>
      <c r="AF783" s="2" t="str">
        <f t="shared" si="245"/>
        <v>NO</v>
      </c>
      <c r="AG783" t="str">
        <f t="shared" si="246"/>
        <v>CRAP Transaction</v>
      </c>
    </row>
    <row r="784" spans="1:33" x14ac:dyDescent="0.25">
      <c r="A784" s="2">
        <v>783</v>
      </c>
      <c r="B784" s="3" t="str">
        <f t="shared" si="228"/>
        <v>080213-TR-MTA</v>
      </c>
      <c r="C784" s="3">
        <v>39491</v>
      </c>
      <c r="D784" s="3">
        <f t="shared" si="230"/>
        <v>39505</v>
      </c>
      <c r="E784" s="3">
        <f t="shared" si="231"/>
        <v>39551</v>
      </c>
      <c r="F784" s="3">
        <f t="shared" si="232"/>
        <v>39507</v>
      </c>
      <c r="G784" s="76">
        <f t="shared" si="233"/>
        <v>2008</v>
      </c>
      <c r="H784" s="76">
        <f t="shared" si="234"/>
        <v>2</v>
      </c>
      <c r="I784" s="76" t="str">
        <f>VLOOKUP(H784,'Lookup Values'!$C$2:$D$13,2,FALSE)</f>
        <v>FEB</v>
      </c>
      <c r="J784" s="76">
        <f t="shared" si="235"/>
        <v>13</v>
      </c>
      <c r="K784" s="76">
        <f t="shared" si="236"/>
        <v>4</v>
      </c>
      <c r="L784" s="76" t="str">
        <f>VLOOKUP(K784,'Lookup Values'!$F$2:$G$8,2,FALSE)</f>
        <v>Wednesday</v>
      </c>
      <c r="M784" s="3">
        <v>39496</v>
      </c>
      <c r="N784" s="78">
        <f t="shared" si="229"/>
        <v>5</v>
      </c>
      <c r="O784" s="11">
        <v>6.5455227966053187E-2</v>
      </c>
      <c r="P784" s="94">
        <f t="shared" si="237"/>
        <v>1</v>
      </c>
      <c r="Q784" s="94">
        <f t="shared" si="238"/>
        <v>34</v>
      </c>
      <c r="R784" s="94">
        <f t="shared" si="239"/>
        <v>15</v>
      </c>
      <c r="S784" s="94" t="str">
        <f>VLOOKUP(O784,'Lookup Values'!$I$2:$L$8,4,TRUE)</f>
        <v>Dead of Night</v>
      </c>
      <c r="T784" t="s">
        <v>95</v>
      </c>
      <c r="U784" t="s">
        <v>96</v>
      </c>
      <c r="V784" t="str">
        <f t="shared" si="240"/>
        <v>Transportation: Subway</v>
      </c>
      <c r="W784" t="s">
        <v>94</v>
      </c>
      <c r="X784" t="s">
        <v>88</v>
      </c>
      <c r="Y784" s="1">
        <v>192</v>
      </c>
      <c r="Z784" s="1" t="str">
        <f t="shared" si="241"/>
        <v>Transportation: $192.00</v>
      </c>
      <c r="AA784" s="1">
        <f>IF(Y784="","",ROUND(Y784*'Lookup Values'!$A$2,2))</f>
        <v>17.04</v>
      </c>
      <c r="AB784" s="12" t="str">
        <f t="shared" si="242"/>
        <v>Expense</v>
      </c>
      <c r="AC784" s="2" t="s">
        <v>508</v>
      </c>
      <c r="AD784" s="3">
        <f t="shared" si="243"/>
        <v>39491</v>
      </c>
      <c r="AE784" s="93" t="str">
        <f t="shared" si="244"/>
        <v>YES</v>
      </c>
      <c r="AF784" s="2" t="str">
        <f t="shared" si="245"/>
        <v>NO</v>
      </c>
      <c r="AG784" t="str">
        <f t="shared" si="246"/>
        <v>Late Transaction</v>
      </c>
    </row>
    <row r="785" spans="1:33" x14ac:dyDescent="0.25">
      <c r="A785" s="2">
        <v>784</v>
      </c>
      <c r="B785" s="3" t="str">
        <f t="shared" si="228"/>
        <v>080330-ED-SKI</v>
      </c>
      <c r="C785" s="3">
        <v>39537</v>
      </c>
      <c r="D785" s="3">
        <f t="shared" si="230"/>
        <v>39549</v>
      </c>
      <c r="E785" s="3">
        <f t="shared" si="231"/>
        <v>39598</v>
      </c>
      <c r="F785" s="3">
        <f t="shared" si="232"/>
        <v>39538</v>
      </c>
      <c r="G785" s="76">
        <f t="shared" si="233"/>
        <v>2008</v>
      </c>
      <c r="H785" s="76">
        <f t="shared" si="234"/>
        <v>3</v>
      </c>
      <c r="I785" s="76" t="str">
        <f>VLOOKUP(H785,'Lookup Values'!$C$2:$D$13,2,FALSE)</f>
        <v>MAR</v>
      </c>
      <c r="J785" s="76">
        <f t="shared" si="235"/>
        <v>30</v>
      </c>
      <c r="K785" s="76">
        <f t="shared" si="236"/>
        <v>1</v>
      </c>
      <c r="L785" s="76" t="str">
        <f>VLOOKUP(K785,'Lookup Values'!$F$2:$G$8,2,FALSE)</f>
        <v>Sunday</v>
      </c>
      <c r="M785" s="3">
        <v>39543</v>
      </c>
      <c r="N785" s="78">
        <f t="shared" si="229"/>
        <v>6</v>
      </c>
      <c r="O785" s="11">
        <v>0.92914487446114058</v>
      </c>
      <c r="P785" s="94">
        <f t="shared" si="237"/>
        <v>22</v>
      </c>
      <c r="Q785" s="94">
        <f t="shared" si="238"/>
        <v>17</v>
      </c>
      <c r="R785" s="94">
        <f t="shared" si="239"/>
        <v>58</v>
      </c>
      <c r="S785" s="94" t="str">
        <f>VLOOKUP(O785,'Lookup Values'!$I$2:$L$8,4,TRUE)</f>
        <v>Late Evening</v>
      </c>
      <c r="T785" t="s">
        <v>86</v>
      </c>
      <c r="U785" t="s">
        <v>98</v>
      </c>
      <c r="V785" t="str">
        <f t="shared" si="240"/>
        <v>Education: Professional Development</v>
      </c>
      <c r="W785" t="s">
        <v>97</v>
      </c>
      <c r="X785" t="s">
        <v>88</v>
      </c>
      <c r="Y785" s="1">
        <v>19</v>
      </c>
      <c r="Z785" s="1" t="str">
        <f t="shared" si="241"/>
        <v>Education: $19.00</v>
      </c>
      <c r="AA785" s="1">
        <f>IF(Y785="","",ROUND(Y785*'Lookup Values'!$A$2,2))</f>
        <v>1.69</v>
      </c>
      <c r="AB785" s="12" t="str">
        <f t="shared" si="242"/>
        <v>Expense</v>
      </c>
      <c r="AC785" s="2" t="s">
        <v>235</v>
      </c>
      <c r="AD785" s="3">
        <f t="shared" si="243"/>
        <v>39537</v>
      </c>
      <c r="AE785" s="93" t="str">
        <f t="shared" si="244"/>
        <v>YES</v>
      </c>
      <c r="AF785" s="2" t="str">
        <f t="shared" si="245"/>
        <v>NO</v>
      </c>
      <c r="AG785" t="str">
        <f t="shared" si="246"/>
        <v>Late Transaction</v>
      </c>
    </row>
    <row r="786" spans="1:33" x14ac:dyDescent="0.25">
      <c r="A786" s="2">
        <v>785</v>
      </c>
      <c r="B786" s="3" t="str">
        <f t="shared" si="228"/>
        <v>120608-FO-TRA</v>
      </c>
      <c r="C786" s="3">
        <v>41068</v>
      </c>
      <c r="D786" s="3">
        <f t="shared" si="230"/>
        <v>41082</v>
      </c>
      <c r="E786" s="3">
        <f t="shared" si="231"/>
        <v>41129</v>
      </c>
      <c r="F786" s="3">
        <f t="shared" si="232"/>
        <v>41090</v>
      </c>
      <c r="G786" s="76">
        <f t="shared" si="233"/>
        <v>2012</v>
      </c>
      <c r="H786" s="76">
        <f t="shared" si="234"/>
        <v>6</v>
      </c>
      <c r="I786" s="76" t="str">
        <f>VLOOKUP(H786,'Lookup Values'!$C$2:$D$13,2,FALSE)</f>
        <v>JUN</v>
      </c>
      <c r="J786" s="76">
        <f t="shared" si="235"/>
        <v>8</v>
      </c>
      <c r="K786" s="76">
        <f t="shared" si="236"/>
        <v>6</v>
      </c>
      <c r="L786" s="76" t="str">
        <f>VLOOKUP(K786,'Lookup Values'!$F$2:$G$8,2,FALSE)</f>
        <v>Friday</v>
      </c>
      <c r="M786" s="3">
        <v>41070</v>
      </c>
      <c r="N786" s="78">
        <f t="shared" si="229"/>
        <v>2</v>
      </c>
      <c r="O786" s="11">
        <v>0.61604937913888869</v>
      </c>
      <c r="P786" s="94">
        <f t="shared" si="237"/>
        <v>14</v>
      </c>
      <c r="Q786" s="94">
        <f t="shared" si="238"/>
        <v>47</v>
      </c>
      <c r="R786" s="94">
        <f t="shared" si="239"/>
        <v>7</v>
      </c>
      <c r="S786" s="94" t="str">
        <f>VLOOKUP(O786,'Lookup Values'!$I$2:$L$8,4,TRUE)</f>
        <v>Afternoon</v>
      </c>
      <c r="T786" t="s">
        <v>80</v>
      </c>
      <c r="U786" t="s">
        <v>93</v>
      </c>
      <c r="V786" t="str">
        <f t="shared" si="240"/>
        <v>Food: Groceries</v>
      </c>
      <c r="W786" t="s">
        <v>92</v>
      </c>
      <c r="X786" t="s">
        <v>91</v>
      </c>
      <c r="Y786" s="1">
        <v>217</v>
      </c>
      <c r="Z786" s="1" t="str">
        <f t="shared" si="241"/>
        <v>Food: $217.00</v>
      </c>
      <c r="AA786" s="1">
        <f>IF(Y786="","",ROUND(Y786*'Lookup Values'!$A$2,2))</f>
        <v>19.260000000000002</v>
      </c>
      <c r="AB786" s="12" t="str">
        <f t="shared" si="242"/>
        <v>Expense</v>
      </c>
      <c r="AC786" s="2" t="s">
        <v>824</v>
      </c>
      <c r="AD786" s="3">
        <f t="shared" si="243"/>
        <v>41068</v>
      </c>
      <c r="AE786" s="93" t="str">
        <f t="shared" si="244"/>
        <v>NO</v>
      </c>
      <c r="AF786" s="2" t="str">
        <f t="shared" si="245"/>
        <v>NO</v>
      </c>
      <c r="AG786" t="str">
        <f t="shared" si="246"/>
        <v>CRAP Transaction</v>
      </c>
    </row>
    <row r="787" spans="1:33" x14ac:dyDescent="0.25">
      <c r="A787" s="2">
        <v>786</v>
      </c>
      <c r="B787" s="3" t="str">
        <f t="shared" si="228"/>
        <v>091119-BI-CON</v>
      </c>
      <c r="C787" s="3">
        <v>40136</v>
      </c>
      <c r="D787" s="3">
        <f t="shared" si="230"/>
        <v>40150</v>
      </c>
      <c r="E787" s="3">
        <f t="shared" si="231"/>
        <v>40197</v>
      </c>
      <c r="F787" s="3">
        <f t="shared" si="232"/>
        <v>40147</v>
      </c>
      <c r="G787" s="76">
        <f t="shared" si="233"/>
        <v>2009</v>
      </c>
      <c r="H787" s="76">
        <f t="shared" si="234"/>
        <v>11</v>
      </c>
      <c r="I787" s="76" t="str">
        <f>VLOOKUP(H787,'Lookup Values'!$C$2:$D$13,2,FALSE)</f>
        <v>NOV</v>
      </c>
      <c r="J787" s="76">
        <f t="shared" si="235"/>
        <v>19</v>
      </c>
      <c r="K787" s="76">
        <f t="shared" si="236"/>
        <v>5</v>
      </c>
      <c r="L787" s="76" t="str">
        <f>VLOOKUP(K787,'Lookup Values'!$F$2:$G$8,2,FALSE)</f>
        <v>Thursday</v>
      </c>
      <c r="M787" s="3">
        <v>40146</v>
      </c>
      <c r="N787" s="78">
        <f t="shared" si="229"/>
        <v>10</v>
      </c>
      <c r="O787" s="11">
        <v>0.23165919413079372</v>
      </c>
      <c r="P787" s="94">
        <f t="shared" si="237"/>
        <v>5</v>
      </c>
      <c r="Q787" s="94">
        <f t="shared" si="238"/>
        <v>33</v>
      </c>
      <c r="R787" s="94">
        <f t="shared" si="239"/>
        <v>35</v>
      </c>
      <c r="S787" s="94" t="str">
        <f>VLOOKUP(O787,'Lookup Values'!$I$2:$L$8,4,TRUE)</f>
        <v>Early Morning</v>
      </c>
      <c r="T787" t="s">
        <v>110</v>
      </c>
      <c r="U787" t="s">
        <v>111</v>
      </c>
      <c r="V787" t="str">
        <f t="shared" si="240"/>
        <v>Bills: Utilities</v>
      </c>
      <c r="W787" t="s">
        <v>109</v>
      </c>
      <c r="X787" t="s">
        <v>88</v>
      </c>
      <c r="Y787" s="1">
        <v>308</v>
      </c>
      <c r="Z787" s="1" t="str">
        <f t="shared" si="241"/>
        <v>Bills: $308.00</v>
      </c>
      <c r="AA787" s="1">
        <f>IF(Y787="","",ROUND(Y787*'Lookup Values'!$A$2,2))</f>
        <v>27.34</v>
      </c>
      <c r="AB787" s="12" t="str">
        <f t="shared" si="242"/>
        <v>Expense</v>
      </c>
      <c r="AC787" s="2" t="s">
        <v>318</v>
      </c>
      <c r="AD787" s="3">
        <f t="shared" si="243"/>
        <v>40136</v>
      </c>
      <c r="AE787" s="93" t="str">
        <f t="shared" si="244"/>
        <v>NO</v>
      </c>
      <c r="AF787" s="2" t="str">
        <f t="shared" si="245"/>
        <v>NO</v>
      </c>
      <c r="AG787" t="str">
        <f t="shared" si="246"/>
        <v>Late Transaction</v>
      </c>
    </row>
    <row r="788" spans="1:33" x14ac:dyDescent="0.25">
      <c r="A788" s="2">
        <v>787</v>
      </c>
      <c r="B788" s="3" t="str">
        <f t="shared" si="228"/>
        <v>110906-EN-FAN</v>
      </c>
      <c r="C788" s="3">
        <v>40792</v>
      </c>
      <c r="D788" s="3">
        <f t="shared" si="230"/>
        <v>40806</v>
      </c>
      <c r="E788" s="3">
        <f t="shared" si="231"/>
        <v>40853</v>
      </c>
      <c r="F788" s="3">
        <f t="shared" si="232"/>
        <v>40816</v>
      </c>
      <c r="G788" s="76">
        <f t="shared" si="233"/>
        <v>2011</v>
      </c>
      <c r="H788" s="76">
        <f t="shared" si="234"/>
        <v>9</v>
      </c>
      <c r="I788" s="76" t="str">
        <f>VLOOKUP(H788,'Lookup Values'!$C$2:$D$13,2,FALSE)</f>
        <v>SEP</v>
      </c>
      <c r="J788" s="76">
        <f t="shared" si="235"/>
        <v>6</v>
      </c>
      <c r="K788" s="76">
        <f t="shared" si="236"/>
        <v>3</v>
      </c>
      <c r="L788" s="76" t="str">
        <f>VLOOKUP(K788,'Lookup Values'!$F$2:$G$8,2,FALSE)</f>
        <v>Tuesday</v>
      </c>
      <c r="M788" s="3">
        <v>40800</v>
      </c>
      <c r="N788" s="78">
        <f t="shared" si="229"/>
        <v>8</v>
      </c>
      <c r="O788" s="11">
        <v>0.76389916456741869</v>
      </c>
      <c r="P788" s="94">
        <f t="shared" si="237"/>
        <v>18</v>
      </c>
      <c r="Q788" s="94">
        <f t="shared" si="238"/>
        <v>20</v>
      </c>
      <c r="R788" s="94">
        <f t="shared" si="239"/>
        <v>1</v>
      </c>
      <c r="S788" s="94" t="str">
        <f>VLOOKUP(O788,'Lookup Values'!$I$2:$L$8,4,TRUE)</f>
        <v>Evening</v>
      </c>
      <c r="T788" t="s">
        <v>76</v>
      </c>
      <c r="U788" t="s">
        <v>90</v>
      </c>
      <c r="V788" t="str">
        <f t="shared" si="240"/>
        <v>Entertainment: Movies</v>
      </c>
      <c r="W788" t="s">
        <v>89</v>
      </c>
      <c r="X788" t="s">
        <v>91</v>
      </c>
      <c r="Y788" s="1">
        <v>368</v>
      </c>
      <c r="Z788" s="1" t="str">
        <f t="shared" si="241"/>
        <v>Entertainment: $368.00</v>
      </c>
      <c r="AA788" s="1">
        <f>IF(Y788="","",ROUND(Y788*'Lookup Values'!$A$2,2))</f>
        <v>32.659999999999997</v>
      </c>
      <c r="AB788" s="12" t="str">
        <f t="shared" si="242"/>
        <v>Expense</v>
      </c>
      <c r="AC788" s="2" t="s">
        <v>825</v>
      </c>
      <c r="AD788" s="3">
        <f t="shared" si="243"/>
        <v>40792</v>
      </c>
      <c r="AE788" s="93" t="str">
        <f t="shared" si="244"/>
        <v>NO</v>
      </c>
      <c r="AF788" s="2" t="str">
        <f t="shared" si="245"/>
        <v>NO</v>
      </c>
      <c r="AG788" t="str">
        <f t="shared" si="246"/>
        <v>CRAP Transaction</v>
      </c>
    </row>
    <row r="789" spans="1:33" x14ac:dyDescent="0.25">
      <c r="A789" s="2">
        <v>788</v>
      </c>
      <c r="B789" s="3" t="str">
        <f t="shared" si="228"/>
        <v>080621-FO-TRA</v>
      </c>
      <c r="C789" s="3">
        <v>39620</v>
      </c>
      <c r="D789" s="3">
        <f t="shared" si="230"/>
        <v>39633</v>
      </c>
      <c r="E789" s="3">
        <f t="shared" si="231"/>
        <v>39681</v>
      </c>
      <c r="F789" s="3">
        <f t="shared" si="232"/>
        <v>39629</v>
      </c>
      <c r="G789" s="76">
        <f t="shared" si="233"/>
        <v>2008</v>
      </c>
      <c r="H789" s="76">
        <f t="shared" si="234"/>
        <v>6</v>
      </c>
      <c r="I789" s="76" t="str">
        <f>VLOOKUP(H789,'Lookup Values'!$C$2:$D$13,2,FALSE)</f>
        <v>JUN</v>
      </c>
      <c r="J789" s="76">
        <f t="shared" si="235"/>
        <v>21</v>
      </c>
      <c r="K789" s="76">
        <f t="shared" si="236"/>
        <v>7</v>
      </c>
      <c r="L789" s="76" t="str">
        <f>VLOOKUP(K789,'Lookup Values'!$F$2:$G$8,2,FALSE)</f>
        <v>Saturday</v>
      </c>
      <c r="M789" s="3">
        <v>39621</v>
      </c>
      <c r="N789" s="78">
        <f t="shared" si="229"/>
        <v>1</v>
      </c>
      <c r="O789" s="11">
        <v>0.60554362629760006</v>
      </c>
      <c r="P789" s="94">
        <f t="shared" si="237"/>
        <v>14</v>
      </c>
      <c r="Q789" s="94">
        <f t="shared" si="238"/>
        <v>31</v>
      </c>
      <c r="R789" s="94">
        <f t="shared" si="239"/>
        <v>59</v>
      </c>
      <c r="S789" s="94" t="str">
        <f>VLOOKUP(O789,'Lookup Values'!$I$2:$L$8,4,TRUE)</f>
        <v>Afternoon</v>
      </c>
      <c r="T789" t="s">
        <v>80</v>
      </c>
      <c r="U789" t="s">
        <v>93</v>
      </c>
      <c r="V789" t="str">
        <f t="shared" si="240"/>
        <v>Food: Groceries</v>
      </c>
      <c r="W789" t="s">
        <v>92</v>
      </c>
      <c r="X789" t="s">
        <v>91</v>
      </c>
      <c r="Y789" s="1">
        <v>151</v>
      </c>
      <c r="Z789" s="1" t="str">
        <f t="shared" si="241"/>
        <v>Food: $151.00</v>
      </c>
      <c r="AA789" s="1">
        <f>IF(Y789="","",ROUND(Y789*'Lookup Values'!$A$2,2))</f>
        <v>13.4</v>
      </c>
      <c r="AB789" s="12" t="str">
        <f t="shared" si="242"/>
        <v>Expense</v>
      </c>
      <c r="AC789" s="2" t="s">
        <v>826</v>
      </c>
      <c r="AD789" s="3">
        <f t="shared" si="243"/>
        <v>39620</v>
      </c>
      <c r="AE789" s="93" t="str">
        <f t="shared" si="244"/>
        <v>NO</v>
      </c>
      <c r="AF789" s="2" t="str">
        <f t="shared" si="245"/>
        <v>NO</v>
      </c>
      <c r="AG789" t="str">
        <f t="shared" si="246"/>
        <v>Awesome Transaction</v>
      </c>
    </row>
    <row r="790" spans="1:33" x14ac:dyDescent="0.25">
      <c r="A790" s="2">
        <v>789</v>
      </c>
      <c r="B790" s="3" t="str">
        <f t="shared" si="228"/>
        <v>120522-IN-EZE</v>
      </c>
      <c r="C790" s="3">
        <v>41051</v>
      </c>
      <c r="D790" s="3">
        <f t="shared" si="230"/>
        <v>41065</v>
      </c>
      <c r="E790" s="3">
        <f t="shared" si="231"/>
        <v>41112</v>
      </c>
      <c r="F790" s="3">
        <f t="shared" si="232"/>
        <v>41060</v>
      </c>
      <c r="G790" s="76">
        <f t="shared" si="233"/>
        <v>2012</v>
      </c>
      <c r="H790" s="76">
        <f t="shared" si="234"/>
        <v>5</v>
      </c>
      <c r="I790" s="76" t="str">
        <f>VLOOKUP(H790,'Lookup Values'!$C$2:$D$13,2,FALSE)</f>
        <v>MAY</v>
      </c>
      <c r="J790" s="76">
        <f t="shared" si="235"/>
        <v>22</v>
      </c>
      <c r="K790" s="76">
        <f t="shared" si="236"/>
        <v>3</v>
      </c>
      <c r="L790" s="76" t="str">
        <f>VLOOKUP(K790,'Lookup Values'!$F$2:$G$8,2,FALSE)</f>
        <v>Tuesday</v>
      </c>
      <c r="M790" s="3">
        <v>41054</v>
      </c>
      <c r="N790" s="78">
        <f t="shared" si="229"/>
        <v>3</v>
      </c>
      <c r="O790" s="11">
        <v>0.51174483133618254</v>
      </c>
      <c r="P790" s="94">
        <f t="shared" si="237"/>
        <v>12</v>
      </c>
      <c r="Q790" s="94">
        <f t="shared" si="238"/>
        <v>16</v>
      </c>
      <c r="R790" s="94">
        <f t="shared" si="239"/>
        <v>55</v>
      </c>
      <c r="S790" s="94" t="str">
        <f>VLOOKUP(O790,'Lookup Values'!$I$2:$L$8,4,TRUE)</f>
        <v>Afternoon</v>
      </c>
      <c r="T790" t="s">
        <v>158</v>
      </c>
      <c r="U790" t="s">
        <v>159</v>
      </c>
      <c r="V790" t="str">
        <f t="shared" si="240"/>
        <v>Income: Salary</v>
      </c>
      <c r="W790" t="s">
        <v>162</v>
      </c>
      <c r="X790" t="s">
        <v>88</v>
      </c>
      <c r="Y790" s="1">
        <v>154</v>
      </c>
      <c r="Z790" s="1" t="str">
        <f t="shared" si="241"/>
        <v>Income: $154.00</v>
      </c>
      <c r="AA790" s="1">
        <f>IF(Y790="","",ROUND(Y790*'Lookup Values'!$A$2,2))</f>
        <v>13.67</v>
      </c>
      <c r="AB790" s="12" t="str">
        <f t="shared" si="242"/>
        <v>Income</v>
      </c>
      <c r="AC790" s="2" t="s">
        <v>827</v>
      </c>
      <c r="AD790" s="3">
        <f t="shared" si="243"/>
        <v>41051</v>
      </c>
      <c r="AE790" s="93" t="str">
        <f t="shared" si="244"/>
        <v>NO</v>
      </c>
      <c r="AF790" s="2" t="str">
        <f t="shared" si="245"/>
        <v>NO</v>
      </c>
      <c r="AG790" t="str">
        <f t="shared" si="246"/>
        <v>CRAP Transaction</v>
      </c>
    </row>
    <row r="791" spans="1:33" x14ac:dyDescent="0.25">
      <c r="A791" s="2">
        <v>790</v>
      </c>
      <c r="B791" s="3" t="str">
        <f t="shared" si="228"/>
        <v>110402-HE-FRE</v>
      </c>
      <c r="C791" s="3">
        <v>40635</v>
      </c>
      <c r="D791" s="3">
        <f t="shared" si="230"/>
        <v>40648</v>
      </c>
      <c r="E791" s="3">
        <f t="shared" si="231"/>
        <v>40696</v>
      </c>
      <c r="F791" s="3">
        <f t="shared" si="232"/>
        <v>40663</v>
      </c>
      <c r="G791" s="76">
        <f t="shared" si="233"/>
        <v>2011</v>
      </c>
      <c r="H791" s="76">
        <f t="shared" si="234"/>
        <v>4</v>
      </c>
      <c r="I791" s="76" t="str">
        <f>VLOOKUP(H791,'Lookup Values'!$C$2:$D$13,2,FALSE)</f>
        <v>APR</v>
      </c>
      <c r="J791" s="76">
        <f t="shared" si="235"/>
        <v>2</v>
      </c>
      <c r="K791" s="76">
        <f t="shared" si="236"/>
        <v>7</v>
      </c>
      <c r="L791" s="76" t="str">
        <f>VLOOKUP(K791,'Lookup Values'!$F$2:$G$8,2,FALSE)</f>
        <v>Saturday</v>
      </c>
      <c r="M791" s="3">
        <v>40636</v>
      </c>
      <c r="N791" s="78">
        <f t="shared" si="229"/>
        <v>1</v>
      </c>
      <c r="O791" s="11">
        <v>0.92644438963514952</v>
      </c>
      <c r="P791" s="94">
        <f t="shared" si="237"/>
        <v>22</v>
      </c>
      <c r="Q791" s="94">
        <f t="shared" si="238"/>
        <v>14</v>
      </c>
      <c r="R791" s="94">
        <f t="shared" si="239"/>
        <v>5</v>
      </c>
      <c r="S791" s="94" t="str">
        <f>VLOOKUP(O791,'Lookup Values'!$I$2:$L$8,4,TRUE)</f>
        <v>Late Evening</v>
      </c>
      <c r="T791" t="s">
        <v>107</v>
      </c>
      <c r="U791" t="s">
        <v>108</v>
      </c>
      <c r="V791" t="str">
        <f t="shared" si="240"/>
        <v>Health: Insurance Premium</v>
      </c>
      <c r="W791" t="s">
        <v>106</v>
      </c>
      <c r="X791" t="s">
        <v>78</v>
      </c>
      <c r="Y791" s="1">
        <v>312</v>
      </c>
      <c r="Z791" s="1" t="str">
        <f t="shared" si="241"/>
        <v>Health: $312.00</v>
      </c>
      <c r="AA791" s="1">
        <f>IF(Y791="","",ROUND(Y791*'Lookup Values'!$A$2,2))</f>
        <v>27.69</v>
      </c>
      <c r="AB791" s="12" t="str">
        <f t="shared" si="242"/>
        <v>Expense</v>
      </c>
      <c r="AC791" s="2" t="s">
        <v>480</v>
      </c>
      <c r="AD791" s="3">
        <f t="shared" si="243"/>
        <v>40635</v>
      </c>
      <c r="AE791" s="93" t="str">
        <f t="shared" si="244"/>
        <v>NO</v>
      </c>
      <c r="AF791" s="2" t="str">
        <f t="shared" si="245"/>
        <v>NO</v>
      </c>
      <c r="AG791" t="str">
        <f t="shared" si="246"/>
        <v>CRAP Transaction</v>
      </c>
    </row>
    <row r="792" spans="1:33" x14ac:dyDescent="0.25">
      <c r="A792" s="2">
        <v>791</v>
      </c>
      <c r="B792" s="3" t="str">
        <f t="shared" si="228"/>
        <v>100620-FO-CIT</v>
      </c>
      <c r="C792" s="3">
        <v>40349</v>
      </c>
      <c r="D792" s="3">
        <f t="shared" si="230"/>
        <v>40361</v>
      </c>
      <c r="E792" s="3">
        <f t="shared" si="231"/>
        <v>40410</v>
      </c>
      <c r="F792" s="3">
        <f t="shared" si="232"/>
        <v>40359</v>
      </c>
      <c r="G792" s="76">
        <f t="shared" si="233"/>
        <v>2010</v>
      </c>
      <c r="H792" s="76">
        <f t="shared" si="234"/>
        <v>6</v>
      </c>
      <c r="I792" s="76" t="str">
        <f>VLOOKUP(H792,'Lookup Values'!$C$2:$D$13,2,FALSE)</f>
        <v>JUN</v>
      </c>
      <c r="J792" s="76">
        <f t="shared" si="235"/>
        <v>20</v>
      </c>
      <c r="K792" s="76">
        <f t="shared" si="236"/>
        <v>1</v>
      </c>
      <c r="L792" s="76" t="str">
        <f>VLOOKUP(K792,'Lookup Values'!$F$2:$G$8,2,FALSE)</f>
        <v>Sunday</v>
      </c>
      <c r="M792" s="3">
        <v>40354</v>
      </c>
      <c r="N792" s="78">
        <f t="shared" si="229"/>
        <v>5</v>
      </c>
      <c r="O792" s="11">
        <v>0.9112758465096592</v>
      </c>
      <c r="P792" s="94">
        <f t="shared" si="237"/>
        <v>21</v>
      </c>
      <c r="Q792" s="94">
        <f t="shared" si="238"/>
        <v>52</v>
      </c>
      <c r="R792" s="94">
        <f t="shared" si="239"/>
        <v>14</v>
      </c>
      <c r="S792" s="94" t="str">
        <f>VLOOKUP(O792,'Lookup Values'!$I$2:$L$8,4,TRUE)</f>
        <v>Late Evening</v>
      </c>
      <c r="T792" t="s">
        <v>80</v>
      </c>
      <c r="U792" t="s">
        <v>105</v>
      </c>
      <c r="V792" t="str">
        <f t="shared" si="240"/>
        <v>Food: Coffee</v>
      </c>
      <c r="W792" t="s">
        <v>104</v>
      </c>
      <c r="X792" t="s">
        <v>91</v>
      </c>
      <c r="Y792" s="1">
        <v>122</v>
      </c>
      <c r="Z792" s="1" t="str">
        <f t="shared" si="241"/>
        <v>Food: $122.00</v>
      </c>
      <c r="AA792" s="1">
        <f>IF(Y792="","",ROUND(Y792*'Lookup Values'!$A$2,2))</f>
        <v>10.83</v>
      </c>
      <c r="AB792" s="12" t="str">
        <f t="shared" si="242"/>
        <v>Expense</v>
      </c>
      <c r="AC792" s="2" t="s">
        <v>828</v>
      </c>
      <c r="AD792" s="3">
        <f t="shared" si="243"/>
        <v>40349</v>
      </c>
      <c r="AE792" s="93" t="str">
        <f t="shared" si="244"/>
        <v>NO</v>
      </c>
      <c r="AF792" s="2" t="str">
        <f t="shared" si="245"/>
        <v>NO</v>
      </c>
      <c r="AG792" t="str">
        <f t="shared" si="246"/>
        <v>Late Transaction</v>
      </c>
    </row>
    <row r="793" spans="1:33" x14ac:dyDescent="0.25">
      <c r="A793" s="2">
        <v>792</v>
      </c>
      <c r="B793" s="3" t="str">
        <f t="shared" si="228"/>
        <v>110521-FO-BAN</v>
      </c>
      <c r="C793" s="3">
        <v>40684</v>
      </c>
      <c r="D793" s="3">
        <f t="shared" si="230"/>
        <v>40697</v>
      </c>
      <c r="E793" s="3">
        <f t="shared" si="231"/>
        <v>40745</v>
      </c>
      <c r="F793" s="3">
        <f t="shared" si="232"/>
        <v>40694</v>
      </c>
      <c r="G793" s="76">
        <f t="shared" si="233"/>
        <v>2011</v>
      </c>
      <c r="H793" s="76">
        <f t="shared" si="234"/>
        <v>5</v>
      </c>
      <c r="I793" s="76" t="str">
        <f>VLOOKUP(H793,'Lookup Values'!$C$2:$D$13,2,FALSE)</f>
        <v>MAY</v>
      </c>
      <c r="J793" s="76">
        <f t="shared" si="235"/>
        <v>21</v>
      </c>
      <c r="K793" s="76">
        <f t="shared" si="236"/>
        <v>7</v>
      </c>
      <c r="L793" s="76" t="str">
        <f>VLOOKUP(K793,'Lookup Values'!$F$2:$G$8,2,FALSE)</f>
        <v>Saturday</v>
      </c>
      <c r="M793" s="3">
        <v>40688</v>
      </c>
      <c r="N793" s="78">
        <f t="shared" si="229"/>
        <v>4</v>
      </c>
      <c r="O793" s="11">
        <v>0.67337836041881349</v>
      </c>
      <c r="P793" s="94">
        <f t="shared" si="237"/>
        <v>16</v>
      </c>
      <c r="Q793" s="94">
        <f t="shared" si="238"/>
        <v>9</v>
      </c>
      <c r="R793" s="94">
        <f t="shared" si="239"/>
        <v>40</v>
      </c>
      <c r="S793" s="94" t="str">
        <f>VLOOKUP(O793,'Lookup Values'!$I$2:$L$8,4,TRUE)</f>
        <v>Afternoon</v>
      </c>
      <c r="T793" t="s">
        <v>80</v>
      </c>
      <c r="U793" t="s">
        <v>81</v>
      </c>
      <c r="V793" t="str">
        <f t="shared" si="240"/>
        <v>Food: Restaurants</v>
      </c>
      <c r="W793" t="s">
        <v>79</v>
      </c>
      <c r="X793" t="s">
        <v>88</v>
      </c>
      <c r="Y793" s="1">
        <v>23</v>
      </c>
      <c r="Z793" s="1" t="str">
        <f t="shared" si="241"/>
        <v>Food: $23.00</v>
      </c>
      <c r="AA793" s="1">
        <f>IF(Y793="","",ROUND(Y793*'Lookup Values'!$A$2,2))</f>
        <v>2.04</v>
      </c>
      <c r="AB793" s="12" t="str">
        <f t="shared" si="242"/>
        <v>Expense</v>
      </c>
      <c r="AC793" s="2" t="s">
        <v>829</v>
      </c>
      <c r="AD793" s="3">
        <f t="shared" si="243"/>
        <v>40684</v>
      </c>
      <c r="AE793" s="93" t="str">
        <f t="shared" si="244"/>
        <v>NO</v>
      </c>
      <c r="AF793" s="2" t="str">
        <f t="shared" si="245"/>
        <v>NO</v>
      </c>
      <c r="AG793" t="str">
        <f t="shared" si="246"/>
        <v>CRAP Transaction</v>
      </c>
    </row>
    <row r="794" spans="1:33" x14ac:dyDescent="0.25">
      <c r="A794" s="2">
        <v>793</v>
      </c>
      <c r="B794" s="3" t="str">
        <f t="shared" si="228"/>
        <v>070211-EN-MOE</v>
      </c>
      <c r="C794" s="3">
        <v>39124</v>
      </c>
      <c r="D794" s="3">
        <f t="shared" si="230"/>
        <v>39136</v>
      </c>
      <c r="E794" s="3">
        <f t="shared" si="231"/>
        <v>39183</v>
      </c>
      <c r="F794" s="3">
        <f t="shared" si="232"/>
        <v>39141</v>
      </c>
      <c r="G794" s="76">
        <f t="shared" si="233"/>
        <v>2007</v>
      </c>
      <c r="H794" s="76">
        <f t="shared" si="234"/>
        <v>2</v>
      </c>
      <c r="I794" s="76" t="str">
        <f>VLOOKUP(H794,'Lookup Values'!$C$2:$D$13,2,FALSE)</f>
        <v>FEB</v>
      </c>
      <c r="J794" s="76">
        <f t="shared" si="235"/>
        <v>11</v>
      </c>
      <c r="K794" s="76">
        <f t="shared" si="236"/>
        <v>1</v>
      </c>
      <c r="L794" s="76" t="str">
        <f>VLOOKUP(K794,'Lookup Values'!$F$2:$G$8,2,FALSE)</f>
        <v>Sunday</v>
      </c>
      <c r="M794" s="3">
        <v>39126</v>
      </c>
      <c r="N794" s="78">
        <f t="shared" si="229"/>
        <v>2</v>
      </c>
      <c r="O794" s="11">
        <v>0.49209644149941423</v>
      </c>
      <c r="P794" s="94">
        <f t="shared" si="237"/>
        <v>11</v>
      </c>
      <c r="Q794" s="94">
        <f t="shared" si="238"/>
        <v>48</v>
      </c>
      <c r="R794" s="94">
        <f t="shared" si="239"/>
        <v>37</v>
      </c>
      <c r="S794" s="94" t="str">
        <f>VLOOKUP(O794,'Lookup Values'!$I$2:$L$8,4,TRUE)</f>
        <v>Late Morning</v>
      </c>
      <c r="T794" t="s">
        <v>76</v>
      </c>
      <c r="U794" t="s">
        <v>77</v>
      </c>
      <c r="V794" t="str">
        <f t="shared" si="240"/>
        <v>Entertainment: Alcohol</v>
      </c>
      <c r="W794" t="s">
        <v>75</v>
      </c>
      <c r="X794" t="s">
        <v>88</v>
      </c>
      <c r="Y794" s="1">
        <v>19</v>
      </c>
      <c r="Z794" s="1" t="str">
        <f t="shared" si="241"/>
        <v>Entertainment: $19.00</v>
      </c>
      <c r="AA794" s="1">
        <f>IF(Y794="","",ROUND(Y794*'Lookup Values'!$A$2,2))</f>
        <v>1.69</v>
      </c>
      <c r="AB794" s="12" t="str">
        <f t="shared" si="242"/>
        <v>Expense</v>
      </c>
      <c r="AC794" s="2" t="s">
        <v>830</v>
      </c>
      <c r="AD794" s="3">
        <f t="shared" si="243"/>
        <v>39124</v>
      </c>
      <c r="AE794" s="93" t="str">
        <f t="shared" si="244"/>
        <v>NO</v>
      </c>
      <c r="AF794" s="2" t="str">
        <f t="shared" si="245"/>
        <v>NO</v>
      </c>
      <c r="AG794" t="str">
        <f t="shared" si="246"/>
        <v>Awesome Transaction</v>
      </c>
    </row>
    <row r="795" spans="1:33" x14ac:dyDescent="0.25">
      <c r="A795" s="2">
        <v>794</v>
      </c>
      <c r="B795" s="3" t="str">
        <f t="shared" si="228"/>
        <v>080120-ED-SKI</v>
      </c>
      <c r="C795" s="3">
        <v>39467</v>
      </c>
      <c r="D795" s="3">
        <f t="shared" si="230"/>
        <v>39479</v>
      </c>
      <c r="E795" s="3">
        <f t="shared" si="231"/>
        <v>39527</v>
      </c>
      <c r="F795" s="3">
        <f t="shared" si="232"/>
        <v>39478</v>
      </c>
      <c r="G795" s="76">
        <f t="shared" si="233"/>
        <v>2008</v>
      </c>
      <c r="H795" s="76">
        <f t="shared" si="234"/>
        <v>1</v>
      </c>
      <c r="I795" s="76" t="str">
        <f>VLOOKUP(H795,'Lookup Values'!$C$2:$D$13,2,FALSE)</f>
        <v>JAN</v>
      </c>
      <c r="J795" s="76">
        <f t="shared" si="235"/>
        <v>20</v>
      </c>
      <c r="K795" s="76">
        <f t="shared" si="236"/>
        <v>1</v>
      </c>
      <c r="L795" s="76" t="str">
        <f>VLOOKUP(K795,'Lookup Values'!$F$2:$G$8,2,FALSE)</f>
        <v>Sunday</v>
      </c>
      <c r="M795" s="3">
        <v>39473</v>
      </c>
      <c r="N795" s="78">
        <f t="shared" si="229"/>
        <v>6</v>
      </c>
      <c r="O795" s="11">
        <v>0.17714155673020138</v>
      </c>
      <c r="P795" s="94">
        <f t="shared" si="237"/>
        <v>4</v>
      </c>
      <c r="Q795" s="94">
        <f t="shared" si="238"/>
        <v>15</v>
      </c>
      <c r="R795" s="94">
        <f t="shared" si="239"/>
        <v>5</v>
      </c>
      <c r="S795" s="94" t="str">
        <f>VLOOKUP(O795,'Lookup Values'!$I$2:$L$8,4,TRUE)</f>
        <v>Early Morning</v>
      </c>
      <c r="T795" t="s">
        <v>86</v>
      </c>
      <c r="U795" t="s">
        <v>98</v>
      </c>
      <c r="V795" t="str">
        <f t="shared" si="240"/>
        <v>Education: Professional Development</v>
      </c>
      <c r="W795" t="s">
        <v>97</v>
      </c>
      <c r="X795" t="s">
        <v>91</v>
      </c>
      <c r="Y795" s="1">
        <v>55</v>
      </c>
      <c r="Z795" s="1" t="str">
        <f t="shared" si="241"/>
        <v>Education: $55.00</v>
      </c>
      <c r="AA795" s="1">
        <f>IF(Y795="","",ROUND(Y795*'Lookup Values'!$A$2,2))</f>
        <v>4.88</v>
      </c>
      <c r="AB795" s="12" t="str">
        <f t="shared" si="242"/>
        <v>Expense</v>
      </c>
      <c r="AC795" s="2" t="s">
        <v>831</v>
      </c>
      <c r="AD795" s="3">
        <f t="shared" si="243"/>
        <v>39467</v>
      </c>
      <c r="AE795" s="93" t="str">
        <f t="shared" si="244"/>
        <v>YES</v>
      </c>
      <c r="AF795" s="2" t="str">
        <f t="shared" si="245"/>
        <v>NO</v>
      </c>
      <c r="AG795" t="str">
        <f t="shared" si="246"/>
        <v>Late Transaction</v>
      </c>
    </row>
    <row r="796" spans="1:33" x14ac:dyDescent="0.25">
      <c r="A796" s="2">
        <v>795</v>
      </c>
      <c r="B796" s="3" t="str">
        <f t="shared" si="228"/>
        <v>120321-ED-ANT</v>
      </c>
      <c r="C796" s="3">
        <v>40989</v>
      </c>
      <c r="D796" s="3">
        <f t="shared" si="230"/>
        <v>41003</v>
      </c>
      <c r="E796" s="3">
        <f t="shared" si="231"/>
        <v>41050</v>
      </c>
      <c r="F796" s="3">
        <f t="shared" si="232"/>
        <v>40999</v>
      </c>
      <c r="G796" s="76">
        <f t="shared" si="233"/>
        <v>2012</v>
      </c>
      <c r="H796" s="76">
        <f t="shared" si="234"/>
        <v>3</v>
      </c>
      <c r="I796" s="76" t="str">
        <f>VLOOKUP(H796,'Lookup Values'!$C$2:$D$13,2,FALSE)</f>
        <v>MAR</v>
      </c>
      <c r="J796" s="76">
        <f t="shared" si="235"/>
        <v>21</v>
      </c>
      <c r="K796" s="76">
        <f t="shared" si="236"/>
        <v>4</v>
      </c>
      <c r="L796" s="76" t="str">
        <f>VLOOKUP(K796,'Lookup Values'!$F$2:$G$8,2,FALSE)</f>
        <v>Wednesday</v>
      </c>
      <c r="M796" s="3">
        <v>40990</v>
      </c>
      <c r="N796" s="78">
        <f t="shared" si="229"/>
        <v>1</v>
      </c>
      <c r="O796" s="11">
        <v>0.61862775469336662</v>
      </c>
      <c r="P796" s="94">
        <f t="shared" si="237"/>
        <v>14</v>
      </c>
      <c r="Q796" s="94">
        <f t="shared" si="238"/>
        <v>50</v>
      </c>
      <c r="R796" s="94">
        <f t="shared" si="239"/>
        <v>49</v>
      </c>
      <c r="S796" s="94" t="str">
        <f>VLOOKUP(O796,'Lookup Values'!$I$2:$L$8,4,TRUE)</f>
        <v>Afternoon</v>
      </c>
      <c r="T796" t="s">
        <v>86</v>
      </c>
      <c r="U796" t="s">
        <v>87</v>
      </c>
      <c r="V796" t="str">
        <f t="shared" si="240"/>
        <v>Education: Tango Lessons</v>
      </c>
      <c r="W796" t="s">
        <v>85</v>
      </c>
      <c r="X796" t="s">
        <v>78</v>
      </c>
      <c r="Y796" s="1">
        <v>260</v>
      </c>
      <c r="Z796" s="1" t="str">
        <f t="shared" si="241"/>
        <v>Education: $260.00</v>
      </c>
      <c r="AA796" s="1">
        <f>IF(Y796="","",ROUND(Y796*'Lookup Values'!$A$2,2))</f>
        <v>23.08</v>
      </c>
      <c r="AB796" s="12" t="str">
        <f t="shared" si="242"/>
        <v>Expense</v>
      </c>
      <c r="AC796" s="2" t="s">
        <v>832</v>
      </c>
      <c r="AD796" s="3">
        <f t="shared" si="243"/>
        <v>40989</v>
      </c>
      <c r="AE796" s="93" t="str">
        <f t="shared" si="244"/>
        <v>NO</v>
      </c>
      <c r="AF796" s="2" t="str">
        <f t="shared" si="245"/>
        <v>NO</v>
      </c>
      <c r="AG796" t="str">
        <f t="shared" si="246"/>
        <v>CRAP Transaction</v>
      </c>
    </row>
    <row r="797" spans="1:33" x14ac:dyDescent="0.25">
      <c r="A797" s="2">
        <v>796</v>
      </c>
      <c r="B797" s="3" t="str">
        <f t="shared" si="228"/>
        <v>101225-TR-MTA</v>
      </c>
      <c r="C797" s="3">
        <v>40537</v>
      </c>
      <c r="D797" s="3">
        <f t="shared" si="230"/>
        <v>40550</v>
      </c>
      <c r="E797" s="3">
        <f t="shared" si="231"/>
        <v>40599</v>
      </c>
      <c r="F797" s="3">
        <f t="shared" si="232"/>
        <v>40543</v>
      </c>
      <c r="G797" s="76">
        <f t="shared" si="233"/>
        <v>2010</v>
      </c>
      <c r="H797" s="76">
        <f t="shared" si="234"/>
        <v>12</v>
      </c>
      <c r="I797" s="76" t="str">
        <f>VLOOKUP(H797,'Lookup Values'!$C$2:$D$13,2,FALSE)</f>
        <v>DEC</v>
      </c>
      <c r="J797" s="76">
        <f t="shared" si="235"/>
        <v>25</v>
      </c>
      <c r="K797" s="76">
        <f t="shared" si="236"/>
        <v>7</v>
      </c>
      <c r="L797" s="76" t="str">
        <f>VLOOKUP(K797,'Lookup Values'!$F$2:$G$8,2,FALSE)</f>
        <v>Saturday</v>
      </c>
      <c r="M797" s="3">
        <v>40544</v>
      </c>
      <c r="N797" s="78">
        <f t="shared" si="229"/>
        <v>7</v>
      </c>
      <c r="O797" s="11">
        <v>0.91820957800357939</v>
      </c>
      <c r="P797" s="94">
        <f t="shared" si="237"/>
        <v>22</v>
      </c>
      <c r="Q797" s="94">
        <f t="shared" si="238"/>
        <v>2</v>
      </c>
      <c r="R797" s="94">
        <f t="shared" si="239"/>
        <v>13</v>
      </c>
      <c r="S797" s="94" t="str">
        <f>VLOOKUP(O797,'Lookup Values'!$I$2:$L$8,4,TRUE)</f>
        <v>Late Evening</v>
      </c>
      <c r="T797" t="s">
        <v>95</v>
      </c>
      <c r="U797" t="s">
        <v>96</v>
      </c>
      <c r="V797" t="str">
        <f t="shared" si="240"/>
        <v>Transportation: Subway</v>
      </c>
      <c r="W797" t="s">
        <v>94</v>
      </c>
      <c r="X797" t="s">
        <v>91</v>
      </c>
      <c r="Y797" s="1">
        <v>439</v>
      </c>
      <c r="Z797" s="1" t="str">
        <f t="shared" si="241"/>
        <v>Transportation: $439.00</v>
      </c>
      <c r="AA797" s="1">
        <f>IF(Y797="","",ROUND(Y797*'Lookup Values'!$A$2,2))</f>
        <v>38.96</v>
      </c>
      <c r="AB797" s="12" t="str">
        <f t="shared" si="242"/>
        <v>Expense</v>
      </c>
      <c r="AC797" s="2" t="s">
        <v>833</v>
      </c>
      <c r="AD797" s="3">
        <f t="shared" si="243"/>
        <v>40537</v>
      </c>
      <c r="AE797" s="93" t="str">
        <f t="shared" si="244"/>
        <v>YES</v>
      </c>
      <c r="AF797" s="2" t="str">
        <f t="shared" si="245"/>
        <v>YES</v>
      </c>
      <c r="AG797" t="str">
        <f t="shared" si="246"/>
        <v>Late Transaction</v>
      </c>
    </row>
    <row r="798" spans="1:33" x14ac:dyDescent="0.25">
      <c r="A798" s="2">
        <v>797</v>
      </c>
      <c r="B798" s="3" t="str">
        <f t="shared" si="228"/>
        <v>110210-FO-BAN</v>
      </c>
      <c r="C798" s="3">
        <v>40584</v>
      </c>
      <c r="D798" s="3">
        <f t="shared" si="230"/>
        <v>40598</v>
      </c>
      <c r="E798" s="3">
        <f t="shared" si="231"/>
        <v>40643</v>
      </c>
      <c r="F798" s="3">
        <f t="shared" si="232"/>
        <v>40602</v>
      </c>
      <c r="G798" s="76">
        <f t="shared" si="233"/>
        <v>2011</v>
      </c>
      <c r="H798" s="76">
        <f t="shared" si="234"/>
        <v>2</v>
      </c>
      <c r="I798" s="76" t="str">
        <f>VLOOKUP(H798,'Lookup Values'!$C$2:$D$13,2,FALSE)</f>
        <v>FEB</v>
      </c>
      <c r="J798" s="76">
        <f t="shared" si="235"/>
        <v>10</v>
      </c>
      <c r="K798" s="76">
        <f t="shared" si="236"/>
        <v>5</v>
      </c>
      <c r="L798" s="76" t="str">
        <f>VLOOKUP(K798,'Lookup Values'!$F$2:$G$8,2,FALSE)</f>
        <v>Thursday</v>
      </c>
      <c r="M798" s="3">
        <v>40593</v>
      </c>
      <c r="N798" s="78">
        <f t="shared" si="229"/>
        <v>9</v>
      </c>
      <c r="O798" s="11">
        <v>0.53743567948264193</v>
      </c>
      <c r="P798" s="94">
        <f t="shared" si="237"/>
        <v>12</v>
      </c>
      <c r="Q798" s="94">
        <f t="shared" si="238"/>
        <v>53</v>
      </c>
      <c r="R798" s="94">
        <f t="shared" si="239"/>
        <v>54</v>
      </c>
      <c r="S798" s="94" t="str">
        <f>VLOOKUP(O798,'Lookup Values'!$I$2:$L$8,4,TRUE)</f>
        <v>Afternoon</v>
      </c>
      <c r="T798" t="s">
        <v>80</v>
      </c>
      <c r="U798" t="s">
        <v>81</v>
      </c>
      <c r="V798" t="str">
        <f t="shared" si="240"/>
        <v>Food: Restaurants</v>
      </c>
      <c r="W798" t="s">
        <v>79</v>
      </c>
      <c r="X798" t="s">
        <v>88</v>
      </c>
      <c r="Y798" s="1">
        <v>224</v>
      </c>
      <c r="Z798" s="1" t="str">
        <f t="shared" si="241"/>
        <v>Food: $224.00</v>
      </c>
      <c r="AA798" s="1">
        <f>IF(Y798="","",ROUND(Y798*'Lookup Values'!$A$2,2))</f>
        <v>19.88</v>
      </c>
      <c r="AB798" s="12" t="str">
        <f t="shared" si="242"/>
        <v>Expense</v>
      </c>
      <c r="AC798" s="2" t="s">
        <v>834</v>
      </c>
      <c r="AD798" s="3">
        <f t="shared" si="243"/>
        <v>40584</v>
      </c>
      <c r="AE798" s="93" t="str">
        <f t="shared" si="244"/>
        <v>NO</v>
      </c>
      <c r="AF798" s="2" t="str">
        <f t="shared" si="245"/>
        <v>NO</v>
      </c>
      <c r="AG798" t="str">
        <f t="shared" si="246"/>
        <v>CRAP Transaction</v>
      </c>
    </row>
    <row r="799" spans="1:33" x14ac:dyDescent="0.25">
      <c r="A799" s="2">
        <v>798</v>
      </c>
      <c r="B799" s="3" t="str">
        <f t="shared" si="228"/>
        <v>101008-TR-MTA</v>
      </c>
      <c r="C799" s="3">
        <v>40459</v>
      </c>
      <c r="D799" s="3">
        <f t="shared" si="230"/>
        <v>40473</v>
      </c>
      <c r="E799" s="3">
        <f t="shared" si="231"/>
        <v>40520</v>
      </c>
      <c r="F799" s="3">
        <f t="shared" si="232"/>
        <v>40482</v>
      </c>
      <c r="G799" s="76">
        <f t="shared" si="233"/>
        <v>2010</v>
      </c>
      <c r="H799" s="76">
        <f t="shared" si="234"/>
        <v>10</v>
      </c>
      <c r="I799" s="76" t="str">
        <f>VLOOKUP(H799,'Lookup Values'!$C$2:$D$13,2,FALSE)</f>
        <v>OCT</v>
      </c>
      <c r="J799" s="76">
        <f t="shared" si="235"/>
        <v>8</v>
      </c>
      <c r="K799" s="76">
        <f t="shared" si="236"/>
        <v>6</v>
      </c>
      <c r="L799" s="76" t="str">
        <f>VLOOKUP(K799,'Lookup Values'!$F$2:$G$8,2,FALSE)</f>
        <v>Friday</v>
      </c>
      <c r="M799" s="3">
        <v>40464</v>
      </c>
      <c r="N799" s="78">
        <f t="shared" si="229"/>
        <v>5</v>
      </c>
      <c r="O799" s="11">
        <v>0.79032880935738636</v>
      </c>
      <c r="P799" s="94">
        <f t="shared" si="237"/>
        <v>18</v>
      </c>
      <c r="Q799" s="94">
        <f t="shared" si="238"/>
        <v>58</v>
      </c>
      <c r="R799" s="94">
        <f t="shared" si="239"/>
        <v>4</v>
      </c>
      <c r="S799" s="94" t="str">
        <f>VLOOKUP(O799,'Lookup Values'!$I$2:$L$8,4,TRUE)</f>
        <v>Evening</v>
      </c>
      <c r="T799" t="s">
        <v>95</v>
      </c>
      <c r="U799" t="s">
        <v>96</v>
      </c>
      <c r="V799" t="str">
        <f t="shared" si="240"/>
        <v>Transportation: Subway</v>
      </c>
      <c r="W799" t="s">
        <v>94</v>
      </c>
      <c r="X799" t="s">
        <v>91</v>
      </c>
      <c r="Y799" s="1">
        <v>345</v>
      </c>
      <c r="Z799" s="1" t="str">
        <f t="shared" si="241"/>
        <v>Transportation: $345.00</v>
      </c>
      <c r="AA799" s="1">
        <f>IF(Y799="","",ROUND(Y799*'Lookup Values'!$A$2,2))</f>
        <v>30.62</v>
      </c>
      <c r="AB799" s="12" t="str">
        <f t="shared" si="242"/>
        <v>Expense</v>
      </c>
      <c r="AC799" s="2" t="s">
        <v>835</v>
      </c>
      <c r="AD799" s="3">
        <f t="shared" si="243"/>
        <v>40459</v>
      </c>
      <c r="AE799" s="93" t="str">
        <f t="shared" si="244"/>
        <v>YES</v>
      </c>
      <c r="AF799" s="2" t="str">
        <f t="shared" si="245"/>
        <v>NO</v>
      </c>
      <c r="AG799" t="str">
        <f t="shared" si="246"/>
        <v>Late Transaction</v>
      </c>
    </row>
    <row r="800" spans="1:33" x14ac:dyDescent="0.25">
      <c r="A800" s="2">
        <v>799</v>
      </c>
      <c r="B800" s="3" t="str">
        <f t="shared" si="228"/>
        <v>100411-IN-LEG</v>
      </c>
      <c r="C800" s="3">
        <v>40279</v>
      </c>
      <c r="D800" s="3">
        <f t="shared" si="230"/>
        <v>40291</v>
      </c>
      <c r="E800" s="3">
        <f t="shared" si="231"/>
        <v>40340</v>
      </c>
      <c r="F800" s="3">
        <f t="shared" si="232"/>
        <v>40298</v>
      </c>
      <c r="G800" s="76">
        <f t="shared" si="233"/>
        <v>2010</v>
      </c>
      <c r="H800" s="76">
        <f t="shared" si="234"/>
        <v>4</v>
      </c>
      <c r="I800" s="76" t="str">
        <f>VLOOKUP(H800,'Lookup Values'!$C$2:$D$13,2,FALSE)</f>
        <v>APR</v>
      </c>
      <c r="J800" s="76">
        <f t="shared" si="235"/>
        <v>11</v>
      </c>
      <c r="K800" s="76">
        <f t="shared" si="236"/>
        <v>1</v>
      </c>
      <c r="L800" s="76" t="str">
        <f>VLOOKUP(K800,'Lookup Values'!$F$2:$G$8,2,FALSE)</f>
        <v>Sunday</v>
      </c>
      <c r="M800" s="3">
        <v>40288</v>
      </c>
      <c r="N800" s="78">
        <f t="shared" si="229"/>
        <v>9</v>
      </c>
      <c r="O800" s="11">
        <v>0.82534130810749307</v>
      </c>
      <c r="P800" s="94">
        <f t="shared" si="237"/>
        <v>19</v>
      </c>
      <c r="Q800" s="94">
        <f t="shared" si="238"/>
        <v>48</v>
      </c>
      <c r="R800" s="94">
        <f t="shared" si="239"/>
        <v>29</v>
      </c>
      <c r="S800" s="94" t="str">
        <f>VLOOKUP(O800,'Lookup Values'!$I$2:$L$8,4,TRUE)</f>
        <v>Evening</v>
      </c>
      <c r="T800" t="s">
        <v>158</v>
      </c>
      <c r="U800" t="s">
        <v>160</v>
      </c>
      <c r="V800" t="str">
        <f t="shared" si="240"/>
        <v>Income: Freelance Project</v>
      </c>
      <c r="W800" t="s">
        <v>163</v>
      </c>
      <c r="X800" t="s">
        <v>78</v>
      </c>
      <c r="Y800" s="1">
        <v>307</v>
      </c>
      <c r="Z800" s="1" t="str">
        <f t="shared" si="241"/>
        <v>Income: $307.00</v>
      </c>
      <c r="AA800" s="1">
        <f>IF(Y800="","",ROUND(Y800*'Lookup Values'!$A$2,2))</f>
        <v>27.25</v>
      </c>
      <c r="AB800" s="12" t="str">
        <f t="shared" si="242"/>
        <v>Income</v>
      </c>
      <c r="AC800" s="2" t="s">
        <v>600</v>
      </c>
      <c r="AD800" s="3">
        <f t="shared" si="243"/>
        <v>40279</v>
      </c>
      <c r="AE800" s="93" t="str">
        <f t="shared" si="244"/>
        <v>NO</v>
      </c>
      <c r="AF800" s="2" t="str">
        <f t="shared" si="245"/>
        <v>NO</v>
      </c>
      <c r="AG800" t="str">
        <f t="shared" si="246"/>
        <v>Late Transaction</v>
      </c>
    </row>
    <row r="801" spans="1:33" x14ac:dyDescent="0.25">
      <c r="A801" s="2">
        <v>800</v>
      </c>
      <c r="B801" s="3" t="str">
        <f t="shared" si="228"/>
        <v>080123-EN-FAN</v>
      </c>
      <c r="C801" s="3">
        <v>39470</v>
      </c>
      <c r="D801" s="3">
        <f t="shared" si="230"/>
        <v>39484</v>
      </c>
      <c r="E801" s="3">
        <f t="shared" si="231"/>
        <v>39530</v>
      </c>
      <c r="F801" s="3">
        <f t="shared" si="232"/>
        <v>39478</v>
      </c>
      <c r="G801" s="76">
        <f t="shared" si="233"/>
        <v>2008</v>
      </c>
      <c r="H801" s="76">
        <f t="shared" si="234"/>
        <v>1</v>
      </c>
      <c r="I801" s="76" t="str">
        <f>VLOOKUP(H801,'Lookup Values'!$C$2:$D$13,2,FALSE)</f>
        <v>JAN</v>
      </c>
      <c r="J801" s="76">
        <f t="shared" si="235"/>
        <v>23</v>
      </c>
      <c r="K801" s="76">
        <f t="shared" si="236"/>
        <v>4</v>
      </c>
      <c r="L801" s="76" t="str">
        <f>VLOOKUP(K801,'Lookup Values'!$F$2:$G$8,2,FALSE)</f>
        <v>Wednesday</v>
      </c>
      <c r="M801" s="3">
        <v>39473</v>
      </c>
      <c r="N801" s="78">
        <f t="shared" si="229"/>
        <v>3</v>
      </c>
      <c r="O801" s="11">
        <v>0.32432362248302171</v>
      </c>
      <c r="P801" s="94">
        <f t="shared" si="237"/>
        <v>7</v>
      </c>
      <c r="Q801" s="94">
        <f t="shared" si="238"/>
        <v>47</v>
      </c>
      <c r="R801" s="94">
        <f t="shared" si="239"/>
        <v>2</v>
      </c>
      <c r="S801" s="94" t="str">
        <f>VLOOKUP(O801,'Lookup Values'!$I$2:$L$8,4,TRUE)</f>
        <v>Morning</v>
      </c>
      <c r="T801" t="s">
        <v>76</v>
      </c>
      <c r="U801" t="s">
        <v>90</v>
      </c>
      <c r="V801" t="str">
        <f t="shared" si="240"/>
        <v>Entertainment: Movies</v>
      </c>
      <c r="W801" t="s">
        <v>89</v>
      </c>
      <c r="X801" t="s">
        <v>88</v>
      </c>
      <c r="Y801" s="1">
        <v>152</v>
      </c>
      <c r="Z801" s="1" t="str">
        <f t="shared" si="241"/>
        <v>Entertainment: $152.00</v>
      </c>
      <c r="AA801" s="1">
        <f>IF(Y801="","",ROUND(Y801*'Lookup Values'!$A$2,2))</f>
        <v>13.49</v>
      </c>
      <c r="AB801" s="12" t="str">
        <f t="shared" si="242"/>
        <v>Expense</v>
      </c>
      <c r="AC801" s="2" t="s">
        <v>662</v>
      </c>
      <c r="AD801" s="3">
        <f t="shared" si="243"/>
        <v>39470</v>
      </c>
      <c r="AE801" s="93" t="str">
        <f t="shared" si="244"/>
        <v>NO</v>
      </c>
      <c r="AF801" s="2" t="str">
        <f t="shared" si="245"/>
        <v>NO</v>
      </c>
      <c r="AG801" t="str">
        <f t="shared" si="246"/>
        <v>Awesome Transaction</v>
      </c>
    </row>
    <row r="802" spans="1:33" x14ac:dyDescent="0.25">
      <c r="A802" s="2">
        <v>801</v>
      </c>
      <c r="B802" s="3" t="str">
        <f t="shared" si="228"/>
        <v>120201-ED-ANT</v>
      </c>
      <c r="C802" s="3">
        <v>40940</v>
      </c>
      <c r="D802" s="3">
        <f t="shared" si="230"/>
        <v>40954</v>
      </c>
      <c r="E802" s="3">
        <f t="shared" si="231"/>
        <v>41000</v>
      </c>
      <c r="F802" s="3">
        <f t="shared" si="232"/>
        <v>40968</v>
      </c>
      <c r="G802" s="76">
        <f t="shared" si="233"/>
        <v>2012</v>
      </c>
      <c r="H802" s="76">
        <f t="shared" si="234"/>
        <v>2</v>
      </c>
      <c r="I802" s="76" t="str">
        <f>VLOOKUP(H802,'Lookup Values'!$C$2:$D$13,2,FALSE)</f>
        <v>FEB</v>
      </c>
      <c r="J802" s="76">
        <f t="shared" si="235"/>
        <v>1</v>
      </c>
      <c r="K802" s="76">
        <f t="shared" si="236"/>
        <v>4</v>
      </c>
      <c r="L802" s="76" t="str">
        <f>VLOOKUP(K802,'Lookup Values'!$F$2:$G$8,2,FALSE)</f>
        <v>Wednesday</v>
      </c>
      <c r="M802" s="3">
        <v>40949</v>
      </c>
      <c r="N802" s="78">
        <f t="shared" si="229"/>
        <v>9</v>
      </c>
      <c r="O802" s="11">
        <v>0.77436083125855093</v>
      </c>
      <c r="P802" s="94">
        <f t="shared" si="237"/>
        <v>18</v>
      </c>
      <c r="Q802" s="94">
        <f t="shared" si="238"/>
        <v>35</v>
      </c>
      <c r="R802" s="94">
        <f t="shared" si="239"/>
        <v>5</v>
      </c>
      <c r="S802" s="94" t="str">
        <f>VLOOKUP(O802,'Lookup Values'!$I$2:$L$8,4,TRUE)</f>
        <v>Evening</v>
      </c>
      <c r="T802" t="s">
        <v>86</v>
      </c>
      <c r="U802" t="s">
        <v>87</v>
      </c>
      <c r="V802" t="str">
        <f t="shared" si="240"/>
        <v>Education: Tango Lessons</v>
      </c>
      <c r="W802" t="s">
        <v>85</v>
      </c>
      <c r="X802" t="s">
        <v>78</v>
      </c>
      <c r="Y802" s="1">
        <v>487</v>
      </c>
      <c r="Z802" s="1" t="str">
        <f t="shared" si="241"/>
        <v>Education: $487.00</v>
      </c>
      <c r="AA802" s="1">
        <f>IF(Y802="","",ROUND(Y802*'Lookup Values'!$A$2,2))</f>
        <v>43.22</v>
      </c>
      <c r="AB802" s="12" t="str">
        <f t="shared" si="242"/>
        <v>Expense</v>
      </c>
      <c r="AC802" s="2" t="s">
        <v>836</v>
      </c>
      <c r="AD802" s="3">
        <f t="shared" si="243"/>
        <v>40940</v>
      </c>
      <c r="AE802" s="93" t="str">
        <f t="shared" si="244"/>
        <v>NO</v>
      </c>
      <c r="AF802" s="2" t="str">
        <f t="shared" si="245"/>
        <v>NO</v>
      </c>
      <c r="AG802" t="str">
        <f t="shared" si="246"/>
        <v>CRAP Transaction</v>
      </c>
    </row>
    <row r="803" spans="1:33" x14ac:dyDescent="0.25">
      <c r="A803" s="2">
        <v>802</v>
      </c>
      <c r="B803" s="3" t="str">
        <f t="shared" si="228"/>
        <v>070821-TR-MTA</v>
      </c>
      <c r="C803" s="3">
        <v>39315</v>
      </c>
      <c r="D803" s="3">
        <f t="shared" si="230"/>
        <v>39329</v>
      </c>
      <c r="E803" s="3">
        <f t="shared" si="231"/>
        <v>39376</v>
      </c>
      <c r="F803" s="3">
        <f t="shared" si="232"/>
        <v>39325</v>
      </c>
      <c r="G803" s="76">
        <f t="shared" si="233"/>
        <v>2007</v>
      </c>
      <c r="H803" s="76">
        <f t="shared" si="234"/>
        <v>8</v>
      </c>
      <c r="I803" s="76" t="str">
        <f>VLOOKUP(H803,'Lookup Values'!$C$2:$D$13,2,FALSE)</f>
        <v>AUG</v>
      </c>
      <c r="J803" s="76">
        <f t="shared" si="235"/>
        <v>21</v>
      </c>
      <c r="K803" s="76">
        <f t="shared" si="236"/>
        <v>3</v>
      </c>
      <c r="L803" s="76" t="str">
        <f>VLOOKUP(K803,'Lookup Values'!$F$2:$G$8,2,FALSE)</f>
        <v>Tuesday</v>
      </c>
      <c r="M803" s="3">
        <v>39323</v>
      </c>
      <c r="N803" s="78">
        <f t="shared" si="229"/>
        <v>8</v>
      </c>
      <c r="O803" s="11">
        <v>2.4326436382234751E-2</v>
      </c>
      <c r="P803" s="94">
        <f t="shared" si="237"/>
        <v>0</v>
      </c>
      <c r="Q803" s="94">
        <f t="shared" si="238"/>
        <v>35</v>
      </c>
      <c r="R803" s="94">
        <f t="shared" si="239"/>
        <v>2</v>
      </c>
      <c r="S803" s="94" t="str">
        <f>VLOOKUP(O803,'Lookup Values'!$I$2:$L$8,4,TRUE)</f>
        <v>Dead of Night</v>
      </c>
      <c r="T803" t="s">
        <v>95</v>
      </c>
      <c r="U803" t="s">
        <v>96</v>
      </c>
      <c r="V803" t="str">
        <f t="shared" si="240"/>
        <v>Transportation: Subway</v>
      </c>
      <c r="W803" t="s">
        <v>94</v>
      </c>
      <c r="X803" t="s">
        <v>88</v>
      </c>
      <c r="Y803" s="1">
        <v>353</v>
      </c>
      <c r="Z803" s="1" t="str">
        <f t="shared" si="241"/>
        <v>Transportation: $353.00</v>
      </c>
      <c r="AA803" s="1">
        <f>IF(Y803="","",ROUND(Y803*'Lookup Values'!$A$2,2))</f>
        <v>31.33</v>
      </c>
      <c r="AB803" s="12" t="str">
        <f t="shared" si="242"/>
        <v>Expense</v>
      </c>
      <c r="AC803" s="2" t="s">
        <v>718</v>
      </c>
      <c r="AD803" s="3">
        <f t="shared" si="243"/>
        <v>39315</v>
      </c>
      <c r="AE803" s="93" t="str">
        <f t="shared" si="244"/>
        <v>YES</v>
      </c>
      <c r="AF803" s="2" t="str">
        <f t="shared" si="245"/>
        <v>NO</v>
      </c>
      <c r="AG803" t="str">
        <f t="shared" si="246"/>
        <v>Late Transaction</v>
      </c>
    </row>
    <row r="804" spans="1:33" x14ac:dyDescent="0.25">
      <c r="A804" s="2">
        <v>803</v>
      </c>
      <c r="B804" s="3" t="str">
        <f t="shared" si="228"/>
        <v>090502-EN-FAN</v>
      </c>
      <c r="C804" s="3">
        <v>39935</v>
      </c>
      <c r="D804" s="3">
        <f t="shared" si="230"/>
        <v>39948</v>
      </c>
      <c r="E804" s="3">
        <f t="shared" si="231"/>
        <v>39996</v>
      </c>
      <c r="F804" s="3">
        <f t="shared" si="232"/>
        <v>39964</v>
      </c>
      <c r="G804" s="76">
        <f t="shared" si="233"/>
        <v>2009</v>
      </c>
      <c r="H804" s="76">
        <f t="shared" si="234"/>
        <v>5</v>
      </c>
      <c r="I804" s="76" t="str">
        <f>VLOOKUP(H804,'Lookup Values'!$C$2:$D$13,2,FALSE)</f>
        <v>MAY</v>
      </c>
      <c r="J804" s="76">
        <f t="shared" si="235"/>
        <v>2</v>
      </c>
      <c r="K804" s="76">
        <f t="shared" si="236"/>
        <v>7</v>
      </c>
      <c r="L804" s="76" t="str">
        <f>VLOOKUP(K804,'Lookup Values'!$F$2:$G$8,2,FALSE)</f>
        <v>Saturday</v>
      </c>
      <c r="M804" s="3">
        <v>39937</v>
      </c>
      <c r="N804" s="78">
        <f t="shared" si="229"/>
        <v>2</v>
      </c>
      <c r="O804" s="11">
        <v>0.63606068689897677</v>
      </c>
      <c r="P804" s="94">
        <f t="shared" si="237"/>
        <v>15</v>
      </c>
      <c r="Q804" s="94">
        <f t="shared" si="238"/>
        <v>15</v>
      </c>
      <c r="R804" s="94">
        <f t="shared" si="239"/>
        <v>56</v>
      </c>
      <c r="S804" s="94" t="str">
        <f>VLOOKUP(O804,'Lookup Values'!$I$2:$L$8,4,TRUE)</f>
        <v>Afternoon</v>
      </c>
      <c r="T804" t="s">
        <v>76</v>
      </c>
      <c r="U804" t="s">
        <v>90</v>
      </c>
      <c r="V804" t="str">
        <f t="shared" si="240"/>
        <v>Entertainment: Movies</v>
      </c>
      <c r="W804" t="s">
        <v>89</v>
      </c>
      <c r="X804" t="s">
        <v>78</v>
      </c>
      <c r="Y804" s="1">
        <v>426</v>
      </c>
      <c r="Z804" s="1" t="str">
        <f t="shared" si="241"/>
        <v>Entertainment: $426.00</v>
      </c>
      <c r="AA804" s="1">
        <f>IF(Y804="","",ROUND(Y804*'Lookup Values'!$A$2,2))</f>
        <v>37.81</v>
      </c>
      <c r="AB804" s="12" t="str">
        <f t="shared" si="242"/>
        <v>Expense</v>
      </c>
      <c r="AC804" s="2" t="s">
        <v>837</v>
      </c>
      <c r="AD804" s="3">
        <f t="shared" si="243"/>
        <v>39935</v>
      </c>
      <c r="AE804" s="93" t="str">
        <f t="shared" si="244"/>
        <v>NO</v>
      </c>
      <c r="AF804" s="2" t="str">
        <f t="shared" si="245"/>
        <v>NO</v>
      </c>
      <c r="AG804" t="str">
        <f t="shared" si="246"/>
        <v>Awesome Transaction</v>
      </c>
    </row>
    <row r="805" spans="1:33" x14ac:dyDescent="0.25">
      <c r="A805" s="2">
        <v>804</v>
      </c>
      <c r="B805" s="3" t="str">
        <f t="shared" si="228"/>
        <v>080303-BI-CON</v>
      </c>
      <c r="C805" s="3">
        <v>39510</v>
      </c>
      <c r="D805" s="3">
        <f t="shared" si="230"/>
        <v>39524</v>
      </c>
      <c r="E805" s="3">
        <f t="shared" si="231"/>
        <v>39571</v>
      </c>
      <c r="F805" s="3">
        <f t="shared" si="232"/>
        <v>39538</v>
      </c>
      <c r="G805" s="76">
        <f t="shared" si="233"/>
        <v>2008</v>
      </c>
      <c r="H805" s="76">
        <f t="shared" si="234"/>
        <v>3</v>
      </c>
      <c r="I805" s="76" t="str">
        <f>VLOOKUP(H805,'Lookup Values'!$C$2:$D$13,2,FALSE)</f>
        <v>MAR</v>
      </c>
      <c r="J805" s="76">
        <f t="shared" si="235"/>
        <v>3</v>
      </c>
      <c r="K805" s="76">
        <f t="shared" si="236"/>
        <v>2</v>
      </c>
      <c r="L805" s="76" t="str">
        <f>VLOOKUP(K805,'Lookup Values'!$F$2:$G$8,2,FALSE)</f>
        <v>Monday</v>
      </c>
      <c r="M805" s="3">
        <v>39515</v>
      </c>
      <c r="N805" s="78">
        <f t="shared" si="229"/>
        <v>5</v>
      </c>
      <c r="O805" s="11">
        <v>0.8444920957698776</v>
      </c>
      <c r="P805" s="94">
        <f t="shared" si="237"/>
        <v>20</v>
      </c>
      <c r="Q805" s="94">
        <f t="shared" si="238"/>
        <v>16</v>
      </c>
      <c r="R805" s="94">
        <f t="shared" si="239"/>
        <v>4</v>
      </c>
      <c r="S805" s="94" t="str">
        <f>VLOOKUP(O805,'Lookup Values'!$I$2:$L$8,4,TRUE)</f>
        <v>Evening</v>
      </c>
      <c r="T805" t="s">
        <v>110</v>
      </c>
      <c r="U805" t="s">
        <v>111</v>
      </c>
      <c r="V805" t="str">
        <f t="shared" si="240"/>
        <v>Bills: Utilities</v>
      </c>
      <c r="W805" t="s">
        <v>109</v>
      </c>
      <c r="X805" t="s">
        <v>88</v>
      </c>
      <c r="Y805" s="1">
        <v>32</v>
      </c>
      <c r="Z805" s="1" t="str">
        <f t="shared" si="241"/>
        <v>Bills: $32.00</v>
      </c>
      <c r="AA805" s="1">
        <f>IF(Y805="","",ROUND(Y805*'Lookup Values'!$A$2,2))</f>
        <v>2.84</v>
      </c>
      <c r="AB805" s="12" t="str">
        <f t="shared" si="242"/>
        <v>Expense</v>
      </c>
      <c r="AC805" s="2" t="s">
        <v>287</v>
      </c>
      <c r="AD805" s="3">
        <f t="shared" si="243"/>
        <v>39510</v>
      </c>
      <c r="AE805" s="93" t="str">
        <f t="shared" si="244"/>
        <v>NO</v>
      </c>
      <c r="AF805" s="2" t="str">
        <f t="shared" si="245"/>
        <v>NO</v>
      </c>
      <c r="AG805" t="str">
        <f t="shared" si="246"/>
        <v>Late Transaction</v>
      </c>
    </row>
    <row r="806" spans="1:33" x14ac:dyDescent="0.25">
      <c r="A806" s="2">
        <v>805</v>
      </c>
      <c r="B806" s="3" t="str">
        <f t="shared" si="228"/>
        <v>071206-TR-MTA</v>
      </c>
      <c r="C806" s="3">
        <v>39422</v>
      </c>
      <c r="D806" s="3">
        <f t="shared" si="230"/>
        <v>39436</v>
      </c>
      <c r="E806" s="3">
        <f t="shared" si="231"/>
        <v>39484</v>
      </c>
      <c r="F806" s="3">
        <f t="shared" si="232"/>
        <v>39447</v>
      </c>
      <c r="G806" s="76">
        <f t="shared" si="233"/>
        <v>2007</v>
      </c>
      <c r="H806" s="76">
        <f t="shared" si="234"/>
        <v>12</v>
      </c>
      <c r="I806" s="76" t="str">
        <f>VLOOKUP(H806,'Lookup Values'!$C$2:$D$13,2,FALSE)</f>
        <v>DEC</v>
      </c>
      <c r="J806" s="76">
        <f t="shared" si="235"/>
        <v>6</v>
      </c>
      <c r="K806" s="76">
        <f t="shared" si="236"/>
        <v>5</v>
      </c>
      <c r="L806" s="76" t="str">
        <f>VLOOKUP(K806,'Lookup Values'!$F$2:$G$8,2,FALSE)</f>
        <v>Thursday</v>
      </c>
      <c r="M806" s="3">
        <v>39428</v>
      </c>
      <c r="N806" s="78">
        <f t="shared" si="229"/>
        <v>6</v>
      </c>
      <c r="O806" s="11">
        <v>0.52977050282947824</v>
      </c>
      <c r="P806" s="94">
        <f t="shared" si="237"/>
        <v>12</v>
      </c>
      <c r="Q806" s="94">
        <f t="shared" si="238"/>
        <v>42</v>
      </c>
      <c r="R806" s="94">
        <f t="shared" si="239"/>
        <v>52</v>
      </c>
      <c r="S806" s="94" t="str">
        <f>VLOOKUP(O806,'Lookup Values'!$I$2:$L$8,4,TRUE)</f>
        <v>Afternoon</v>
      </c>
      <c r="T806" t="s">
        <v>95</v>
      </c>
      <c r="U806" t="s">
        <v>96</v>
      </c>
      <c r="V806" t="str">
        <f t="shared" si="240"/>
        <v>Transportation: Subway</v>
      </c>
      <c r="W806" t="s">
        <v>94</v>
      </c>
      <c r="X806" t="s">
        <v>78</v>
      </c>
      <c r="Y806" s="1">
        <v>129</v>
      </c>
      <c r="Z806" s="1" t="str">
        <f t="shared" si="241"/>
        <v>Transportation: $129.00</v>
      </c>
      <c r="AA806" s="1">
        <f>IF(Y806="","",ROUND(Y806*'Lookup Values'!$A$2,2))</f>
        <v>11.45</v>
      </c>
      <c r="AB806" s="12" t="str">
        <f t="shared" si="242"/>
        <v>Expense</v>
      </c>
      <c r="AC806" s="2" t="s">
        <v>838</v>
      </c>
      <c r="AD806" s="3">
        <f t="shared" si="243"/>
        <v>39422</v>
      </c>
      <c r="AE806" s="93" t="str">
        <f t="shared" si="244"/>
        <v>YES</v>
      </c>
      <c r="AF806" s="2" t="str">
        <f t="shared" si="245"/>
        <v>NO</v>
      </c>
      <c r="AG806" t="str">
        <f t="shared" si="246"/>
        <v>Late Transaction</v>
      </c>
    </row>
    <row r="807" spans="1:33" x14ac:dyDescent="0.25">
      <c r="A807" s="2">
        <v>806</v>
      </c>
      <c r="B807" s="3" t="str">
        <f t="shared" si="228"/>
        <v>091126-FO-TRA</v>
      </c>
      <c r="C807" s="3">
        <v>40143</v>
      </c>
      <c r="D807" s="3">
        <f t="shared" si="230"/>
        <v>40157</v>
      </c>
      <c r="E807" s="3">
        <f t="shared" si="231"/>
        <v>40204</v>
      </c>
      <c r="F807" s="3">
        <f t="shared" si="232"/>
        <v>40147</v>
      </c>
      <c r="G807" s="76">
        <f t="shared" si="233"/>
        <v>2009</v>
      </c>
      <c r="H807" s="76">
        <f t="shared" si="234"/>
        <v>11</v>
      </c>
      <c r="I807" s="76" t="str">
        <f>VLOOKUP(H807,'Lookup Values'!$C$2:$D$13,2,FALSE)</f>
        <v>NOV</v>
      </c>
      <c r="J807" s="76">
        <f t="shared" si="235"/>
        <v>26</v>
      </c>
      <c r="K807" s="76">
        <f t="shared" si="236"/>
        <v>5</v>
      </c>
      <c r="L807" s="76" t="str">
        <f>VLOOKUP(K807,'Lookup Values'!$F$2:$G$8,2,FALSE)</f>
        <v>Thursday</v>
      </c>
      <c r="M807" s="3">
        <v>40146</v>
      </c>
      <c r="N807" s="78">
        <f t="shared" si="229"/>
        <v>3</v>
      </c>
      <c r="O807" s="11">
        <v>0.23204143435844471</v>
      </c>
      <c r="P807" s="94">
        <f t="shared" si="237"/>
        <v>5</v>
      </c>
      <c r="Q807" s="94">
        <f t="shared" si="238"/>
        <v>34</v>
      </c>
      <c r="R807" s="94">
        <f t="shared" si="239"/>
        <v>8</v>
      </c>
      <c r="S807" s="94" t="str">
        <f>VLOOKUP(O807,'Lookup Values'!$I$2:$L$8,4,TRUE)</f>
        <v>Early Morning</v>
      </c>
      <c r="T807" t="s">
        <v>80</v>
      </c>
      <c r="U807" t="s">
        <v>93</v>
      </c>
      <c r="V807" t="str">
        <f t="shared" si="240"/>
        <v>Food: Groceries</v>
      </c>
      <c r="W807" t="s">
        <v>92</v>
      </c>
      <c r="X807" t="s">
        <v>88</v>
      </c>
      <c r="Y807" s="1">
        <v>336</v>
      </c>
      <c r="Z807" s="1" t="str">
        <f t="shared" si="241"/>
        <v>Food: $336.00</v>
      </c>
      <c r="AA807" s="1">
        <f>IF(Y807="","",ROUND(Y807*'Lookup Values'!$A$2,2))</f>
        <v>29.82</v>
      </c>
      <c r="AB807" s="12" t="str">
        <f t="shared" si="242"/>
        <v>Expense</v>
      </c>
      <c r="AC807" s="2" t="s">
        <v>547</v>
      </c>
      <c r="AD807" s="3">
        <f t="shared" si="243"/>
        <v>40143</v>
      </c>
      <c r="AE807" s="93" t="str">
        <f t="shared" si="244"/>
        <v>NO</v>
      </c>
      <c r="AF807" s="2" t="str">
        <f t="shared" si="245"/>
        <v>NO</v>
      </c>
      <c r="AG807" t="str">
        <f t="shared" si="246"/>
        <v>Awesome Transaction</v>
      </c>
    </row>
    <row r="808" spans="1:33" x14ac:dyDescent="0.25">
      <c r="A808" s="2">
        <v>807</v>
      </c>
      <c r="B808" s="3" t="str">
        <f t="shared" si="228"/>
        <v>110525-IN-LEG</v>
      </c>
      <c r="C808" s="3">
        <v>40688</v>
      </c>
      <c r="D808" s="3">
        <f t="shared" si="230"/>
        <v>40702</v>
      </c>
      <c r="E808" s="3">
        <f t="shared" si="231"/>
        <v>40749</v>
      </c>
      <c r="F808" s="3">
        <f t="shared" si="232"/>
        <v>40694</v>
      </c>
      <c r="G808" s="76">
        <f t="shared" si="233"/>
        <v>2011</v>
      </c>
      <c r="H808" s="76">
        <f t="shared" si="234"/>
        <v>5</v>
      </c>
      <c r="I808" s="76" t="str">
        <f>VLOOKUP(H808,'Lookup Values'!$C$2:$D$13,2,FALSE)</f>
        <v>MAY</v>
      </c>
      <c r="J808" s="76">
        <f t="shared" si="235"/>
        <v>25</v>
      </c>
      <c r="K808" s="76">
        <f t="shared" si="236"/>
        <v>4</v>
      </c>
      <c r="L808" s="76" t="str">
        <f>VLOOKUP(K808,'Lookup Values'!$F$2:$G$8,2,FALSE)</f>
        <v>Wednesday</v>
      </c>
      <c r="M808" s="3">
        <v>40690</v>
      </c>
      <c r="N808" s="78">
        <f t="shared" si="229"/>
        <v>2</v>
      </c>
      <c r="O808" s="11">
        <v>0.4600748534154121</v>
      </c>
      <c r="P808" s="94">
        <f t="shared" si="237"/>
        <v>11</v>
      </c>
      <c r="Q808" s="94">
        <f t="shared" si="238"/>
        <v>2</v>
      </c>
      <c r="R808" s="94">
        <f t="shared" si="239"/>
        <v>30</v>
      </c>
      <c r="S808" s="94" t="str">
        <f>VLOOKUP(O808,'Lookup Values'!$I$2:$L$8,4,TRUE)</f>
        <v>Late Morning</v>
      </c>
      <c r="T808" t="s">
        <v>158</v>
      </c>
      <c r="U808" t="s">
        <v>160</v>
      </c>
      <c r="V808" t="str">
        <f t="shared" si="240"/>
        <v>Income: Freelance Project</v>
      </c>
      <c r="W808" t="s">
        <v>163</v>
      </c>
      <c r="X808" t="s">
        <v>78</v>
      </c>
      <c r="Y808" s="1">
        <v>55</v>
      </c>
      <c r="Z808" s="1" t="str">
        <f t="shared" si="241"/>
        <v>Income: $55.00</v>
      </c>
      <c r="AA808" s="1">
        <f>IF(Y808="","",ROUND(Y808*'Lookup Values'!$A$2,2))</f>
        <v>4.88</v>
      </c>
      <c r="AB808" s="12" t="str">
        <f t="shared" si="242"/>
        <v>Income</v>
      </c>
      <c r="AC808" s="2" t="s">
        <v>529</v>
      </c>
      <c r="AD808" s="3">
        <f t="shared" si="243"/>
        <v>40688</v>
      </c>
      <c r="AE808" s="93" t="str">
        <f t="shared" si="244"/>
        <v>NO</v>
      </c>
      <c r="AF808" s="2" t="str">
        <f t="shared" si="245"/>
        <v>NO</v>
      </c>
      <c r="AG808" t="str">
        <f t="shared" si="246"/>
        <v>CRAP Transaction</v>
      </c>
    </row>
    <row r="809" spans="1:33" x14ac:dyDescent="0.25">
      <c r="A809" s="2">
        <v>808</v>
      </c>
      <c r="B809" s="3" t="str">
        <f t="shared" si="228"/>
        <v>110729-TR-MTA</v>
      </c>
      <c r="C809" s="3">
        <v>40753</v>
      </c>
      <c r="D809" s="3">
        <f t="shared" si="230"/>
        <v>40767</v>
      </c>
      <c r="E809" s="3">
        <f t="shared" si="231"/>
        <v>40815</v>
      </c>
      <c r="F809" s="3">
        <f t="shared" si="232"/>
        <v>40755</v>
      </c>
      <c r="G809" s="76">
        <f t="shared" si="233"/>
        <v>2011</v>
      </c>
      <c r="H809" s="76">
        <f t="shared" si="234"/>
        <v>7</v>
      </c>
      <c r="I809" s="76" t="str">
        <f>VLOOKUP(H809,'Lookup Values'!$C$2:$D$13,2,FALSE)</f>
        <v>JUL</v>
      </c>
      <c r="J809" s="76">
        <f t="shared" si="235"/>
        <v>29</v>
      </c>
      <c r="K809" s="76">
        <f t="shared" si="236"/>
        <v>6</v>
      </c>
      <c r="L809" s="76" t="str">
        <f>VLOOKUP(K809,'Lookup Values'!$F$2:$G$8,2,FALSE)</f>
        <v>Friday</v>
      </c>
      <c r="M809" s="3">
        <v>40761</v>
      </c>
      <c r="N809" s="78">
        <f t="shared" si="229"/>
        <v>8</v>
      </c>
      <c r="O809" s="11">
        <v>0.85906419874553475</v>
      </c>
      <c r="P809" s="94">
        <f t="shared" si="237"/>
        <v>20</v>
      </c>
      <c r="Q809" s="94">
        <f t="shared" si="238"/>
        <v>37</v>
      </c>
      <c r="R809" s="94">
        <f t="shared" si="239"/>
        <v>3</v>
      </c>
      <c r="S809" s="94" t="str">
        <f>VLOOKUP(O809,'Lookup Values'!$I$2:$L$8,4,TRUE)</f>
        <v>Evening</v>
      </c>
      <c r="T809" t="s">
        <v>95</v>
      </c>
      <c r="U809" t="s">
        <v>96</v>
      </c>
      <c r="V809" t="str">
        <f t="shared" si="240"/>
        <v>Transportation: Subway</v>
      </c>
      <c r="W809" t="s">
        <v>94</v>
      </c>
      <c r="X809" t="s">
        <v>91</v>
      </c>
      <c r="Y809" s="1">
        <v>311</v>
      </c>
      <c r="Z809" s="1" t="str">
        <f t="shared" si="241"/>
        <v>Transportation: $311.00</v>
      </c>
      <c r="AA809" s="1">
        <f>IF(Y809="","",ROUND(Y809*'Lookup Values'!$A$2,2))</f>
        <v>27.6</v>
      </c>
      <c r="AB809" s="12" t="str">
        <f t="shared" si="242"/>
        <v>Expense</v>
      </c>
      <c r="AC809" s="2" t="s">
        <v>356</v>
      </c>
      <c r="AD809" s="3">
        <f t="shared" si="243"/>
        <v>40753</v>
      </c>
      <c r="AE809" s="93" t="str">
        <f t="shared" si="244"/>
        <v>YES</v>
      </c>
      <c r="AF809" s="2" t="str">
        <f t="shared" si="245"/>
        <v>NO</v>
      </c>
      <c r="AG809" t="str">
        <f t="shared" si="246"/>
        <v>CRAP Transaction</v>
      </c>
    </row>
    <row r="810" spans="1:33" x14ac:dyDescent="0.25">
      <c r="A810" s="2">
        <v>809</v>
      </c>
      <c r="B810" s="3" t="str">
        <f t="shared" si="228"/>
        <v>080508-SH-AMA</v>
      </c>
      <c r="C810" s="3">
        <v>39576</v>
      </c>
      <c r="D810" s="3">
        <f t="shared" si="230"/>
        <v>39590</v>
      </c>
      <c r="E810" s="3">
        <f t="shared" si="231"/>
        <v>39637</v>
      </c>
      <c r="F810" s="3">
        <f t="shared" si="232"/>
        <v>39599</v>
      </c>
      <c r="G810" s="76">
        <f t="shared" si="233"/>
        <v>2008</v>
      </c>
      <c r="H810" s="76">
        <f t="shared" si="234"/>
        <v>5</v>
      </c>
      <c r="I810" s="76" t="str">
        <f>VLOOKUP(H810,'Lookup Values'!$C$2:$D$13,2,FALSE)</f>
        <v>MAY</v>
      </c>
      <c r="J810" s="76">
        <f t="shared" si="235"/>
        <v>8</v>
      </c>
      <c r="K810" s="76">
        <f t="shared" si="236"/>
        <v>5</v>
      </c>
      <c r="L810" s="76" t="str">
        <f>VLOOKUP(K810,'Lookup Values'!$F$2:$G$8,2,FALSE)</f>
        <v>Thursday</v>
      </c>
      <c r="M810" s="3">
        <v>39577</v>
      </c>
      <c r="N810" s="78">
        <f t="shared" si="229"/>
        <v>1</v>
      </c>
      <c r="O810" s="11">
        <v>0.65680683187291944</v>
      </c>
      <c r="P810" s="94">
        <f t="shared" si="237"/>
        <v>15</v>
      </c>
      <c r="Q810" s="94">
        <f t="shared" si="238"/>
        <v>45</v>
      </c>
      <c r="R810" s="94">
        <f t="shared" si="239"/>
        <v>48</v>
      </c>
      <c r="S810" s="94" t="str">
        <f>VLOOKUP(O810,'Lookup Values'!$I$2:$L$8,4,TRUE)</f>
        <v>Afternoon</v>
      </c>
      <c r="T810" t="s">
        <v>83</v>
      </c>
      <c r="U810" t="s">
        <v>84</v>
      </c>
      <c r="V810" t="str">
        <f t="shared" si="240"/>
        <v>Shopping: Electronics</v>
      </c>
      <c r="W810" t="s">
        <v>82</v>
      </c>
      <c r="X810" t="s">
        <v>91</v>
      </c>
      <c r="Y810" s="1">
        <v>66</v>
      </c>
      <c r="Z810" s="1" t="str">
        <f t="shared" si="241"/>
        <v>Shopping: $66.00</v>
      </c>
      <c r="AA810" s="1">
        <f>IF(Y810="","",ROUND(Y810*'Lookup Values'!$A$2,2))</f>
        <v>5.86</v>
      </c>
      <c r="AB810" s="12" t="str">
        <f t="shared" si="242"/>
        <v>Expense</v>
      </c>
      <c r="AC810" s="2" t="s">
        <v>839</v>
      </c>
      <c r="AD810" s="3">
        <f t="shared" si="243"/>
        <v>39576</v>
      </c>
      <c r="AE810" s="93" t="str">
        <f t="shared" si="244"/>
        <v>YES</v>
      </c>
      <c r="AF810" s="2" t="str">
        <f t="shared" si="245"/>
        <v>NO</v>
      </c>
      <c r="AG810" t="str">
        <f t="shared" si="246"/>
        <v>Awesome Transaction</v>
      </c>
    </row>
    <row r="811" spans="1:33" x14ac:dyDescent="0.25">
      <c r="A811" s="2">
        <v>810</v>
      </c>
      <c r="B811" s="3" t="str">
        <f t="shared" si="228"/>
        <v>070629-ED-SKI</v>
      </c>
      <c r="C811" s="3">
        <v>39262</v>
      </c>
      <c r="D811" s="3">
        <f t="shared" si="230"/>
        <v>39276</v>
      </c>
      <c r="E811" s="3">
        <f t="shared" si="231"/>
        <v>39323</v>
      </c>
      <c r="F811" s="3">
        <f t="shared" si="232"/>
        <v>39263</v>
      </c>
      <c r="G811" s="76">
        <f t="shared" si="233"/>
        <v>2007</v>
      </c>
      <c r="H811" s="76">
        <f t="shared" si="234"/>
        <v>6</v>
      </c>
      <c r="I811" s="76" t="str">
        <f>VLOOKUP(H811,'Lookup Values'!$C$2:$D$13,2,FALSE)</f>
        <v>JUN</v>
      </c>
      <c r="J811" s="76">
        <f t="shared" si="235"/>
        <v>29</v>
      </c>
      <c r="K811" s="76">
        <f t="shared" si="236"/>
        <v>6</v>
      </c>
      <c r="L811" s="76" t="str">
        <f>VLOOKUP(K811,'Lookup Values'!$F$2:$G$8,2,FALSE)</f>
        <v>Friday</v>
      </c>
      <c r="M811" s="3">
        <v>39271</v>
      </c>
      <c r="N811" s="78">
        <f t="shared" si="229"/>
        <v>9</v>
      </c>
      <c r="O811" s="11">
        <v>0.43656909012727141</v>
      </c>
      <c r="P811" s="94">
        <f t="shared" si="237"/>
        <v>10</v>
      </c>
      <c r="Q811" s="94">
        <f t="shared" si="238"/>
        <v>28</v>
      </c>
      <c r="R811" s="94">
        <f t="shared" si="239"/>
        <v>40</v>
      </c>
      <c r="S811" s="94" t="str">
        <f>VLOOKUP(O811,'Lookup Values'!$I$2:$L$8,4,TRUE)</f>
        <v>Late Morning</v>
      </c>
      <c r="T811" t="s">
        <v>86</v>
      </c>
      <c r="U811" t="s">
        <v>98</v>
      </c>
      <c r="V811" t="str">
        <f t="shared" si="240"/>
        <v>Education: Professional Development</v>
      </c>
      <c r="W811" t="s">
        <v>97</v>
      </c>
      <c r="X811" t="s">
        <v>88</v>
      </c>
      <c r="Y811" s="1">
        <v>462</v>
      </c>
      <c r="Z811" s="1" t="str">
        <f t="shared" si="241"/>
        <v>Education: $462.00</v>
      </c>
      <c r="AA811" s="1">
        <f>IF(Y811="","",ROUND(Y811*'Lookup Values'!$A$2,2))</f>
        <v>41</v>
      </c>
      <c r="AB811" s="12" t="str">
        <f t="shared" si="242"/>
        <v>Expense</v>
      </c>
      <c r="AC811" s="2" t="s">
        <v>556</v>
      </c>
      <c r="AD811" s="3">
        <f t="shared" si="243"/>
        <v>39262</v>
      </c>
      <c r="AE811" s="93" t="str">
        <f t="shared" si="244"/>
        <v>YES</v>
      </c>
      <c r="AF811" s="2" t="str">
        <f t="shared" si="245"/>
        <v>YES</v>
      </c>
      <c r="AG811" t="str">
        <f t="shared" si="246"/>
        <v>Late Transaction</v>
      </c>
    </row>
    <row r="812" spans="1:33" x14ac:dyDescent="0.25">
      <c r="A812" s="2">
        <v>811</v>
      </c>
      <c r="B812" s="3" t="str">
        <f t="shared" si="228"/>
        <v>120302-ED-SKI</v>
      </c>
      <c r="C812" s="3">
        <v>40970</v>
      </c>
      <c r="D812" s="3">
        <f t="shared" si="230"/>
        <v>40984</v>
      </c>
      <c r="E812" s="3">
        <f t="shared" si="231"/>
        <v>41031</v>
      </c>
      <c r="F812" s="3">
        <f t="shared" si="232"/>
        <v>40999</v>
      </c>
      <c r="G812" s="76">
        <f t="shared" si="233"/>
        <v>2012</v>
      </c>
      <c r="H812" s="76">
        <f t="shared" si="234"/>
        <v>3</v>
      </c>
      <c r="I812" s="76" t="str">
        <f>VLOOKUP(H812,'Lookup Values'!$C$2:$D$13,2,FALSE)</f>
        <v>MAR</v>
      </c>
      <c r="J812" s="76">
        <f t="shared" si="235"/>
        <v>2</v>
      </c>
      <c r="K812" s="76">
        <f t="shared" si="236"/>
        <v>6</v>
      </c>
      <c r="L812" s="76" t="str">
        <f>VLOOKUP(K812,'Lookup Values'!$F$2:$G$8,2,FALSE)</f>
        <v>Friday</v>
      </c>
      <c r="M812" s="3">
        <v>40976</v>
      </c>
      <c r="N812" s="78">
        <f t="shared" si="229"/>
        <v>6</v>
      </c>
      <c r="O812" s="11">
        <v>0.66643750198389073</v>
      </c>
      <c r="P812" s="94">
        <f t="shared" si="237"/>
        <v>15</v>
      </c>
      <c r="Q812" s="94">
        <f t="shared" si="238"/>
        <v>59</v>
      </c>
      <c r="R812" s="94">
        <f t="shared" si="239"/>
        <v>40</v>
      </c>
      <c r="S812" s="94" t="str">
        <f>VLOOKUP(O812,'Lookup Values'!$I$2:$L$8,4,TRUE)</f>
        <v>Afternoon</v>
      </c>
      <c r="T812" t="s">
        <v>86</v>
      </c>
      <c r="U812" t="s">
        <v>98</v>
      </c>
      <c r="V812" t="str">
        <f t="shared" si="240"/>
        <v>Education: Professional Development</v>
      </c>
      <c r="W812" t="s">
        <v>97</v>
      </c>
      <c r="X812" t="s">
        <v>91</v>
      </c>
      <c r="Y812" s="1">
        <v>39</v>
      </c>
      <c r="Z812" s="1" t="str">
        <f t="shared" si="241"/>
        <v>Education: $39.00</v>
      </c>
      <c r="AA812" s="1">
        <f>IF(Y812="","",ROUND(Y812*'Lookup Values'!$A$2,2))</f>
        <v>3.46</v>
      </c>
      <c r="AB812" s="12" t="str">
        <f t="shared" si="242"/>
        <v>Expense</v>
      </c>
      <c r="AC812" s="2" t="s">
        <v>840</v>
      </c>
      <c r="AD812" s="3">
        <f t="shared" si="243"/>
        <v>40970</v>
      </c>
      <c r="AE812" s="93" t="str">
        <f t="shared" si="244"/>
        <v>YES</v>
      </c>
      <c r="AF812" s="2" t="str">
        <f t="shared" si="245"/>
        <v>NO</v>
      </c>
      <c r="AG812" t="str">
        <f t="shared" si="246"/>
        <v>CRAP Transaction</v>
      </c>
    </row>
    <row r="813" spans="1:33" x14ac:dyDescent="0.25">
      <c r="A813" s="2">
        <v>812</v>
      </c>
      <c r="B813" s="3" t="str">
        <f t="shared" si="228"/>
        <v>100222-SH-AMA</v>
      </c>
      <c r="C813" s="3">
        <v>40231</v>
      </c>
      <c r="D813" s="3">
        <f t="shared" si="230"/>
        <v>40245</v>
      </c>
      <c r="E813" s="3">
        <f t="shared" si="231"/>
        <v>40290</v>
      </c>
      <c r="F813" s="3">
        <f t="shared" si="232"/>
        <v>40237</v>
      </c>
      <c r="G813" s="76">
        <f t="shared" si="233"/>
        <v>2010</v>
      </c>
      <c r="H813" s="76">
        <f t="shared" si="234"/>
        <v>2</v>
      </c>
      <c r="I813" s="76" t="str">
        <f>VLOOKUP(H813,'Lookup Values'!$C$2:$D$13,2,FALSE)</f>
        <v>FEB</v>
      </c>
      <c r="J813" s="76">
        <f t="shared" si="235"/>
        <v>22</v>
      </c>
      <c r="K813" s="76">
        <f t="shared" si="236"/>
        <v>2</v>
      </c>
      <c r="L813" s="76" t="str">
        <f>VLOOKUP(K813,'Lookup Values'!$F$2:$G$8,2,FALSE)</f>
        <v>Monday</v>
      </c>
      <c r="M813" s="3">
        <v>40235</v>
      </c>
      <c r="N813" s="78">
        <f t="shared" si="229"/>
        <v>4</v>
      </c>
      <c r="O813" s="11">
        <v>3.0218803340533396E-2</v>
      </c>
      <c r="P813" s="94">
        <f t="shared" si="237"/>
        <v>0</v>
      </c>
      <c r="Q813" s="94">
        <f t="shared" si="238"/>
        <v>43</v>
      </c>
      <c r="R813" s="94">
        <f t="shared" si="239"/>
        <v>31</v>
      </c>
      <c r="S813" s="94" t="str">
        <f>VLOOKUP(O813,'Lookup Values'!$I$2:$L$8,4,TRUE)</f>
        <v>Dead of Night</v>
      </c>
      <c r="T813" t="s">
        <v>83</v>
      </c>
      <c r="U813" t="s">
        <v>84</v>
      </c>
      <c r="V813" t="str">
        <f t="shared" si="240"/>
        <v>Shopping: Electronics</v>
      </c>
      <c r="W813" t="s">
        <v>82</v>
      </c>
      <c r="X813" t="s">
        <v>78</v>
      </c>
      <c r="Y813" s="1">
        <v>217</v>
      </c>
      <c r="Z813" s="1" t="str">
        <f t="shared" si="241"/>
        <v>Shopping: $217.00</v>
      </c>
      <c r="AA813" s="1">
        <f>IF(Y813="","",ROUND(Y813*'Lookup Values'!$A$2,2))</f>
        <v>19.260000000000002</v>
      </c>
      <c r="AB813" s="12" t="str">
        <f t="shared" si="242"/>
        <v>Expense</v>
      </c>
      <c r="AC813" s="2" t="s">
        <v>841</v>
      </c>
      <c r="AD813" s="3">
        <f t="shared" si="243"/>
        <v>40231</v>
      </c>
      <c r="AE813" s="93" t="str">
        <f t="shared" si="244"/>
        <v>YES</v>
      </c>
      <c r="AF813" s="2" t="str">
        <f t="shared" si="245"/>
        <v>NO</v>
      </c>
      <c r="AG813" t="str">
        <f t="shared" si="246"/>
        <v>Late Transaction</v>
      </c>
    </row>
    <row r="814" spans="1:33" x14ac:dyDescent="0.25">
      <c r="A814" s="2">
        <v>813</v>
      </c>
      <c r="B814" s="3" t="str">
        <f t="shared" si="228"/>
        <v>080702-HO-BED</v>
      </c>
      <c r="C814" s="3">
        <v>39631</v>
      </c>
      <c r="D814" s="3">
        <f t="shared" si="230"/>
        <v>39645</v>
      </c>
      <c r="E814" s="3">
        <f t="shared" si="231"/>
        <v>39693</v>
      </c>
      <c r="F814" s="3">
        <f t="shared" si="232"/>
        <v>39660</v>
      </c>
      <c r="G814" s="76">
        <f t="shared" si="233"/>
        <v>2008</v>
      </c>
      <c r="H814" s="76">
        <f t="shared" si="234"/>
        <v>7</v>
      </c>
      <c r="I814" s="76" t="str">
        <f>VLOOKUP(H814,'Lookup Values'!$C$2:$D$13,2,FALSE)</f>
        <v>JUL</v>
      </c>
      <c r="J814" s="76">
        <f t="shared" si="235"/>
        <v>2</v>
      </c>
      <c r="K814" s="76">
        <f t="shared" si="236"/>
        <v>4</v>
      </c>
      <c r="L814" s="76" t="str">
        <f>VLOOKUP(K814,'Lookup Values'!$F$2:$G$8,2,FALSE)</f>
        <v>Wednesday</v>
      </c>
      <c r="M814" s="3">
        <v>39639</v>
      </c>
      <c r="N814" s="78">
        <f t="shared" si="229"/>
        <v>8</v>
      </c>
      <c r="O814" s="11">
        <v>0.49357613393862143</v>
      </c>
      <c r="P814" s="94">
        <f t="shared" si="237"/>
        <v>11</v>
      </c>
      <c r="Q814" s="94">
        <f t="shared" si="238"/>
        <v>50</v>
      </c>
      <c r="R814" s="94">
        <f t="shared" si="239"/>
        <v>45</v>
      </c>
      <c r="S814" s="94" t="str">
        <f>VLOOKUP(O814,'Lookup Values'!$I$2:$L$8,4,TRUE)</f>
        <v>Late Morning</v>
      </c>
      <c r="T814" t="s">
        <v>100</v>
      </c>
      <c r="U814" t="s">
        <v>101</v>
      </c>
      <c r="V814" t="str">
        <f t="shared" si="240"/>
        <v>Home: Cleaning Supplies</v>
      </c>
      <c r="W814" t="s">
        <v>99</v>
      </c>
      <c r="X814" t="s">
        <v>78</v>
      </c>
      <c r="Y814" s="1">
        <v>7</v>
      </c>
      <c r="Z814" s="1" t="str">
        <f t="shared" si="241"/>
        <v>Home: $7.00</v>
      </c>
      <c r="AA814" s="1">
        <f>IF(Y814="","",ROUND(Y814*'Lookup Values'!$A$2,2))</f>
        <v>0.62</v>
      </c>
      <c r="AB814" s="12" t="str">
        <f t="shared" si="242"/>
        <v>Expense</v>
      </c>
      <c r="AC814" s="2" t="s">
        <v>842</v>
      </c>
      <c r="AD814" s="3">
        <f t="shared" si="243"/>
        <v>39631</v>
      </c>
      <c r="AE814" s="93" t="str">
        <f t="shared" si="244"/>
        <v>NO</v>
      </c>
      <c r="AF814" s="2" t="str">
        <f t="shared" si="245"/>
        <v>NO</v>
      </c>
      <c r="AG814" t="str">
        <f t="shared" si="246"/>
        <v>Late Transaction</v>
      </c>
    </row>
    <row r="815" spans="1:33" x14ac:dyDescent="0.25">
      <c r="A815" s="2">
        <v>814</v>
      </c>
      <c r="B815" s="3" t="str">
        <f t="shared" si="228"/>
        <v>110311-EN-FAN</v>
      </c>
      <c r="C815" s="3">
        <v>40613</v>
      </c>
      <c r="D815" s="3">
        <f t="shared" si="230"/>
        <v>40627</v>
      </c>
      <c r="E815" s="3">
        <f t="shared" si="231"/>
        <v>40674</v>
      </c>
      <c r="F815" s="3">
        <f t="shared" si="232"/>
        <v>40633</v>
      </c>
      <c r="G815" s="76">
        <f t="shared" si="233"/>
        <v>2011</v>
      </c>
      <c r="H815" s="76">
        <f t="shared" si="234"/>
        <v>3</v>
      </c>
      <c r="I815" s="76" t="str">
        <f>VLOOKUP(H815,'Lookup Values'!$C$2:$D$13,2,FALSE)</f>
        <v>MAR</v>
      </c>
      <c r="J815" s="76">
        <f t="shared" si="235"/>
        <v>11</v>
      </c>
      <c r="K815" s="76">
        <f t="shared" si="236"/>
        <v>6</v>
      </c>
      <c r="L815" s="76" t="str">
        <f>VLOOKUP(K815,'Lookup Values'!$F$2:$G$8,2,FALSE)</f>
        <v>Friday</v>
      </c>
      <c r="M815" s="3">
        <v>40615</v>
      </c>
      <c r="N815" s="78">
        <f t="shared" si="229"/>
        <v>2</v>
      </c>
      <c r="O815" s="11">
        <v>4.2864392978264942E-2</v>
      </c>
      <c r="P815" s="94">
        <f t="shared" si="237"/>
        <v>1</v>
      </c>
      <c r="Q815" s="94">
        <f t="shared" si="238"/>
        <v>1</v>
      </c>
      <c r="R815" s="94">
        <f t="shared" si="239"/>
        <v>43</v>
      </c>
      <c r="S815" s="94" t="str">
        <f>VLOOKUP(O815,'Lookup Values'!$I$2:$L$8,4,TRUE)</f>
        <v>Dead of Night</v>
      </c>
      <c r="T815" t="s">
        <v>76</v>
      </c>
      <c r="U815" t="s">
        <v>90</v>
      </c>
      <c r="V815" t="str">
        <f t="shared" si="240"/>
        <v>Entertainment: Movies</v>
      </c>
      <c r="W815" t="s">
        <v>89</v>
      </c>
      <c r="X815" t="s">
        <v>91</v>
      </c>
      <c r="Y815" s="1">
        <v>273</v>
      </c>
      <c r="Z815" s="1" t="str">
        <f t="shared" si="241"/>
        <v>Entertainment: $273.00</v>
      </c>
      <c r="AA815" s="1">
        <f>IF(Y815="","",ROUND(Y815*'Lookup Values'!$A$2,2))</f>
        <v>24.23</v>
      </c>
      <c r="AB815" s="12" t="str">
        <f t="shared" si="242"/>
        <v>Expense</v>
      </c>
      <c r="AC815" s="2" t="s">
        <v>843</v>
      </c>
      <c r="AD815" s="3">
        <f t="shared" si="243"/>
        <v>40613</v>
      </c>
      <c r="AE815" s="93" t="str">
        <f t="shared" si="244"/>
        <v>NO</v>
      </c>
      <c r="AF815" s="2" t="str">
        <f t="shared" si="245"/>
        <v>NO</v>
      </c>
      <c r="AG815" t="str">
        <f t="shared" si="246"/>
        <v>CRAP Transaction</v>
      </c>
    </row>
    <row r="816" spans="1:33" x14ac:dyDescent="0.25">
      <c r="A816" s="2">
        <v>815</v>
      </c>
      <c r="B816" s="3" t="str">
        <f t="shared" si="228"/>
        <v>090807-SH-EXP</v>
      </c>
      <c r="C816" s="3">
        <v>40032</v>
      </c>
      <c r="D816" s="3">
        <f t="shared" si="230"/>
        <v>40046</v>
      </c>
      <c r="E816" s="3">
        <f t="shared" si="231"/>
        <v>40093</v>
      </c>
      <c r="F816" s="3">
        <f t="shared" si="232"/>
        <v>40056</v>
      </c>
      <c r="G816" s="76">
        <f t="shared" si="233"/>
        <v>2009</v>
      </c>
      <c r="H816" s="76">
        <f t="shared" si="234"/>
        <v>8</v>
      </c>
      <c r="I816" s="76" t="str">
        <f>VLOOKUP(H816,'Lookup Values'!$C$2:$D$13,2,FALSE)</f>
        <v>AUG</v>
      </c>
      <c r="J816" s="76">
        <f t="shared" si="235"/>
        <v>7</v>
      </c>
      <c r="K816" s="76">
        <f t="shared" si="236"/>
        <v>6</v>
      </c>
      <c r="L816" s="76" t="str">
        <f>VLOOKUP(K816,'Lookup Values'!$F$2:$G$8,2,FALSE)</f>
        <v>Friday</v>
      </c>
      <c r="M816" s="3">
        <v>40033</v>
      </c>
      <c r="N816" s="78">
        <f t="shared" si="229"/>
        <v>1</v>
      </c>
      <c r="O816" s="11">
        <v>0.60059680137089289</v>
      </c>
      <c r="P816" s="94">
        <f t="shared" si="237"/>
        <v>14</v>
      </c>
      <c r="Q816" s="94">
        <f t="shared" si="238"/>
        <v>24</v>
      </c>
      <c r="R816" s="94">
        <f t="shared" si="239"/>
        <v>52</v>
      </c>
      <c r="S816" s="94" t="str">
        <f>VLOOKUP(O816,'Lookup Values'!$I$2:$L$8,4,TRUE)</f>
        <v>Afternoon</v>
      </c>
      <c r="T816" t="s">
        <v>83</v>
      </c>
      <c r="U816" t="s">
        <v>103</v>
      </c>
      <c r="V816" t="str">
        <f t="shared" si="240"/>
        <v>Shopping: Clothing</v>
      </c>
      <c r="W816" t="s">
        <v>102</v>
      </c>
      <c r="X816" t="s">
        <v>78</v>
      </c>
      <c r="Y816" s="1">
        <v>455</v>
      </c>
      <c r="Z816" s="1" t="str">
        <f t="shared" si="241"/>
        <v>Shopping: $455.00</v>
      </c>
      <c r="AA816" s="1">
        <f>IF(Y816="","",ROUND(Y816*'Lookup Values'!$A$2,2))</f>
        <v>40.380000000000003</v>
      </c>
      <c r="AB816" s="12" t="str">
        <f t="shared" si="242"/>
        <v>Expense</v>
      </c>
      <c r="AC816" s="2" t="s">
        <v>844</v>
      </c>
      <c r="AD816" s="3">
        <f t="shared" si="243"/>
        <v>40032</v>
      </c>
      <c r="AE816" s="93" t="str">
        <f t="shared" si="244"/>
        <v>NO</v>
      </c>
      <c r="AF816" s="2" t="str">
        <f t="shared" si="245"/>
        <v>NO</v>
      </c>
      <c r="AG816" t="str">
        <f t="shared" si="246"/>
        <v>Awesome Transaction</v>
      </c>
    </row>
    <row r="817" spans="1:33" x14ac:dyDescent="0.25">
      <c r="A817" s="2">
        <v>816</v>
      </c>
      <c r="B817" s="3" t="str">
        <f t="shared" si="228"/>
        <v>070220-SH-EXP</v>
      </c>
      <c r="C817" s="3">
        <v>39133</v>
      </c>
      <c r="D817" s="3">
        <f t="shared" si="230"/>
        <v>39147</v>
      </c>
      <c r="E817" s="3">
        <f t="shared" si="231"/>
        <v>39192</v>
      </c>
      <c r="F817" s="3">
        <f t="shared" si="232"/>
        <v>39141</v>
      </c>
      <c r="G817" s="76">
        <f t="shared" si="233"/>
        <v>2007</v>
      </c>
      <c r="H817" s="76">
        <f t="shared" si="234"/>
        <v>2</v>
      </c>
      <c r="I817" s="76" t="str">
        <f>VLOOKUP(H817,'Lookup Values'!$C$2:$D$13,2,FALSE)</f>
        <v>FEB</v>
      </c>
      <c r="J817" s="76">
        <f t="shared" si="235"/>
        <v>20</v>
      </c>
      <c r="K817" s="76">
        <f t="shared" si="236"/>
        <v>3</v>
      </c>
      <c r="L817" s="76" t="str">
        <f>VLOOKUP(K817,'Lookup Values'!$F$2:$G$8,2,FALSE)</f>
        <v>Tuesday</v>
      </c>
      <c r="M817" s="3">
        <v>39135</v>
      </c>
      <c r="N817" s="78">
        <f t="shared" si="229"/>
        <v>2</v>
      </c>
      <c r="O817" s="11">
        <v>0.15126196506241618</v>
      </c>
      <c r="P817" s="94">
        <f t="shared" si="237"/>
        <v>3</v>
      </c>
      <c r="Q817" s="94">
        <f t="shared" si="238"/>
        <v>37</v>
      </c>
      <c r="R817" s="94">
        <f t="shared" si="239"/>
        <v>49</v>
      </c>
      <c r="S817" s="94" t="str">
        <f>VLOOKUP(O817,'Lookup Values'!$I$2:$L$8,4,TRUE)</f>
        <v>Dead of Night</v>
      </c>
      <c r="T817" t="s">
        <v>83</v>
      </c>
      <c r="U817" t="s">
        <v>103</v>
      </c>
      <c r="V817" t="str">
        <f t="shared" si="240"/>
        <v>Shopping: Clothing</v>
      </c>
      <c r="W817" t="s">
        <v>102</v>
      </c>
      <c r="X817" t="s">
        <v>91</v>
      </c>
      <c r="Y817" s="1">
        <v>20</v>
      </c>
      <c r="Z817" s="1" t="str">
        <f t="shared" si="241"/>
        <v>Shopping: $20.00</v>
      </c>
      <c r="AA817" s="1">
        <f>IF(Y817="","",ROUND(Y817*'Lookup Values'!$A$2,2))</f>
        <v>1.78</v>
      </c>
      <c r="AB817" s="12" t="str">
        <f t="shared" si="242"/>
        <v>Expense</v>
      </c>
      <c r="AC817" s="2" t="s">
        <v>845</v>
      </c>
      <c r="AD817" s="3">
        <f t="shared" si="243"/>
        <v>39133</v>
      </c>
      <c r="AE817" s="93" t="str">
        <f t="shared" si="244"/>
        <v>NO</v>
      </c>
      <c r="AF817" s="2" t="str">
        <f t="shared" si="245"/>
        <v>NO</v>
      </c>
      <c r="AG817" t="str">
        <f t="shared" si="246"/>
        <v>Awesome Transaction</v>
      </c>
    </row>
    <row r="818" spans="1:33" x14ac:dyDescent="0.25">
      <c r="A818" s="2">
        <v>817</v>
      </c>
      <c r="B818" s="3" t="str">
        <f t="shared" si="228"/>
        <v>080123-FO-BAN</v>
      </c>
      <c r="C818" s="3">
        <v>39470</v>
      </c>
      <c r="D818" s="3">
        <f t="shared" si="230"/>
        <v>39484</v>
      </c>
      <c r="E818" s="3">
        <f t="shared" si="231"/>
        <v>39530</v>
      </c>
      <c r="F818" s="3">
        <f t="shared" si="232"/>
        <v>39478</v>
      </c>
      <c r="G818" s="76">
        <f t="shared" si="233"/>
        <v>2008</v>
      </c>
      <c r="H818" s="76">
        <f t="shared" si="234"/>
        <v>1</v>
      </c>
      <c r="I818" s="76" t="str">
        <f>VLOOKUP(H818,'Lookup Values'!$C$2:$D$13,2,FALSE)</f>
        <v>JAN</v>
      </c>
      <c r="J818" s="76">
        <f t="shared" si="235"/>
        <v>23</v>
      </c>
      <c r="K818" s="76">
        <f t="shared" si="236"/>
        <v>4</v>
      </c>
      <c r="L818" s="76" t="str">
        <f>VLOOKUP(K818,'Lookup Values'!$F$2:$G$8,2,FALSE)</f>
        <v>Wednesday</v>
      </c>
      <c r="M818" s="3">
        <v>39477</v>
      </c>
      <c r="N818" s="78">
        <f t="shared" si="229"/>
        <v>7</v>
      </c>
      <c r="O818" s="11">
        <v>0.80976096722999946</v>
      </c>
      <c r="P818" s="94">
        <f t="shared" si="237"/>
        <v>19</v>
      </c>
      <c r="Q818" s="94">
        <f t="shared" si="238"/>
        <v>26</v>
      </c>
      <c r="R818" s="94">
        <f t="shared" si="239"/>
        <v>3</v>
      </c>
      <c r="S818" s="94" t="str">
        <f>VLOOKUP(O818,'Lookup Values'!$I$2:$L$8,4,TRUE)</f>
        <v>Evening</v>
      </c>
      <c r="T818" t="s">
        <v>80</v>
      </c>
      <c r="U818" t="s">
        <v>81</v>
      </c>
      <c r="V818" t="str">
        <f t="shared" si="240"/>
        <v>Food: Restaurants</v>
      </c>
      <c r="W818" t="s">
        <v>79</v>
      </c>
      <c r="X818" t="s">
        <v>78</v>
      </c>
      <c r="Y818" s="1">
        <v>73</v>
      </c>
      <c r="Z818" s="1" t="str">
        <f t="shared" si="241"/>
        <v>Food: $73.00</v>
      </c>
      <c r="AA818" s="1">
        <f>IF(Y818="","",ROUND(Y818*'Lookup Values'!$A$2,2))</f>
        <v>6.48</v>
      </c>
      <c r="AB818" s="12" t="str">
        <f t="shared" si="242"/>
        <v>Expense</v>
      </c>
      <c r="AC818" s="2" t="s">
        <v>662</v>
      </c>
      <c r="AD818" s="3">
        <f t="shared" si="243"/>
        <v>39470</v>
      </c>
      <c r="AE818" s="93" t="str">
        <f t="shared" si="244"/>
        <v>NO</v>
      </c>
      <c r="AF818" s="2" t="str">
        <f t="shared" si="245"/>
        <v>NO</v>
      </c>
      <c r="AG818" t="str">
        <f t="shared" si="246"/>
        <v>Awesome Transaction</v>
      </c>
    </row>
    <row r="819" spans="1:33" x14ac:dyDescent="0.25">
      <c r="A819" s="2">
        <v>818</v>
      </c>
      <c r="B819" s="3" t="str">
        <f t="shared" si="228"/>
        <v>070307-ED-SKI</v>
      </c>
      <c r="C819" s="3">
        <v>39148</v>
      </c>
      <c r="D819" s="3">
        <f t="shared" si="230"/>
        <v>39162</v>
      </c>
      <c r="E819" s="3">
        <f t="shared" si="231"/>
        <v>39209</v>
      </c>
      <c r="F819" s="3">
        <f t="shared" si="232"/>
        <v>39172</v>
      </c>
      <c r="G819" s="76">
        <f t="shared" si="233"/>
        <v>2007</v>
      </c>
      <c r="H819" s="76">
        <f t="shared" si="234"/>
        <v>3</v>
      </c>
      <c r="I819" s="76" t="str">
        <f>VLOOKUP(H819,'Lookup Values'!$C$2:$D$13,2,FALSE)</f>
        <v>MAR</v>
      </c>
      <c r="J819" s="76">
        <f t="shared" si="235"/>
        <v>7</v>
      </c>
      <c r="K819" s="76">
        <f t="shared" si="236"/>
        <v>4</v>
      </c>
      <c r="L819" s="76" t="str">
        <f>VLOOKUP(K819,'Lookup Values'!$F$2:$G$8,2,FALSE)</f>
        <v>Wednesday</v>
      </c>
      <c r="M819" s="3">
        <v>39158</v>
      </c>
      <c r="N819" s="78">
        <f t="shared" si="229"/>
        <v>10</v>
      </c>
      <c r="O819" s="11">
        <v>1.9219654330270064E-2</v>
      </c>
      <c r="P819" s="94">
        <f t="shared" si="237"/>
        <v>0</v>
      </c>
      <c r="Q819" s="94">
        <f t="shared" si="238"/>
        <v>27</v>
      </c>
      <c r="R819" s="94">
        <f t="shared" si="239"/>
        <v>41</v>
      </c>
      <c r="S819" s="94" t="str">
        <f>VLOOKUP(O819,'Lookup Values'!$I$2:$L$8,4,TRUE)</f>
        <v>Dead of Night</v>
      </c>
      <c r="T819" t="s">
        <v>86</v>
      </c>
      <c r="U819" t="s">
        <v>98</v>
      </c>
      <c r="V819" t="str">
        <f t="shared" si="240"/>
        <v>Education: Professional Development</v>
      </c>
      <c r="W819" t="s">
        <v>97</v>
      </c>
      <c r="X819" t="s">
        <v>91</v>
      </c>
      <c r="Y819" s="1">
        <v>261</v>
      </c>
      <c r="Z819" s="1" t="str">
        <f t="shared" si="241"/>
        <v>Education: $261.00</v>
      </c>
      <c r="AA819" s="1">
        <f>IF(Y819="","",ROUND(Y819*'Lookup Values'!$A$2,2))</f>
        <v>23.16</v>
      </c>
      <c r="AB819" s="12" t="str">
        <f t="shared" si="242"/>
        <v>Expense</v>
      </c>
      <c r="AC819" s="2" t="s">
        <v>687</v>
      </c>
      <c r="AD819" s="3">
        <f t="shared" si="243"/>
        <v>39148</v>
      </c>
      <c r="AE819" s="93" t="str">
        <f t="shared" si="244"/>
        <v>YES</v>
      </c>
      <c r="AF819" s="2" t="str">
        <f t="shared" si="245"/>
        <v>NO</v>
      </c>
      <c r="AG819" t="str">
        <f t="shared" si="246"/>
        <v>Late Transaction</v>
      </c>
    </row>
    <row r="820" spans="1:33" x14ac:dyDescent="0.25">
      <c r="A820" s="2">
        <v>819</v>
      </c>
      <c r="B820" s="3" t="str">
        <f t="shared" si="228"/>
        <v>110930-IN-LEG</v>
      </c>
      <c r="C820" s="3">
        <v>40816</v>
      </c>
      <c r="D820" s="3">
        <f t="shared" si="230"/>
        <v>40830</v>
      </c>
      <c r="E820" s="3">
        <f t="shared" si="231"/>
        <v>40877</v>
      </c>
      <c r="F820" s="3">
        <f t="shared" si="232"/>
        <v>40816</v>
      </c>
      <c r="G820" s="76">
        <f t="shared" si="233"/>
        <v>2011</v>
      </c>
      <c r="H820" s="76">
        <f t="shared" si="234"/>
        <v>9</v>
      </c>
      <c r="I820" s="76" t="str">
        <f>VLOOKUP(H820,'Lookup Values'!$C$2:$D$13,2,FALSE)</f>
        <v>SEP</v>
      </c>
      <c r="J820" s="76">
        <f t="shared" si="235"/>
        <v>30</v>
      </c>
      <c r="K820" s="76">
        <f t="shared" si="236"/>
        <v>6</v>
      </c>
      <c r="L820" s="76" t="str">
        <f>VLOOKUP(K820,'Lookup Values'!$F$2:$G$8,2,FALSE)</f>
        <v>Friday</v>
      </c>
      <c r="M820" s="3">
        <v>40822</v>
      </c>
      <c r="N820" s="78">
        <f t="shared" si="229"/>
        <v>6</v>
      </c>
      <c r="O820" s="11">
        <v>0.60727728640678258</v>
      </c>
      <c r="P820" s="94">
        <f t="shared" si="237"/>
        <v>14</v>
      </c>
      <c r="Q820" s="94">
        <f t="shared" si="238"/>
        <v>34</v>
      </c>
      <c r="R820" s="94">
        <f t="shared" si="239"/>
        <v>29</v>
      </c>
      <c r="S820" s="94" t="str">
        <f>VLOOKUP(O820,'Lookup Values'!$I$2:$L$8,4,TRUE)</f>
        <v>Afternoon</v>
      </c>
      <c r="T820" t="s">
        <v>158</v>
      </c>
      <c r="U820" t="s">
        <v>160</v>
      </c>
      <c r="V820" t="str">
        <f t="shared" si="240"/>
        <v>Income: Freelance Project</v>
      </c>
      <c r="W820" t="s">
        <v>163</v>
      </c>
      <c r="X820" t="s">
        <v>91</v>
      </c>
      <c r="Y820" s="1">
        <v>89</v>
      </c>
      <c r="Z820" s="1" t="str">
        <f t="shared" si="241"/>
        <v>Income: $89.00</v>
      </c>
      <c r="AA820" s="1">
        <f>IF(Y820="","",ROUND(Y820*'Lookup Values'!$A$2,2))</f>
        <v>7.9</v>
      </c>
      <c r="AB820" s="12" t="str">
        <f t="shared" si="242"/>
        <v>Income</v>
      </c>
      <c r="AC820" s="2" t="s">
        <v>846</v>
      </c>
      <c r="AD820" s="3">
        <f t="shared" si="243"/>
        <v>40816</v>
      </c>
      <c r="AE820" s="93" t="str">
        <f t="shared" si="244"/>
        <v>NO</v>
      </c>
      <c r="AF820" s="2" t="str">
        <f t="shared" si="245"/>
        <v>NO</v>
      </c>
      <c r="AG820" t="str">
        <f t="shared" si="246"/>
        <v>CRAP Transaction</v>
      </c>
    </row>
    <row r="821" spans="1:33" x14ac:dyDescent="0.25">
      <c r="A821" s="2">
        <v>820</v>
      </c>
      <c r="B821" s="3" t="str">
        <f t="shared" si="228"/>
        <v>070709-TR-MTA</v>
      </c>
      <c r="C821" s="3">
        <v>39272</v>
      </c>
      <c r="D821" s="3">
        <f t="shared" si="230"/>
        <v>39286</v>
      </c>
      <c r="E821" s="3">
        <f t="shared" si="231"/>
        <v>39334</v>
      </c>
      <c r="F821" s="3">
        <f t="shared" si="232"/>
        <v>39294</v>
      </c>
      <c r="G821" s="76">
        <f t="shared" si="233"/>
        <v>2007</v>
      </c>
      <c r="H821" s="76">
        <f t="shared" si="234"/>
        <v>7</v>
      </c>
      <c r="I821" s="76" t="str">
        <f>VLOOKUP(H821,'Lookup Values'!$C$2:$D$13,2,FALSE)</f>
        <v>JUL</v>
      </c>
      <c r="J821" s="76">
        <f t="shared" si="235"/>
        <v>9</v>
      </c>
      <c r="K821" s="76">
        <f t="shared" si="236"/>
        <v>2</v>
      </c>
      <c r="L821" s="76" t="str">
        <f>VLOOKUP(K821,'Lookup Values'!$F$2:$G$8,2,FALSE)</f>
        <v>Monday</v>
      </c>
      <c r="M821" s="3">
        <v>39275</v>
      </c>
      <c r="N821" s="78">
        <f t="shared" si="229"/>
        <v>3</v>
      </c>
      <c r="O821" s="11">
        <v>0.49682417047878757</v>
      </c>
      <c r="P821" s="94">
        <f t="shared" si="237"/>
        <v>11</v>
      </c>
      <c r="Q821" s="94">
        <f t="shared" si="238"/>
        <v>55</v>
      </c>
      <c r="R821" s="94">
        <f t="shared" si="239"/>
        <v>26</v>
      </c>
      <c r="S821" s="94" t="str">
        <f>VLOOKUP(O821,'Lookup Values'!$I$2:$L$8,4,TRUE)</f>
        <v>Late Morning</v>
      </c>
      <c r="T821" t="s">
        <v>95</v>
      </c>
      <c r="U821" t="s">
        <v>96</v>
      </c>
      <c r="V821" t="str">
        <f t="shared" si="240"/>
        <v>Transportation: Subway</v>
      </c>
      <c r="W821" t="s">
        <v>94</v>
      </c>
      <c r="X821" t="s">
        <v>91</v>
      </c>
      <c r="Y821" s="1">
        <v>351</v>
      </c>
      <c r="Z821" s="1" t="str">
        <f t="shared" si="241"/>
        <v>Transportation: $351.00</v>
      </c>
      <c r="AA821" s="1">
        <f>IF(Y821="","",ROUND(Y821*'Lookup Values'!$A$2,2))</f>
        <v>31.15</v>
      </c>
      <c r="AB821" s="12" t="str">
        <f t="shared" si="242"/>
        <v>Expense</v>
      </c>
      <c r="AC821" s="2" t="s">
        <v>276</v>
      </c>
      <c r="AD821" s="3">
        <f t="shared" si="243"/>
        <v>39272</v>
      </c>
      <c r="AE821" s="93" t="str">
        <f t="shared" si="244"/>
        <v>YES</v>
      </c>
      <c r="AF821" s="2" t="str">
        <f t="shared" si="245"/>
        <v>NO</v>
      </c>
      <c r="AG821" t="str">
        <f t="shared" si="246"/>
        <v>Late Transaction</v>
      </c>
    </row>
    <row r="822" spans="1:33" x14ac:dyDescent="0.25">
      <c r="A822" s="2">
        <v>821</v>
      </c>
      <c r="B822" s="3" t="str">
        <f t="shared" si="228"/>
        <v>111020-SH-EXP</v>
      </c>
      <c r="C822" s="3">
        <v>40836</v>
      </c>
      <c r="D822" s="3">
        <f t="shared" si="230"/>
        <v>40850</v>
      </c>
      <c r="E822" s="3">
        <f t="shared" si="231"/>
        <v>40897</v>
      </c>
      <c r="F822" s="3">
        <f t="shared" si="232"/>
        <v>40847</v>
      </c>
      <c r="G822" s="76">
        <f t="shared" si="233"/>
        <v>2011</v>
      </c>
      <c r="H822" s="76">
        <f t="shared" si="234"/>
        <v>10</v>
      </c>
      <c r="I822" s="76" t="str">
        <f>VLOOKUP(H822,'Lookup Values'!$C$2:$D$13,2,FALSE)</f>
        <v>OCT</v>
      </c>
      <c r="J822" s="76">
        <f t="shared" si="235"/>
        <v>20</v>
      </c>
      <c r="K822" s="76">
        <f t="shared" si="236"/>
        <v>5</v>
      </c>
      <c r="L822" s="76" t="str">
        <f>VLOOKUP(K822,'Lookup Values'!$F$2:$G$8,2,FALSE)</f>
        <v>Thursday</v>
      </c>
      <c r="M822" s="3">
        <v>40843</v>
      </c>
      <c r="N822" s="78">
        <f t="shared" si="229"/>
        <v>7</v>
      </c>
      <c r="O822" s="11">
        <v>0.71401790706840995</v>
      </c>
      <c r="P822" s="94">
        <f t="shared" si="237"/>
        <v>17</v>
      </c>
      <c r="Q822" s="94">
        <f t="shared" si="238"/>
        <v>8</v>
      </c>
      <c r="R822" s="94">
        <f t="shared" si="239"/>
        <v>11</v>
      </c>
      <c r="S822" s="94" t="str">
        <f>VLOOKUP(O822,'Lookup Values'!$I$2:$L$8,4,TRUE)</f>
        <v>Evening</v>
      </c>
      <c r="T822" t="s">
        <v>83</v>
      </c>
      <c r="U822" t="s">
        <v>103</v>
      </c>
      <c r="V822" t="str">
        <f t="shared" si="240"/>
        <v>Shopping: Clothing</v>
      </c>
      <c r="W822" t="s">
        <v>102</v>
      </c>
      <c r="X822" t="s">
        <v>88</v>
      </c>
      <c r="Y822" s="1">
        <v>92</v>
      </c>
      <c r="Z822" s="1" t="str">
        <f t="shared" si="241"/>
        <v>Shopping: $92.00</v>
      </c>
      <c r="AA822" s="1">
        <f>IF(Y822="","",ROUND(Y822*'Lookup Values'!$A$2,2))</f>
        <v>8.17</v>
      </c>
      <c r="AB822" s="12" t="str">
        <f t="shared" si="242"/>
        <v>Expense</v>
      </c>
      <c r="AC822" s="2" t="s">
        <v>847</v>
      </c>
      <c r="AD822" s="3">
        <f t="shared" si="243"/>
        <v>40836</v>
      </c>
      <c r="AE822" s="93" t="str">
        <f t="shared" si="244"/>
        <v>NO</v>
      </c>
      <c r="AF822" s="2" t="str">
        <f t="shared" si="245"/>
        <v>NO</v>
      </c>
      <c r="AG822" t="str">
        <f t="shared" si="246"/>
        <v>CRAP Transaction</v>
      </c>
    </row>
    <row r="823" spans="1:33" x14ac:dyDescent="0.25">
      <c r="A823" s="2">
        <v>822</v>
      </c>
      <c r="B823" s="3" t="str">
        <f t="shared" si="228"/>
        <v>120821-SH-EXP</v>
      </c>
      <c r="C823" s="3">
        <v>41142</v>
      </c>
      <c r="D823" s="3">
        <f t="shared" si="230"/>
        <v>41156</v>
      </c>
      <c r="E823" s="3">
        <f t="shared" si="231"/>
        <v>41203</v>
      </c>
      <c r="F823" s="3">
        <f t="shared" si="232"/>
        <v>41152</v>
      </c>
      <c r="G823" s="76">
        <f t="shared" si="233"/>
        <v>2012</v>
      </c>
      <c r="H823" s="76">
        <f t="shared" si="234"/>
        <v>8</v>
      </c>
      <c r="I823" s="76" t="str">
        <f>VLOOKUP(H823,'Lookup Values'!$C$2:$D$13,2,FALSE)</f>
        <v>AUG</v>
      </c>
      <c r="J823" s="76">
        <f t="shared" si="235"/>
        <v>21</v>
      </c>
      <c r="K823" s="76">
        <f t="shared" si="236"/>
        <v>3</v>
      </c>
      <c r="L823" s="76" t="str">
        <f>VLOOKUP(K823,'Lookup Values'!$F$2:$G$8,2,FALSE)</f>
        <v>Tuesday</v>
      </c>
      <c r="M823" s="3">
        <v>41150</v>
      </c>
      <c r="N823" s="78">
        <f t="shared" si="229"/>
        <v>8</v>
      </c>
      <c r="O823" s="11">
        <v>0.95816171836910424</v>
      </c>
      <c r="P823" s="94">
        <f t="shared" si="237"/>
        <v>22</v>
      </c>
      <c r="Q823" s="94">
        <f t="shared" si="238"/>
        <v>59</v>
      </c>
      <c r="R823" s="94">
        <f t="shared" si="239"/>
        <v>45</v>
      </c>
      <c r="S823" s="94" t="str">
        <f>VLOOKUP(O823,'Lookup Values'!$I$2:$L$8,4,TRUE)</f>
        <v>Late Evening</v>
      </c>
      <c r="T823" t="s">
        <v>83</v>
      </c>
      <c r="U823" t="s">
        <v>103</v>
      </c>
      <c r="V823" t="str">
        <f t="shared" si="240"/>
        <v>Shopping: Clothing</v>
      </c>
      <c r="W823" t="s">
        <v>102</v>
      </c>
      <c r="X823" t="s">
        <v>91</v>
      </c>
      <c r="Y823" s="1">
        <v>20</v>
      </c>
      <c r="Z823" s="1" t="str">
        <f t="shared" si="241"/>
        <v>Shopping: $20.00</v>
      </c>
      <c r="AA823" s="1">
        <f>IF(Y823="","",ROUND(Y823*'Lookup Values'!$A$2,2))</f>
        <v>1.78</v>
      </c>
      <c r="AB823" s="12" t="str">
        <f t="shared" si="242"/>
        <v>Expense</v>
      </c>
      <c r="AC823" s="2" t="s">
        <v>715</v>
      </c>
      <c r="AD823" s="3">
        <f t="shared" si="243"/>
        <v>41142</v>
      </c>
      <c r="AE823" s="93" t="str">
        <f t="shared" si="244"/>
        <v>NO</v>
      </c>
      <c r="AF823" s="2" t="str">
        <f t="shared" si="245"/>
        <v>NO</v>
      </c>
      <c r="AG823" t="str">
        <f t="shared" si="246"/>
        <v>CRAP Transaction</v>
      </c>
    </row>
    <row r="824" spans="1:33" x14ac:dyDescent="0.25">
      <c r="A824" s="2">
        <v>823</v>
      </c>
      <c r="B824" s="3" t="str">
        <f t="shared" si="228"/>
        <v>081028-HO-BED</v>
      </c>
      <c r="C824" s="3">
        <v>39749</v>
      </c>
      <c r="D824" s="3">
        <f t="shared" si="230"/>
        <v>39763</v>
      </c>
      <c r="E824" s="3">
        <f t="shared" si="231"/>
        <v>39810</v>
      </c>
      <c r="F824" s="3">
        <f t="shared" si="232"/>
        <v>39752</v>
      </c>
      <c r="G824" s="76">
        <f t="shared" si="233"/>
        <v>2008</v>
      </c>
      <c r="H824" s="76">
        <f t="shared" si="234"/>
        <v>10</v>
      </c>
      <c r="I824" s="76" t="str">
        <f>VLOOKUP(H824,'Lookup Values'!$C$2:$D$13,2,FALSE)</f>
        <v>OCT</v>
      </c>
      <c r="J824" s="76">
        <f t="shared" si="235"/>
        <v>28</v>
      </c>
      <c r="K824" s="76">
        <f t="shared" si="236"/>
        <v>3</v>
      </c>
      <c r="L824" s="76" t="str">
        <f>VLOOKUP(K824,'Lookup Values'!$F$2:$G$8,2,FALSE)</f>
        <v>Tuesday</v>
      </c>
      <c r="M824" s="3">
        <v>39751</v>
      </c>
      <c r="N824" s="78">
        <f t="shared" si="229"/>
        <v>2</v>
      </c>
      <c r="O824" s="11">
        <v>0.88087424142781945</v>
      </c>
      <c r="P824" s="94">
        <f t="shared" si="237"/>
        <v>21</v>
      </c>
      <c r="Q824" s="94">
        <f t="shared" si="238"/>
        <v>8</v>
      </c>
      <c r="R824" s="94">
        <f t="shared" si="239"/>
        <v>28</v>
      </c>
      <c r="S824" s="94" t="str">
        <f>VLOOKUP(O824,'Lookup Values'!$I$2:$L$8,4,TRUE)</f>
        <v>Late Evening</v>
      </c>
      <c r="T824" t="s">
        <v>100</v>
      </c>
      <c r="U824" t="s">
        <v>101</v>
      </c>
      <c r="V824" t="str">
        <f t="shared" si="240"/>
        <v>Home: Cleaning Supplies</v>
      </c>
      <c r="W824" t="s">
        <v>99</v>
      </c>
      <c r="X824" t="s">
        <v>78</v>
      </c>
      <c r="Y824" s="1">
        <v>254</v>
      </c>
      <c r="Z824" s="1" t="str">
        <f t="shared" si="241"/>
        <v>Home: $254.00</v>
      </c>
      <c r="AA824" s="1">
        <f>IF(Y824="","",ROUND(Y824*'Lookup Values'!$A$2,2))</f>
        <v>22.54</v>
      </c>
      <c r="AB824" s="12" t="str">
        <f t="shared" si="242"/>
        <v>Expense</v>
      </c>
      <c r="AC824" s="2" t="s">
        <v>848</v>
      </c>
      <c r="AD824" s="3">
        <f t="shared" si="243"/>
        <v>39749</v>
      </c>
      <c r="AE824" s="93" t="str">
        <f t="shared" si="244"/>
        <v>NO</v>
      </c>
      <c r="AF824" s="2" t="str">
        <f t="shared" si="245"/>
        <v>NO</v>
      </c>
      <c r="AG824" t="str">
        <f t="shared" si="246"/>
        <v>Late Transaction</v>
      </c>
    </row>
    <row r="825" spans="1:33" x14ac:dyDescent="0.25">
      <c r="A825" s="2">
        <v>824</v>
      </c>
      <c r="B825" s="3" t="str">
        <f t="shared" si="228"/>
        <v>120708-TR-MTA</v>
      </c>
      <c r="C825" s="3">
        <v>41098</v>
      </c>
      <c r="D825" s="3">
        <f t="shared" si="230"/>
        <v>41110</v>
      </c>
      <c r="E825" s="3">
        <f t="shared" si="231"/>
        <v>41160</v>
      </c>
      <c r="F825" s="3">
        <f t="shared" si="232"/>
        <v>41121</v>
      </c>
      <c r="G825" s="76">
        <f t="shared" si="233"/>
        <v>2012</v>
      </c>
      <c r="H825" s="76">
        <f t="shared" si="234"/>
        <v>7</v>
      </c>
      <c r="I825" s="76" t="str">
        <f>VLOOKUP(H825,'Lookup Values'!$C$2:$D$13,2,FALSE)</f>
        <v>JUL</v>
      </c>
      <c r="J825" s="76">
        <f t="shared" si="235"/>
        <v>8</v>
      </c>
      <c r="K825" s="76">
        <f t="shared" si="236"/>
        <v>1</v>
      </c>
      <c r="L825" s="76" t="str">
        <f>VLOOKUP(K825,'Lookup Values'!$F$2:$G$8,2,FALSE)</f>
        <v>Sunday</v>
      </c>
      <c r="M825" s="3">
        <v>41100</v>
      </c>
      <c r="N825" s="78">
        <f t="shared" si="229"/>
        <v>2</v>
      </c>
      <c r="O825" s="11">
        <v>4.1492347458181644E-2</v>
      </c>
      <c r="P825" s="94">
        <f t="shared" si="237"/>
        <v>0</v>
      </c>
      <c r="Q825" s="94">
        <f t="shared" si="238"/>
        <v>59</v>
      </c>
      <c r="R825" s="94">
        <f t="shared" si="239"/>
        <v>45</v>
      </c>
      <c r="S825" s="94" t="str">
        <f>VLOOKUP(O825,'Lookup Values'!$I$2:$L$8,4,TRUE)</f>
        <v>Dead of Night</v>
      </c>
      <c r="T825" t="s">
        <v>95</v>
      </c>
      <c r="U825" t="s">
        <v>96</v>
      </c>
      <c r="V825" t="str">
        <f t="shared" si="240"/>
        <v>Transportation: Subway</v>
      </c>
      <c r="W825" t="s">
        <v>94</v>
      </c>
      <c r="X825" t="s">
        <v>78</v>
      </c>
      <c r="Y825" s="1">
        <v>184</v>
      </c>
      <c r="Z825" s="1" t="str">
        <f t="shared" si="241"/>
        <v>Transportation: $184.00</v>
      </c>
      <c r="AA825" s="1">
        <f>IF(Y825="","",ROUND(Y825*'Lookup Values'!$A$2,2))</f>
        <v>16.329999999999998</v>
      </c>
      <c r="AB825" s="12" t="str">
        <f t="shared" si="242"/>
        <v>Expense</v>
      </c>
      <c r="AC825" s="2" t="s">
        <v>849</v>
      </c>
      <c r="AD825" s="3">
        <f t="shared" si="243"/>
        <v>41098</v>
      </c>
      <c r="AE825" s="93" t="str">
        <f t="shared" si="244"/>
        <v>YES</v>
      </c>
      <c r="AF825" s="2" t="str">
        <f t="shared" si="245"/>
        <v>NO</v>
      </c>
      <c r="AG825" t="str">
        <f t="shared" si="246"/>
        <v>CRAP Transaction</v>
      </c>
    </row>
    <row r="826" spans="1:33" x14ac:dyDescent="0.25">
      <c r="A826" s="2">
        <v>825</v>
      </c>
      <c r="B826" s="3" t="str">
        <f t="shared" si="228"/>
        <v>080204-ED-SKI</v>
      </c>
      <c r="C826" s="3">
        <v>39482</v>
      </c>
      <c r="D826" s="3">
        <f t="shared" si="230"/>
        <v>39496</v>
      </c>
      <c r="E826" s="3">
        <f t="shared" si="231"/>
        <v>39542</v>
      </c>
      <c r="F826" s="3">
        <f t="shared" si="232"/>
        <v>39507</v>
      </c>
      <c r="G826" s="76">
        <f t="shared" si="233"/>
        <v>2008</v>
      </c>
      <c r="H826" s="76">
        <f t="shared" si="234"/>
        <v>2</v>
      </c>
      <c r="I826" s="76" t="str">
        <f>VLOOKUP(H826,'Lookup Values'!$C$2:$D$13,2,FALSE)</f>
        <v>FEB</v>
      </c>
      <c r="J826" s="76">
        <f t="shared" si="235"/>
        <v>4</v>
      </c>
      <c r="K826" s="76">
        <f t="shared" si="236"/>
        <v>2</v>
      </c>
      <c r="L826" s="76" t="str">
        <f>VLOOKUP(K826,'Lookup Values'!$F$2:$G$8,2,FALSE)</f>
        <v>Monday</v>
      </c>
      <c r="M826" s="3">
        <v>39487</v>
      </c>
      <c r="N826" s="78">
        <f t="shared" si="229"/>
        <v>5</v>
      </c>
      <c r="O826" s="11">
        <v>0.41675179601317935</v>
      </c>
      <c r="P826" s="94">
        <f t="shared" si="237"/>
        <v>10</v>
      </c>
      <c r="Q826" s="94">
        <f t="shared" si="238"/>
        <v>0</v>
      </c>
      <c r="R826" s="94">
        <f t="shared" si="239"/>
        <v>7</v>
      </c>
      <c r="S826" s="94" t="str">
        <f>VLOOKUP(O826,'Lookup Values'!$I$2:$L$8,4,TRUE)</f>
        <v>Late Morning</v>
      </c>
      <c r="T826" t="s">
        <v>86</v>
      </c>
      <c r="U826" t="s">
        <v>98</v>
      </c>
      <c r="V826" t="str">
        <f t="shared" si="240"/>
        <v>Education: Professional Development</v>
      </c>
      <c r="W826" t="s">
        <v>97</v>
      </c>
      <c r="X826" t="s">
        <v>91</v>
      </c>
      <c r="Y826" s="1">
        <v>148</v>
      </c>
      <c r="Z826" s="1" t="str">
        <f t="shared" si="241"/>
        <v>Education: $148.00</v>
      </c>
      <c r="AA826" s="1">
        <f>IF(Y826="","",ROUND(Y826*'Lookup Values'!$A$2,2))</f>
        <v>13.14</v>
      </c>
      <c r="AB826" s="12" t="str">
        <f t="shared" si="242"/>
        <v>Expense</v>
      </c>
      <c r="AC826" s="2" t="s">
        <v>850</v>
      </c>
      <c r="AD826" s="3">
        <f t="shared" si="243"/>
        <v>39482</v>
      </c>
      <c r="AE826" s="93" t="str">
        <f t="shared" si="244"/>
        <v>YES</v>
      </c>
      <c r="AF826" s="2" t="str">
        <f t="shared" si="245"/>
        <v>NO</v>
      </c>
      <c r="AG826" t="str">
        <f t="shared" si="246"/>
        <v>Late Transaction</v>
      </c>
    </row>
    <row r="827" spans="1:33" x14ac:dyDescent="0.25">
      <c r="A827" s="2">
        <v>826</v>
      </c>
      <c r="B827" s="3" t="str">
        <f t="shared" si="228"/>
        <v>081218-BI-CON</v>
      </c>
      <c r="C827" s="3">
        <v>39800</v>
      </c>
      <c r="D827" s="3">
        <f t="shared" si="230"/>
        <v>39814</v>
      </c>
      <c r="E827" s="3">
        <f t="shared" si="231"/>
        <v>39862</v>
      </c>
      <c r="F827" s="3">
        <f t="shared" si="232"/>
        <v>39813</v>
      </c>
      <c r="G827" s="76">
        <f t="shared" si="233"/>
        <v>2008</v>
      </c>
      <c r="H827" s="76">
        <f t="shared" si="234"/>
        <v>12</v>
      </c>
      <c r="I827" s="76" t="str">
        <f>VLOOKUP(H827,'Lookup Values'!$C$2:$D$13,2,FALSE)</f>
        <v>DEC</v>
      </c>
      <c r="J827" s="76">
        <f t="shared" si="235"/>
        <v>18</v>
      </c>
      <c r="K827" s="76">
        <f t="shared" si="236"/>
        <v>5</v>
      </c>
      <c r="L827" s="76" t="str">
        <f>VLOOKUP(K827,'Lookup Values'!$F$2:$G$8,2,FALSE)</f>
        <v>Thursday</v>
      </c>
      <c r="M827" s="3">
        <v>39809</v>
      </c>
      <c r="N827" s="78">
        <f t="shared" si="229"/>
        <v>9</v>
      </c>
      <c r="O827" s="11">
        <v>0.39318126921539975</v>
      </c>
      <c r="P827" s="94">
        <f t="shared" si="237"/>
        <v>9</v>
      </c>
      <c r="Q827" s="94">
        <f t="shared" si="238"/>
        <v>26</v>
      </c>
      <c r="R827" s="94">
        <f t="shared" si="239"/>
        <v>11</v>
      </c>
      <c r="S827" s="94" t="str">
        <f>VLOOKUP(O827,'Lookup Values'!$I$2:$L$8,4,TRUE)</f>
        <v>Morning</v>
      </c>
      <c r="T827" t="s">
        <v>110</v>
      </c>
      <c r="U827" t="s">
        <v>111</v>
      </c>
      <c r="V827" t="str">
        <f t="shared" si="240"/>
        <v>Bills: Utilities</v>
      </c>
      <c r="W827" t="s">
        <v>109</v>
      </c>
      <c r="X827" t="s">
        <v>88</v>
      </c>
      <c r="Y827" s="1">
        <v>72</v>
      </c>
      <c r="Z827" s="1" t="str">
        <f t="shared" si="241"/>
        <v>Bills: $72.00</v>
      </c>
      <c r="AA827" s="1">
        <f>IF(Y827="","",ROUND(Y827*'Lookup Values'!$A$2,2))</f>
        <v>6.39</v>
      </c>
      <c r="AB827" s="12" t="str">
        <f t="shared" si="242"/>
        <v>Expense</v>
      </c>
      <c r="AC827" s="2" t="s">
        <v>851</v>
      </c>
      <c r="AD827" s="3">
        <f t="shared" si="243"/>
        <v>39800</v>
      </c>
      <c r="AE827" s="93" t="str">
        <f t="shared" si="244"/>
        <v>NO</v>
      </c>
      <c r="AF827" s="2" t="str">
        <f t="shared" si="245"/>
        <v>NO</v>
      </c>
      <c r="AG827" t="str">
        <f t="shared" si="246"/>
        <v>Late Transaction</v>
      </c>
    </row>
    <row r="828" spans="1:33" x14ac:dyDescent="0.25">
      <c r="A828" s="2">
        <v>827</v>
      </c>
      <c r="B828" s="3" t="str">
        <f t="shared" si="228"/>
        <v>111123-SH-EXP</v>
      </c>
      <c r="C828" s="3">
        <v>40870</v>
      </c>
      <c r="D828" s="3">
        <f t="shared" si="230"/>
        <v>40884</v>
      </c>
      <c r="E828" s="3">
        <f t="shared" si="231"/>
        <v>40931</v>
      </c>
      <c r="F828" s="3">
        <f t="shared" si="232"/>
        <v>40877</v>
      </c>
      <c r="G828" s="76">
        <f t="shared" si="233"/>
        <v>2011</v>
      </c>
      <c r="H828" s="76">
        <f t="shared" si="234"/>
        <v>11</v>
      </c>
      <c r="I828" s="76" t="str">
        <f>VLOOKUP(H828,'Lookup Values'!$C$2:$D$13,2,FALSE)</f>
        <v>NOV</v>
      </c>
      <c r="J828" s="76">
        <f t="shared" si="235"/>
        <v>23</v>
      </c>
      <c r="K828" s="76">
        <f t="shared" si="236"/>
        <v>4</v>
      </c>
      <c r="L828" s="76" t="str">
        <f>VLOOKUP(K828,'Lookup Values'!$F$2:$G$8,2,FALSE)</f>
        <v>Wednesday</v>
      </c>
      <c r="M828" s="3">
        <v>40879</v>
      </c>
      <c r="N828" s="78">
        <f t="shared" si="229"/>
        <v>9</v>
      </c>
      <c r="O828" s="11">
        <v>0.6032530044106581</v>
      </c>
      <c r="P828" s="94">
        <f t="shared" si="237"/>
        <v>14</v>
      </c>
      <c r="Q828" s="94">
        <f t="shared" si="238"/>
        <v>28</v>
      </c>
      <c r="R828" s="94">
        <f t="shared" si="239"/>
        <v>41</v>
      </c>
      <c r="S828" s="94" t="str">
        <f>VLOOKUP(O828,'Lookup Values'!$I$2:$L$8,4,TRUE)</f>
        <v>Afternoon</v>
      </c>
      <c r="T828" t="s">
        <v>83</v>
      </c>
      <c r="U828" t="s">
        <v>103</v>
      </c>
      <c r="V828" t="str">
        <f t="shared" si="240"/>
        <v>Shopping: Clothing</v>
      </c>
      <c r="W828" t="s">
        <v>102</v>
      </c>
      <c r="X828" t="s">
        <v>88</v>
      </c>
      <c r="Y828" s="1">
        <v>447</v>
      </c>
      <c r="Z828" s="1" t="str">
        <f t="shared" si="241"/>
        <v>Shopping: $447.00</v>
      </c>
      <c r="AA828" s="1">
        <f>IF(Y828="","",ROUND(Y828*'Lookup Values'!$A$2,2))</f>
        <v>39.67</v>
      </c>
      <c r="AB828" s="12" t="str">
        <f t="shared" si="242"/>
        <v>Expense</v>
      </c>
      <c r="AC828" s="2" t="s">
        <v>852</v>
      </c>
      <c r="AD828" s="3">
        <f t="shared" si="243"/>
        <v>40870</v>
      </c>
      <c r="AE828" s="93" t="str">
        <f t="shared" si="244"/>
        <v>NO</v>
      </c>
      <c r="AF828" s="2" t="str">
        <f t="shared" si="245"/>
        <v>NO</v>
      </c>
      <c r="AG828" t="str">
        <f t="shared" si="246"/>
        <v>CRAP Transaction</v>
      </c>
    </row>
    <row r="829" spans="1:33" x14ac:dyDescent="0.25">
      <c r="A829" s="2">
        <v>828</v>
      </c>
      <c r="B829" s="3" t="str">
        <f t="shared" si="228"/>
        <v>080914-HE-FRE</v>
      </c>
      <c r="C829" s="3">
        <v>39705</v>
      </c>
      <c r="D829" s="3">
        <f t="shared" si="230"/>
        <v>39717</v>
      </c>
      <c r="E829" s="3">
        <f t="shared" si="231"/>
        <v>39766</v>
      </c>
      <c r="F829" s="3">
        <f t="shared" si="232"/>
        <v>39721</v>
      </c>
      <c r="G829" s="76">
        <f t="shared" si="233"/>
        <v>2008</v>
      </c>
      <c r="H829" s="76">
        <f t="shared" si="234"/>
        <v>9</v>
      </c>
      <c r="I829" s="76" t="str">
        <f>VLOOKUP(H829,'Lookup Values'!$C$2:$D$13,2,FALSE)</f>
        <v>SEP</v>
      </c>
      <c r="J829" s="76">
        <f t="shared" si="235"/>
        <v>14</v>
      </c>
      <c r="K829" s="76">
        <f t="shared" si="236"/>
        <v>1</v>
      </c>
      <c r="L829" s="76" t="str">
        <f>VLOOKUP(K829,'Lookup Values'!$F$2:$G$8,2,FALSE)</f>
        <v>Sunday</v>
      </c>
      <c r="M829" s="3">
        <v>39709</v>
      </c>
      <c r="N829" s="78">
        <f t="shared" si="229"/>
        <v>4</v>
      </c>
      <c r="O829" s="11">
        <v>0.2570008156548762</v>
      </c>
      <c r="P829" s="94">
        <f t="shared" si="237"/>
        <v>6</v>
      </c>
      <c r="Q829" s="94">
        <f t="shared" si="238"/>
        <v>10</v>
      </c>
      <c r="R829" s="94">
        <f t="shared" si="239"/>
        <v>5</v>
      </c>
      <c r="S829" s="94" t="str">
        <f>VLOOKUP(O829,'Lookup Values'!$I$2:$L$8,4,TRUE)</f>
        <v>Early Morning</v>
      </c>
      <c r="T829" t="s">
        <v>107</v>
      </c>
      <c r="U829" t="s">
        <v>108</v>
      </c>
      <c r="V829" t="str">
        <f t="shared" si="240"/>
        <v>Health: Insurance Premium</v>
      </c>
      <c r="W829" t="s">
        <v>106</v>
      </c>
      <c r="X829" t="s">
        <v>88</v>
      </c>
      <c r="Y829" s="1">
        <v>84</v>
      </c>
      <c r="Z829" s="1" t="str">
        <f t="shared" si="241"/>
        <v>Health: $84.00</v>
      </c>
      <c r="AA829" s="1">
        <f>IF(Y829="","",ROUND(Y829*'Lookup Values'!$A$2,2))</f>
        <v>7.46</v>
      </c>
      <c r="AB829" s="12" t="str">
        <f t="shared" si="242"/>
        <v>Expense</v>
      </c>
      <c r="AC829" s="2" t="s">
        <v>328</v>
      </c>
      <c r="AD829" s="3">
        <f t="shared" si="243"/>
        <v>39705</v>
      </c>
      <c r="AE829" s="93" t="str">
        <f t="shared" si="244"/>
        <v>NO</v>
      </c>
      <c r="AF829" s="2" t="str">
        <f t="shared" si="245"/>
        <v>NO</v>
      </c>
      <c r="AG829" t="str">
        <f t="shared" si="246"/>
        <v>Late Transaction</v>
      </c>
    </row>
    <row r="830" spans="1:33" x14ac:dyDescent="0.25">
      <c r="A830" s="2">
        <v>829</v>
      </c>
      <c r="B830" s="3" t="str">
        <f t="shared" si="228"/>
        <v>120422-EN-MOE</v>
      </c>
      <c r="C830" s="3">
        <v>41021</v>
      </c>
      <c r="D830" s="3">
        <f t="shared" si="230"/>
        <v>41033</v>
      </c>
      <c r="E830" s="3">
        <f t="shared" si="231"/>
        <v>41082</v>
      </c>
      <c r="F830" s="3">
        <f t="shared" si="232"/>
        <v>41029</v>
      </c>
      <c r="G830" s="76">
        <f t="shared" si="233"/>
        <v>2012</v>
      </c>
      <c r="H830" s="76">
        <f t="shared" si="234"/>
        <v>4</v>
      </c>
      <c r="I830" s="76" t="str">
        <f>VLOOKUP(H830,'Lookup Values'!$C$2:$D$13,2,FALSE)</f>
        <v>APR</v>
      </c>
      <c r="J830" s="76">
        <f t="shared" si="235"/>
        <v>22</v>
      </c>
      <c r="K830" s="76">
        <f t="shared" si="236"/>
        <v>1</v>
      </c>
      <c r="L830" s="76" t="str">
        <f>VLOOKUP(K830,'Lookup Values'!$F$2:$G$8,2,FALSE)</f>
        <v>Sunday</v>
      </c>
      <c r="M830" s="3">
        <v>41024</v>
      </c>
      <c r="N830" s="78">
        <f t="shared" si="229"/>
        <v>3</v>
      </c>
      <c r="O830" s="11">
        <v>0.48057300887609533</v>
      </c>
      <c r="P830" s="94">
        <f t="shared" si="237"/>
        <v>11</v>
      </c>
      <c r="Q830" s="94">
        <f t="shared" si="238"/>
        <v>32</v>
      </c>
      <c r="R830" s="94">
        <f t="shared" si="239"/>
        <v>2</v>
      </c>
      <c r="S830" s="94" t="str">
        <f>VLOOKUP(O830,'Lookup Values'!$I$2:$L$8,4,TRUE)</f>
        <v>Late Morning</v>
      </c>
      <c r="T830" t="s">
        <v>76</v>
      </c>
      <c r="U830" t="s">
        <v>77</v>
      </c>
      <c r="V830" t="str">
        <f t="shared" si="240"/>
        <v>Entertainment: Alcohol</v>
      </c>
      <c r="W830" t="s">
        <v>75</v>
      </c>
      <c r="X830" t="s">
        <v>88</v>
      </c>
      <c r="Y830" s="1">
        <v>70</v>
      </c>
      <c r="Z830" s="1" t="str">
        <f t="shared" si="241"/>
        <v>Entertainment: $70.00</v>
      </c>
      <c r="AA830" s="1">
        <f>IF(Y830="","",ROUND(Y830*'Lookup Values'!$A$2,2))</f>
        <v>6.21</v>
      </c>
      <c r="AB830" s="12" t="str">
        <f t="shared" si="242"/>
        <v>Expense</v>
      </c>
      <c r="AC830" s="2" t="s">
        <v>853</v>
      </c>
      <c r="AD830" s="3">
        <f t="shared" si="243"/>
        <v>41021</v>
      </c>
      <c r="AE830" s="93" t="str">
        <f t="shared" si="244"/>
        <v>NO</v>
      </c>
      <c r="AF830" s="2" t="str">
        <f t="shared" si="245"/>
        <v>NO</v>
      </c>
      <c r="AG830" t="str">
        <f t="shared" si="246"/>
        <v>CRAP Transaction</v>
      </c>
    </row>
    <row r="831" spans="1:33" x14ac:dyDescent="0.25">
      <c r="A831" s="2">
        <v>830</v>
      </c>
      <c r="B831" s="3" t="str">
        <f t="shared" si="228"/>
        <v>080908-TR-MTA</v>
      </c>
      <c r="C831" s="3">
        <v>39699</v>
      </c>
      <c r="D831" s="3">
        <f t="shared" si="230"/>
        <v>39713</v>
      </c>
      <c r="E831" s="3">
        <f t="shared" si="231"/>
        <v>39760</v>
      </c>
      <c r="F831" s="3">
        <f t="shared" si="232"/>
        <v>39721</v>
      </c>
      <c r="G831" s="76">
        <f t="shared" si="233"/>
        <v>2008</v>
      </c>
      <c r="H831" s="76">
        <f t="shared" si="234"/>
        <v>9</v>
      </c>
      <c r="I831" s="76" t="str">
        <f>VLOOKUP(H831,'Lookup Values'!$C$2:$D$13,2,FALSE)</f>
        <v>SEP</v>
      </c>
      <c r="J831" s="76">
        <f t="shared" si="235"/>
        <v>8</v>
      </c>
      <c r="K831" s="76">
        <f t="shared" si="236"/>
        <v>2</v>
      </c>
      <c r="L831" s="76" t="str">
        <f>VLOOKUP(K831,'Lookup Values'!$F$2:$G$8,2,FALSE)</f>
        <v>Monday</v>
      </c>
      <c r="M831" s="3">
        <v>39703</v>
      </c>
      <c r="N831" s="78">
        <f t="shared" si="229"/>
        <v>4</v>
      </c>
      <c r="O831" s="11">
        <v>0.91407044717951924</v>
      </c>
      <c r="P831" s="94">
        <f t="shared" si="237"/>
        <v>21</v>
      </c>
      <c r="Q831" s="94">
        <f t="shared" si="238"/>
        <v>56</v>
      </c>
      <c r="R831" s="94">
        <f t="shared" si="239"/>
        <v>16</v>
      </c>
      <c r="S831" s="94" t="str">
        <f>VLOOKUP(O831,'Lookup Values'!$I$2:$L$8,4,TRUE)</f>
        <v>Late Evening</v>
      </c>
      <c r="T831" t="s">
        <v>95</v>
      </c>
      <c r="U831" t="s">
        <v>96</v>
      </c>
      <c r="V831" t="str">
        <f t="shared" si="240"/>
        <v>Transportation: Subway</v>
      </c>
      <c r="W831" t="s">
        <v>94</v>
      </c>
      <c r="X831" t="s">
        <v>88</v>
      </c>
      <c r="Y831" s="1">
        <v>16</v>
      </c>
      <c r="Z831" s="1" t="str">
        <f t="shared" si="241"/>
        <v>Transportation: $16.00</v>
      </c>
      <c r="AA831" s="1">
        <f>IF(Y831="","",ROUND(Y831*'Lookup Values'!$A$2,2))</f>
        <v>1.42</v>
      </c>
      <c r="AB831" s="12" t="str">
        <f t="shared" si="242"/>
        <v>Expense</v>
      </c>
      <c r="AC831" s="2" t="s">
        <v>854</v>
      </c>
      <c r="AD831" s="3">
        <f t="shared" si="243"/>
        <v>39699</v>
      </c>
      <c r="AE831" s="93" t="str">
        <f t="shared" si="244"/>
        <v>YES</v>
      </c>
      <c r="AF831" s="2" t="str">
        <f t="shared" si="245"/>
        <v>NO</v>
      </c>
      <c r="AG831" t="str">
        <f t="shared" si="246"/>
        <v>Late Transaction</v>
      </c>
    </row>
    <row r="832" spans="1:33" x14ac:dyDescent="0.25">
      <c r="A832" s="2">
        <v>831</v>
      </c>
      <c r="B832" s="3" t="str">
        <f t="shared" si="228"/>
        <v>120303-EN-MOE</v>
      </c>
      <c r="C832" s="3">
        <v>40971</v>
      </c>
      <c r="D832" s="3">
        <f t="shared" si="230"/>
        <v>40984</v>
      </c>
      <c r="E832" s="3">
        <f t="shared" si="231"/>
        <v>41032</v>
      </c>
      <c r="F832" s="3">
        <f t="shared" si="232"/>
        <v>40999</v>
      </c>
      <c r="G832" s="76">
        <f t="shared" si="233"/>
        <v>2012</v>
      </c>
      <c r="H832" s="76">
        <f t="shared" si="234"/>
        <v>3</v>
      </c>
      <c r="I832" s="76" t="str">
        <f>VLOOKUP(H832,'Lookup Values'!$C$2:$D$13,2,FALSE)</f>
        <v>MAR</v>
      </c>
      <c r="J832" s="76">
        <f t="shared" si="235"/>
        <v>3</v>
      </c>
      <c r="K832" s="76">
        <f t="shared" si="236"/>
        <v>7</v>
      </c>
      <c r="L832" s="76" t="str">
        <f>VLOOKUP(K832,'Lookup Values'!$F$2:$G$8,2,FALSE)</f>
        <v>Saturday</v>
      </c>
      <c r="M832" s="3">
        <v>40980</v>
      </c>
      <c r="N832" s="78">
        <f t="shared" si="229"/>
        <v>9</v>
      </c>
      <c r="O832" s="11">
        <v>0.84106301343566225</v>
      </c>
      <c r="P832" s="94">
        <f t="shared" si="237"/>
        <v>20</v>
      </c>
      <c r="Q832" s="94">
        <f t="shared" si="238"/>
        <v>11</v>
      </c>
      <c r="R832" s="94">
        <f t="shared" si="239"/>
        <v>8</v>
      </c>
      <c r="S832" s="94" t="str">
        <f>VLOOKUP(O832,'Lookup Values'!$I$2:$L$8,4,TRUE)</f>
        <v>Evening</v>
      </c>
      <c r="T832" t="s">
        <v>76</v>
      </c>
      <c r="U832" t="s">
        <v>77</v>
      </c>
      <c r="V832" t="str">
        <f t="shared" si="240"/>
        <v>Entertainment: Alcohol</v>
      </c>
      <c r="W832" t="s">
        <v>75</v>
      </c>
      <c r="X832" t="s">
        <v>78</v>
      </c>
      <c r="Y832" s="1">
        <v>393</v>
      </c>
      <c r="Z832" s="1" t="str">
        <f t="shared" si="241"/>
        <v>Entertainment: $393.00</v>
      </c>
      <c r="AA832" s="1">
        <f>IF(Y832="","",ROUND(Y832*'Lookup Values'!$A$2,2))</f>
        <v>34.880000000000003</v>
      </c>
      <c r="AB832" s="12" t="str">
        <f t="shared" si="242"/>
        <v>Expense</v>
      </c>
      <c r="AC832" s="2" t="s">
        <v>855</v>
      </c>
      <c r="AD832" s="3">
        <f t="shared" si="243"/>
        <v>40971</v>
      </c>
      <c r="AE832" s="93" t="str">
        <f t="shared" si="244"/>
        <v>NO</v>
      </c>
      <c r="AF832" s="2" t="str">
        <f t="shared" si="245"/>
        <v>NO</v>
      </c>
      <c r="AG832" t="str">
        <f t="shared" si="246"/>
        <v>CRAP Transaction</v>
      </c>
    </row>
    <row r="833" spans="1:33" x14ac:dyDescent="0.25">
      <c r="A833" s="2">
        <v>832</v>
      </c>
      <c r="B833" s="3" t="str">
        <f t="shared" si="228"/>
        <v>110527-BI-CON</v>
      </c>
      <c r="C833" s="3">
        <v>40690</v>
      </c>
      <c r="D833" s="3">
        <f t="shared" si="230"/>
        <v>40704</v>
      </c>
      <c r="E833" s="3">
        <f t="shared" si="231"/>
        <v>40751</v>
      </c>
      <c r="F833" s="3">
        <f t="shared" si="232"/>
        <v>40694</v>
      </c>
      <c r="G833" s="76">
        <f t="shared" si="233"/>
        <v>2011</v>
      </c>
      <c r="H833" s="76">
        <f t="shared" si="234"/>
        <v>5</v>
      </c>
      <c r="I833" s="76" t="str">
        <f>VLOOKUP(H833,'Lookup Values'!$C$2:$D$13,2,FALSE)</f>
        <v>MAY</v>
      </c>
      <c r="J833" s="76">
        <f t="shared" si="235"/>
        <v>27</v>
      </c>
      <c r="K833" s="76">
        <f t="shared" si="236"/>
        <v>6</v>
      </c>
      <c r="L833" s="76" t="str">
        <f>VLOOKUP(K833,'Lookup Values'!$F$2:$G$8,2,FALSE)</f>
        <v>Friday</v>
      </c>
      <c r="M833" s="3">
        <v>40696</v>
      </c>
      <c r="N833" s="78">
        <f t="shared" si="229"/>
        <v>6</v>
      </c>
      <c r="O833" s="11">
        <v>0.32368781920487422</v>
      </c>
      <c r="P833" s="94">
        <f t="shared" si="237"/>
        <v>7</v>
      </c>
      <c r="Q833" s="94">
        <f t="shared" si="238"/>
        <v>46</v>
      </c>
      <c r="R833" s="94">
        <f t="shared" si="239"/>
        <v>7</v>
      </c>
      <c r="S833" s="94" t="str">
        <f>VLOOKUP(O833,'Lookup Values'!$I$2:$L$8,4,TRUE)</f>
        <v>Morning</v>
      </c>
      <c r="T833" t="s">
        <v>110</v>
      </c>
      <c r="U833" t="s">
        <v>111</v>
      </c>
      <c r="V833" t="str">
        <f t="shared" si="240"/>
        <v>Bills: Utilities</v>
      </c>
      <c r="W833" t="s">
        <v>109</v>
      </c>
      <c r="X833" t="s">
        <v>78</v>
      </c>
      <c r="Y833" s="1">
        <v>212</v>
      </c>
      <c r="Z833" s="1" t="str">
        <f t="shared" si="241"/>
        <v>Bills: $212.00</v>
      </c>
      <c r="AA833" s="1">
        <f>IF(Y833="","",ROUND(Y833*'Lookup Values'!$A$2,2))</f>
        <v>18.82</v>
      </c>
      <c r="AB833" s="12" t="str">
        <f t="shared" si="242"/>
        <v>Expense</v>
      </c>
      <c r="AC833" s="2" t="s">
        <v>683</v>
      </c>
      <c r="AD833" s="3">
        <f t="shared" si="243"/>
        <v>40690</v>
      </c>
      <c r="AE833" s="93" t="str">
        <f t="shared" si="244"/>
        <v>NO</v>
      </c>
      <c r="AF833" s="2" t="str">
        <f t="shared" si="245"/>
        <v>NO</v>
      </c>
      <c r="AG833" t="str">
        <f t="shared" si="246"/>
        <v>CRAP Transaction</v>
      </c>
    </row>
    <row r="834" spans="1:33" x14ac:dyDescent="0.25">
      <c r="A834" s="2">
        <v>833</v>
      </c>
      <c r="B834" s="3" t="str">
        <f t="shared" ref="B834:B897" si="247">TEXT(C834,"yymmdd") &amp; "-" &amp; UPPER(LEFT(T834,2)) &amp; "-" &amp; UPPER(LEFT(W834,3))</f>
        <v>110822-EN-MOE</v>
      </c>
      <c r="C834" s="3">
        <v>40777</v>
      </c>
      <c r="D834" s="3">
        <f t="shared" si="230"/>
        <v>40791</v>
      </c>
      <c r="E834" s="3">
        <f t="shared" si="231"/>
        <v>40838</v>
      </c>
      <c r="F834" s="3">
        <f t="shared" si="232"/>
        <v>40786</v>
      </c>
      <c r="G834" s="76">
        <f t="shared" si="233"/>
        <v>2011</v>
      </c>
      <c r="H834" s="76">
        <f t="shared" si="234"/>
        <v>8</v>
      </c>
      <c r="I834" s="76" t="str">
        <f>VLOOKUP(H834,'Lookup Values'!$C$2:$D$13,2,FALSE)</f>
        <v>AUG</v>
      </c>
      <c r="J834" s="76">
        <f t="shared" si="235"/>
        <v>22</v>
      </c>
      <c r="K834" s="76">
        <f t="shared" si="236"/>
        <v>2</v>
      </c>
      <c r="L834" s="76" t="str">
        <f>VLOOKUP(K834,'Lookup Values'!$F$2:$G$8,2,FALSE)</f>
        <v>Monday</v>
      </c>
      <c r="M834" s="3">
        <v>40787</v>
      </c>
      <c r="N834" s="78">
        <f t="shared" ref="N834:N897" si="248">M834-C834</f>
        <v>10</v>
      </c>
      <c r="O834" s="11">
        <v>0.51767680308190622</v>
      </c>
      <c r="P834" s="94">
        <f t="shared" si="237"/>
        <v>12</v>
      </c>
      <c r="Q834" s="94">
        <f t="shared" si="238"/>
        <v>25</v>
      </c>
      <c r="R834" s="94">
        <f t="shared" si="239"/>
        <v>27</v>
      </c>
      <c r="S834" s="94" t="str">
        <f>VLOOKUP(O834,'Lookup Values'!$I$2:$L$8,4,TRUE)</f>
        <v>Afternoon</v>
      </c>
      <c r="T834" t="s">
        <v>76</v>
      </c>
      <c r="U834" t="s">
        <v>77</v>
      </c>
      <c r="V834" t="str">
        <f t="shared" si="240"/>
        <v>Entertainment: Alcohol</v>
      </c>
      <c r="W834" t="s">
        <v>75</v>
      </c>
      <c r="X834" t="s">
        <v>91</v>
      </c>
      <c r="Y834" s="1">
        <v>498</v>
      </c>
      <c r="Z834" s="1" t="str">
        <f t="shared" si="241"/>
        <v>Entertainment: $498.00</v>
      </c>
      <c r="AA834" s="1">
        <f>IF(Y834="","",ROUND(Y834*'Lookup Values'!$A$2,2))</f>
        <v>44.2</v>
      </c>
      <c r="AB834" s="12" t="str">
        <f t="shared" si="242"/>
        <v>Expense</v>
      </c>
      <c r="AC834" s="2" t="s">
        <v>693</v>
      </c>
      <c r="AD834" s="3">
        <f t="shared" si="243"/>
        <v>40777</v>
      </c>
      <c r="AE834" s="93" t="str">
        <f t="shared" si="244"/>
        <v>NO</v>
      </c>
      <c r="AF834" s="2" t="str">
        <f t="shared" si="245"/>
        <v>NO</v>
      </c>
      <c r="AG834" t="str">
        <f t="shared" si="246"/>
        <v>CRAP Transaction</v>
      </c>
    </row>
    <row r="835" spans="1:33" x14ac:dyDescent="0.25">
      <c r="A835" s="2">
        <v>834</v>
      </c>
      <c r="B835" s="3" t="str">
        <f t="shared" si="247"/>
        <v>090403-BI-CON</v>
      </c>
      <c r="C835" s="3">
        <v>39906</v>
      </c>
      <c r="D835" s="3">
        <f t="shared" ref="D835:D898" si="249">WORKDAY(C835,10)</f>
        <v>39920</v>
      </c>
      <c r="E835" s="3">
        <f t="shared" ref="E835:E898" si="250">EDATE(C835,2)</f>
        <v>39967</v>
      </c>
      <c r="F835" s="3">
        <f t="shared" ref="F835:F898" si="251">EOMONTH(C835,0)</f>
        <v>39933</v>
      </c>
      <c r="G835" s="76">
        <f t="shared" ref="G835:G898" si="252">YEAR(C835)</f>
        <v>2009</v>
      </c>
      <c r="H835" s="76">
        <f t="shared" ref="H835:H898" si="253">MONTH(C835)</f>
        <v>4</v>
      </c>
      <c r="I835" s="76" t="str">
        <f>VLOOKUP(H835,'Lookup Values'!$C$2:$D$13,2,FALSE)</f>
        <v>APR</v>
      </c>
      <c r="J835" s="76">
        <f t="shared" ref="J835:J898" si="254">DAY(C835)</f>
        <v>3</v>
      </c>
      <c r="K835" s="76">
        <f t="shared" ref="K835:K898" si="255">WEEKDAY(C835)</f>
        <v>6</v>
      </c>
      <c r="L835" s="76" t="str">
        <f>VLOOKUP(K835,'Lookup Values'!$F$2:$G$8,2,FALSE)</f>
        <v>Friday</v>
      </c>
      <c r="M835" s="3">
        <v>39910</v>
      </c>
      <c r="N835" s="78">
        <f t="shared" si="248"/>
        <v>4</v>
      </c>
      <c r="O835" s="11">
        <v>0.50481679626640152</v>
      </c>
      <c r="P835" s="94">
        <f t="shared" ref="P835:P898" si="256">HOUR(O835)</f>
        <v>12</v>
      </c>
      <c r="Q835" s="94">
        <f t="shared" ref="Q835:Q898" si="257">MINUTE(O835)</f>
        <v>6</v>
      </c>
      <c r="R835" s="94">
        <f t="shared" ref="R835:R898" si="258">SECOND(O835)</f>
        <v>56</v>
      </c>
      <c r="S835" s="94" t="str">
        <f>VLOOKUP(O835,'Lookup Values'!$I$2:$L$8,4,TRUE)</f>
        <v>Afternoon</v>
      </c>
      <c r="T835" t="s">
        <v>110</v>
      </c>
      <c r="U835" t="s">
        <v>111</v>
      </c>
      <c r="V835" t="str">
        <f t="shared" ref="V835:V898" si="259">T835 &amp; ": " &amp; U835</f>
        <v>Bills: Utilities</v>
      </c>
      <c r="W835" t="s">
        <v>109</v>
      </c>
      <c r="X835" t="s">
        <v>91</v>
      </c>
      <c r="Y835" s="1">
        <v>329</v>
      </c>
      <c r="Z835" s="1" t="str">
        <f t="shared" ref="Z835:Z898" si="260">T835 &amp; ": " &amp; TEXT(Y835,"$#,###.00")</f>
        <v>Bills: $329.00</v>
      </c>
      <c r="AA835" s="1">
        <f>IF(Y835="","",ROUND(Y835*'Lookup Values'!$A$2,2))</f>
        <v>29.2</v>
      </c>
      <c r="AB835" s="12" t="str">
        <f t="shared" ref="AB835:AB898" si="261">IF(T835="Income","Income","Expense")</f>
        <v>Expense</v>
      </c>
      <c r="AC835" s="2" t="s">
        <v>574</v>
      </c>
      <c r="AD835" s="3">
        <f t="shared" ref="AD835:AD898" si="262">VALUE(SUBSTITUTE(AC835,".","/"))</f>
        <v>39906</v>
      </c>
      <c r="AE835" s="93" t="str">
        <f t="shared" ref="AE835:AE898" si="263">IF(OR(T835="Transportation",U835="Professional Development",U835="Electronics"),"YES","NO")</f>
        <v>NO</v>
      </c>
      <c r="AF835" s="2" t="str">
        <f t="shared" ref="AF835:AF898" si="264">IF(AND(AE835="YES",Y835&gt;=400),"YES","NO")</f>
        <v>NO</v>
      </c>
      <c r="AG835" t="str">
        <f t="shared" ref="AG835:AG898" si="265">IF(AND(AND(G835&gt;=2007,G835&lt;=2009),OR(W835&lt;&gt;"MTA",W835&lt;&gt;"Fandango"),OR(T835="Food",T835="Shopping",T835="Entertainment")),"Awesome Transaction",IF(AND(G835&lt;=2010,U835&lt;&gt;"Alcohol"),"Late Transaction",IF(G835=2006,"Early Transaction","CRAP Transaction")))</f>
        <v>Late Transaction</v>
      </c>
    </row>
    <row r="836" spans="1:33" x14ac:dyDescent="0.25">
      <c r="A836" s="2">
        <v>835</v>
      </c>
      <c r="B836" s="3" t="str">
        <f t="shared" si="247"/>
        <v>070904-TR-MTA</v>
      </c>
      <c r="C836" s="3">
        <v>39329</v>
      </c>
      <c r="D836" s="3">
        <f t="shared" si="249"/>
        <v>39343</v>
      </c>
      <c r="E836" s="3">
        <f t="shared" si="250"/>
        <v>39390</v>
      </c>
      <c r="F836" s="3">
        <f t="shared" si="251"/>
        <v>39355</v>
      </c>
      <c r="G836" s="76">
        <f t="shared" si="252"/>
        <v>2007</v>
      </c>
      <c r="H836" s="76">
        <f t="shared" si="253"/>
        <v>9</v>
      </c>
      <c r="I836" s="76" t="str">
        <f>VLOOKUP(H836,'Lookup Values'!$C$2:$D$13,2,FALSE)</f>
        <v>SEP</v>
      </c>
      <c r="J836" s="76">
        <f t="shared" si="254"/>
        <v>4</v>
      </c>
      <c r="K836" s="76">
        <f t="shared" si="255"/>
        <v>3</v>
      </c>
      <c r="L836" s="76" t="str">
        <f>VLOOKUP(K836,'Lookup Values'!$F$2:$G$8,2,FALSE)</f>
        <v>Tuesday</v>
      </c>
      <c r="M836" s="3">
        <v>39331</v>
      </c>
      <c r="N836" s="78">
        <f t="shared" si="248"/>
        <v>2</v>
      </c>
      <c r="O836" s="11">
        <v>6.5932950136731283E-2</v>
      </c>
      <c r="P836" s="94">
        <f t="shared" si="256"/>
        <v>1</v>
      </c>
      <c r="Q836" s="94">
        <f t="shared" si="257"/>
        <v>34</v>
      </c>
      <c r="R836" s="94">
        <f t="shared" si="258"/>
        <v>57</v>
      </c>
      <c r="S836" s="94" t="str">
        <f>VLOOKUP(O836,'Lookup Values'!$I$2:$L$8,4,TRUE)</f>
        <v>Dead of Night</v>
      </c>
      <c r="T836" t="s">
        <v>95</v>
      </c>
      <c r="U836" t="s">
        <v>96</v>
      </c>
      <c r="V836" t="str">
        <f t="shared" si="259"/>
        <v>Transportation: Subway</v>
      </c>
      <c r="W836" t="s">
        <v>94</v>
      </c>
      <c r="X836" t="s">
        <v>88</v>
      </c>
      <c r="Y836" s="1">
        <v>416</v>
      </c>
      <c r="Z836" s="1" t="str">
        <f t="shared" si="260"/>
        <v>Transportation: $416.00</v>
      </c>
      <c r="AA836" s="1">
        <f>IF(Y836="","",ROUND(Y836*'Lookup Values'!$A$2,2))</f>
        <v>36.92</v>
      </c>
      <c r="AB836" s="12" t="str">
        <f t="shared" si="261"/>
        <v>Expense</v>
      </c>
      <c r="AC836" s="2" t="s">
        <v>588</v>
      </c>
      <c r="AD836" s="3">
        <f t="shared" si="262"/>
        <v>39329</v>
      </c>
      <c r="AE836" s="93" t="str">
        <f t="shared" si="263"/>
        <v>YES</v>
      </c>
      <c r="AF836" s="2" t="str">
        <f t="shared" si="264"/>
        <v>YES</v>
      </c>
      <c r="AG836" t="str">
        <f t="shared" si="265"/>
        <v>Late Transaction</v>
      </c>
    </row>
    <row r="837" spans="1:33" x14ac:dyDescent="0.25">
      <c r="A837" s="2">
        <v>836</v>
      </c>
      <c r="B837" s="3" t="str">
        <f t="shared" si="247"/>
        <v>081121-IN-LEG</v>
      </c>
      <c r="C837" s="3">
        <v>39773</v>
      </c>
      <c r="D837" s="3">
        <f t="shared" si="249"/>
        <v>39787</v>
      </c>
      <c r="E837" s="3">
        <f t="shared" si="250"/>
        <v>39834</v>
      </c>
      <c r="F837" s="3">
        <f t="shared" si="251"/>
        <v>39782</v>
      </c>
      <c r="G837" s="76">
        <f t="shared" si="252"/>
        <v>2008</v>
      </c>
      <c r="H837" s="76">
        <f t="shared" si="253"/>
        <v>11</v>
      </c>
      <c r="I837" s="76" t="str">
        <f>VLOOKUP(H837,'Lookup Values'!$C$2:$D$13,2,FALSE)</f>
        <v>NOV</v>
      </c>
      <c r="J837" s="76">
        <f t="shared" si="254"/>
        <v>21</v>
      </c>
      <c r="K837" s="76">
        <f t="shared" si="255"/>
        <v>6</v>
      </c>
      <c r="L837" s="76" t="str">
        <f>VLOOKUP(K837,'Lookup Values'!$F$2:$G$8,2,FALSE)</f>
        <v>Friday</v>
      </c>
      <c r="M837" s="3">
        <v>39781</v>
      </c>
      <c r="N837" s="78">
        <f t="shared" si="248"/>
        <v>8</v>
      </c>
      <c r="O837" s="11">
        <v>0.74748045720914413</v>
      </c>
      <c r="P837" s="94">
        <f t="shared" si="256"/>
        <v>17</v>
      </c>
      <c r="Q837" s="94">
        <f t="shared" si="257"/>
        <v>56</v>
      </c>
      <c r="R837" s="94">
        <f t="shared" si="258"/>
        <v>22</v>
      </c>
      <c r="S837" s="94" t="str">
        <f>VLOOKUP(O837,'Lookup Values'!$I$2:$L$8,4,TRUE)</f>
        <v>Evening</v>
      </c>
      <c r="T837" t="s">
        <v>158</v>
      </c>
      <c r="U837" t="s">
        <v>160</v>
      </c>
      <c r="V837" t="str">
        <f t="shared" si="259"/>
        <v>Income: Freelance Project</v>
      </c>
      <c r="W837" t="s">
        <v>163</v>
      </c>
      <c r="X837" t="s">
        <v>78</v>
      </c>
      <c r="Y837" s="1">
        <v>191</v>
      </c>
      <c r="Z837" s="1" t="str">
        <f t="shared" si="260"/>
        <v>Income: $191.00</v>
      </c>
      <c r="AA837" s="1">
        <f>IF(Y837="","",ROUND(Y837*'Lookup Values'!$A$2,2))</f>
        <v>16.95</v>
      </c>
      <c r="AB837" s="12" t="str">
        <f t="shared" si="261"/>
        <v>Income</v>
      </c>
      <c r="AC837" s="2" t="s">
        <v>856</v>
      </c>
      <c r="AD837" s="3">
        <f t="shared" si="262"/>
        <v>39773</v>
      </c>
      <c r="AE837" s="93" t="str">
        <f t="shared" si="263"/>
        <v>NO</v>
      </c>
      <c r="AF837" s="2" t="str">
        <f t="shared" si="264"/>
        <v>NO</v>
      </c>
      <c r="AG837" t="str">
        <f t="shared" si="265"/>
        <v>Late Transaction</v>
      </c>
    </row>
    <row r="838" spans="1:33" x14ac:dyDescent="0.25">
      <c r="A838" s="2">
        <v>837</v>
      </c>
      <c r="B838" s="3" t="str">
        <f t="shared" si="247"/>
        <v>100901-FO-BAN</v>
      </c>
      <c r="C838" s="3">
        <v>40422</v>
      </c>
      <c r="D838" s="3">
        <f t="shared" si="249"/>
        <v>40436</v>
      </c>
      <c r="E838" s="3">
        <f t="shared" si="250"/>
        <v>40483</v>
      </c>
      <c r="F838" s="3">
        <f t="shared" si="251"/>
        <v>40451</v>
      </c>
      <c r="G838" s="76">
        <f t="shared" si="252"/>
        <v>2010</v>
      </c>
      <c r="H838" s="76">
        <f t="shared" si="253"/>
        <v>9</v>
      </c>
      <c r="I838" s="76" t="str">
        <f>VLOOKUP(H838,'Lookup Values'!$C$2:$D$13,2,FALSE)</f>
        <v>SEP</v>
      </c>
      <c r="J838" s="76">
        <f t="shared" si="254"/>
        <v>1</v>
      </c>
      <c r="K838" s="76">
        <f t="shared" si="255"/>
        <v>4</v>
      </c>
      <c r="L838" s="76" t="str">
        <f>VLOOKUP(K838,'Lookup Values'!$F$2:$G$8,2,FALSE)</f>
        <v>Wednesday</v>
      </c>
      <c r="M838" s="3">
        <v>40430</v>
      </c>
      <c r="N838" s="78">
        <f t="shared" si="248"/>
        <v>8</v>
      </c>
      <c r="O838" s="11">
        <v>0.40092461831951165</v>
      </c>
      <c r="P838" s="94">
        <f t="shared" si="256"/>
        <v>9</v>
      </c>
      <c r="Q838" s="94">
        <f t="shared" si="257"/>
        <v>37</v>
      </c>
      <c r="R838" s="94">
        <f t="shared" si="258"/>
        <v>20</v>
      </c>
      <c r="S838" s="94" t="str">
        <f>VLOOKUP(O838,'Lookup Values'!$I$2:$L$8,4,TRUE)</f>
        <v>Morning</v>
      </c>
      <c r="T838" t="s">
        <v>80</v>
      </c>
      <c r="U838" t="s">
        <v>81</v>
      </c>
      <c r="V838" t="str">
        <f t="shared" si="259"/>
        <v>Food: Restaurants</v>
      </c>
      <c r="W838" t="s">
        <v>79</v>
      </c>
      <c r="X838" t="s">
        <v>78</v>
      </c>
      <c r="Y838" s="1">
        <v>240</v>
      </c>
      <c r="Z838" s="1" t="str">
        <f t="shared" si="260"/>
        <v>Food: $240.00</v>
      </c>
      <c r="AA838" s="1">
        <f>IF(Y838="","",ROUND(Y838*'Lookup Values'!$A$2,2))</f>
        <v>21.3</v>
      </c>
      <c r="AB838" s="12" t="str">
        <f t="shared" si="261"/>
        <v>Expense</v>
      </c>
      <c r="AC838" s="2" t="s">
        <v>857</v>
      </c>
      <c r="AD838" s="3">
        <f t="shared" si="262"/>
        <v>40422</v>
      </c>
      <c r="AE838" s="93" t="str">
        <f t="shared" si="263"/>
        <v>NO</v>
      </c>
      <c r="AF838" s="2" t="str">
        <f t="shared" si="264"/>
        <v>NO</v>
      </c>
      <c r="AG838" t="str">
        <f t="shared" si="265"/>
        <v>Late Transaction</v>
      </c>
    </row>
    <row r="839" spans="1:33" x14ac:dyDescent="0.25">
      <c r="A839" s="2">
        <v>838</v>
      </c>
      <c r="B839" s="3" t="str">
        <f t="shared" si="247"/>
        <v>080423-SH-AMA</v>
      </c>
      <c r="C839" s="3">
        <v>39561</v>
      </c>
      <c r="D839" s="3">
        <f t="shared" si="249"/>
        <v>39575</v>
      </c>
      <c r="E839" s="3">
        <f t="shared" si="250"/>
        <v>39622</v>
      </c>
      <c r="F839" s="3">
        <f t="shared" si="251"/>
        <v>39568</v>
      </c>
      <c r="G839" s="76">
        <f t="shared" si="252"/>
        <v>2008</v>
      </c>
      <c r="H839" s="76">
        <f t="shared" si="253"/>
        <v>4</v>
      </c>
      <c r="I839" s="76" t="str">
        <f>VLOOKUP(H839,'Lookup Values'!$C$2:$D$13,2,FALSE)</f>
        <v>APR</v>
      </c>
      <c r="J839" s="76">
        <f t="shared" si="254"/>
        <v>23</v>
      </c>
      <c r="K839" s="76">
        <f t="shared" si="255"/>
        <v>4</v>
      </c>
      <c r="L839" s="76" t="str">
        <f>VLOOKUP(K839,'Lookup Values'!$F$2:$G$8,2,FALSE)</f>
        <v>Wednesday</v>
      </c>
      <c r="M839" s="3">
        <v>39566</v>
      </c>
      <c r="N839" s="78">
        <f t="shared" si="248"/>
        <v>5</v>
      </c>
      <c r="O839" s="11">
        <v>0.42855236814295716</v>
      </c>
      <c r="P839" s="94">
        <f t="shared" si="256"/>
        <v>10</v>
      </c>
      <c r="Q839" s="94">
        <f t="shared" si="257"/>
        <v>17</v>
      </c>
      <c r="R839" s="94">
        <f t="shared" si="258"/>
        <v>7</v>
      </c>
      <c r="S839" s="94" t="str">
        <f>VLOOKUP(O839,'Lookup Values'!$I$2:$L$8,4,TRUE)</f>
        <v>Late Morning</v>
      </c>
      <c r="T839" t="s">
        <v>83</v>
      </c>
      <c r="U839" t="s">
        <v>84</v>
      </c>
      <c r="V839" t="str">
        <f t="shared" si="259"/>
        <v>Shopping: Electronics</v>
      </c>
      <c r="W839" t="s">
        <v>82</v>
      </c>
      <c r="X839" t="s">
        <v>88</v>
      </c>
      <c r="Y839" s="1">
        <v>243</v>
      </c>
      <c r="Z839" s="1" t="str">
        <f t="shared" si="260"/>
        <v>Shopping: $243.00</v>
      </c>
      <c r="AA839" s="1">
        <f>IF(Y839="","",ROUND(Y839*'Lookup Values'!$A$2,2))</f>
        <v>21.57</v>
      </c>
      <c r="AB839" s="12" t="str">
        <f t="shared" si="261"/>
        <v>Expense</v>
      </c>
      <c r="AC839" s="2" t="s">
        <v>858</v>
      </c>
      <c r="AD839" s="3">
        <f t="shared" si="262"/>
        <v>39561</v>
      </c>
      <c r="AE839" s="93" t="str">
        <f t="shared" si="263"/>
        <v>YES</v>
      </c>
      <c r="AF839" s="2" t="str">
        <f t="shared" si="264"/>
        <v>NO</v>
      </c>
      <c r="AG839" t="str">
        <f t="shared" si="265"/>
        <v>Awesome Transaction</v>
      </c>
    </row>
    <row r="840" spans="1:33" x14ac:dyDescent="0.25">
      <c r="A840" s="2">
        <v>839</v>
      </c>
      <c r="B840" s="3" t="str">
        <f t="shared" si="247"/>
        <v>091208-SH-AMA</v>
      </c>
      <c r="C840" s="3">
        <v>40155</v>
      </c>
      <c r="D840" s="3">
        <f t="shared" si="249"/>
        <v>40169</v>
      </c>
      <c r="E840" s="3">
        <f t="shared" si="250"/>
        <v>40217</v>
      </c>
      <c r="F840" s="3">
        <f t="shared" si="251"/>
        <v>40178</v>
      </c>
      <c r="G840" s="76">
        <f t="shared" si="252"/>
        <v>2009</v>
      </c>
      <c r="H840" s="76">
        <f t="shared" si="253"/>
        <v>12</v>
      </c>
      <c r="I840" s="76" t="str">
        <f>VLOOKUP(H840,'Lookup Values'!$C$2:$D$13,2,FALSE)</f>
        <v>DEC</v>
      </c>
      <c r="J840" s="76">
        <f t="shared" si="254"/>
        <v>8</v>
      </c>
      <c r="K840" s="76">
        <f t="shared" si="255"/>
        <v>3</v>
      </c>
      <c r="L840" s="76" t="str">
        <f>VLOOKUP(K840,'Lookup Values'!$F$2:$G$8,2,FALSE)</f>
        <v>Tuesday</v>
      </c>
      <c r="M840" s="3">
        <v>40164</v>
      </c>
      <c r="N840" s="78">
        <f t="shared" si="248"/>
        <v>9</v>
      </c>
      <c r="O840" s="11">
        <v>0.21391027968103771</v>
      </c>
      <c r="P840" s="94">
        <f t="shared" si="256"/>
        <v>5</v>
      </c>
      <c r="Q840" s="94">
        <f t="shared" si="257"/>
        <v>8</v>
      </c>
      <c r="R840" s="94">
        <f t="shared" si="258"/>
        <v>2</v>
      </c>
      <c r="S840" s="94" t="str">
        <f>VLOOKUP(O840,'Lookup Values'!$I$2:$L$8,4,TRUE)</f>
        <v>Early Morning</v>
      </c>
      <c r="T840" t="s">
        <v>83</v>
      </c>
      <c r="U840" t="s">
        <v>84</v>
      </c>
      <c r="V840" t="str">
        <f t="shared" si="259"/>
        <v>Shopping: Electronics</v>
      </c>
      <c r="W840" t="s">
        <v>82</v>
      </c>
      <c r="X840" t="s">
        <v>78</v>
      </c>
      <c r="Y840" s="1">
        <v>384</v>
      </c>
      <c r="Z840" s="1" t="str">
        <f t="shared" si="260"/>
        <v>Shopping: $384.00</v>
      </c>
      <c r="AA840" s="1">
        <f>IF(Y840="","",ROUND(Y840*'Lookup Values'!$A$2,2))</f>
        <v>34.08</v>
      </c>
      <c r="AB840" s="12" t="str">
        <f t="shared" si="261"/>
        <v>Expense</v>
      </c>
      <c r="AC840" s="2" t="s">
        <v>199</v>
      </c>
      <c r="AD840" s="3">
        <f t="shared" si="262"/>
        <v>40155</v>
      </c>
      <c r="AE840" s="93" t="str">
        <f t="shared" si="263"/>
        <v>YES</v>
      </c>
      <c r="AF840" s="2" t="str">
        <f t="shared" si="264"/>
        <v>NO</v>
      </c>
      <c r="AG840" t="str">
        <f t="shared" si="265"/>
        <v>Awesome Transaction</v>
      </c>
    </row>
    <row r="841" spans="1:33" x14ac:dyDescent="0.25">
      <c r="A841" s="2">
        <v>840</v>
      </c>
      <c r="B841" s="3" t="str">
        <f t="shared" si="247"/>
        <v>090621-FO-TRA</v>
      </c>
      <c r="C841" s="3">
        <v>39985</v>
      </c>
      <c r="D841" s="3">
        <f t="shared" si="249"/>
        <v>39997</v>
      </c>
      <c r="E841" s="3">
        <f t="shared" si="250"/>
        <v>40046</v>
      </c>
      <c r="F841" s="3">
        <f t="shared" si="251"/>
        <v>39994</v>
      </c>
      <c r="G841" s="76">
        <f t="shared" si="252"/>
        <v>2009</v>
      </c>
      <c r="H841" s="76">
        <f t="shared" si="253"/>
        <v>6</v>
      </c>
      <c r="I841" s="76" t="str">
        <f>VLOOKUP(H841,'Lookup Values'!$C$2:$D$13,2,FALSE)</f>
        <v>JUN</v>
      </c>
      <c r="J841" s="76">
        <f t="shared" si="254"/>
        <v>21</v>
      </c>
      <c r="K841" s="76">
        <f t="shared" si="255"/>
        <v>1</v>
      </c>
      <c r="L841" s="76" t="str">
        <f>VLOOKUP(K841,'Lookup Values'!$F$2:$G$8,2,FALSE)</f>
        <v>Sunday</v>
      </c>
      <c r="M841" s="3">
        <v>39989</v>
      </c>
      <c r="N841" s="78">
        <f t="shared" si="248"/>
        <v>4</v>
      </c>
      <c r="O841" s="11">
        <v>0.79606540984518537</v>
      </c>
      <c r="P841" s="94">
        <f t="shared" si="256"/>
        <v>19</v>
      </c>
      <c r="Q841" s="94">
        <f t="shared" si="257"/>
        <v>6</v>
      </c>
      <c r="R841" s="94">
        <f t="shared" si="258"/>
        <v>20</v>
      </c>
      <c r="S841" s="94" t="str">
        <f>VLOOKUP(O841,'Lookup Values'!$I$2:$L$8,4,TRUE)</f>
        <v>Evening</v>
      </c>
      <c r="T841" t="s">
        <v>80</v>
      </c>
      <c r="U841" t="s">
        <v>93</v>
      </c>
      <c r="V841" t="str">
        <f t="shared" si="259"/>
        <v>Food: Groceries</v>
      </c>
      <c r="W841" t="s">
        <v>92</v>
      </c>
      <c r="X841" t="s">
        <v>78</v>
      </c>
      <c r="Y841" s="1">
        <v>445</v>
      </c>
      <c r="Z841" s="1" t="str">
        <f t="shared" si="260"/>
        <v>Food: $445.00</v>
      </c>
      <c r="AA841" s="1">
        <f>IF(Y841="","",ROUND(Y841*'Lookup Values'!$A$2,2))</f>
        <v>39.49</v>
      </c>
      <c r="AB841" s="12" t="str">
        <f t="shared" si="261"/>
        <v>Expense</v>
      </c>
      <c r="AC841" s="2" t="s">
        <v>469</v>
      </c>
      <c r="AD841" s="3">
        <f t="shared" si="262"/>
        <v>39985</v>
      </c>
      <c r="AE841" s="93" t="str">
        <f t="shared" si="263"/>
        <v>NO</v>
      </c>
      <c r="AF841" s="2" t="str">
        <f t="shared" si="264"/>
        <v>NO</v>
      </c>
      <c r="AG841" t="str">
        <f t="shared" si="265"/>
        <v>Awesome Transaction</v>
      </c>
    </row>
    <row r="842" spans="1:33" x14ac:dyDescent="0.25">
      <c r="A842" s="2">
        <v>841</v>
      </c>
      <c r="B842" s="3" t="str">
        <f t="shared" si="247"/>
        <v>090616-SH-EXP</v>
      </c>
      <c r="C842" s="3">
        <v>39980</v>
      </c>
      <c r="D842" s="3">
        <f t="shared" si="249"/>
        <v>39994</v>
      </c>
      <c r="E842" s="3">
        <f t="shared" si="250"/>
        <v>40041</v>
      </c>
      <c r="F842" s="3">
        <f t="shared" si="251"/>
        <v>39994</v>
      </c>
      <c r="G842" s="76">
        <f t="shared" si="252"/>
        <v>2009</v>
      </c>
      <c r="H842" s="76">
        <f t="shared" si="253"/>
        <v>6</v>
      </c>
      <c r="I842" s="76" t="str">
        <f>VLOOKUP(H842,'Lookup Values'!$C$2:$D$13,2,FALSE)</f>
        <v>JUN</v>
      </c>
      <c r="J842" s="76">
        <f t="shared" si="254"/>
        <v>16</v>
      </c>
      <c r="K842" s="76">
        <f t="shared" si="255"/>
        <v>3</v>
      </c>
      <c r="L842" s="76" t="str">
        <f>VLOOKUP(K842,'Lookup Values'!$F$2:$G$8,2,FALSE)</f>
        <v>Tuesday</v>
      </c>
      <c r="M842" s="3">
        <v>39982</v>
      </c>
      <c r="N842" s="78">
        <f t="shared" si="248"/>
        <v>2</v>
      </c>
      <c r="O842" s="11">
        <v>0.37313746586709784</v>
      </c>
      <c r="P842" s="94">
        <f t="shared" si="256"/>
        <v>8</v>
      </c>
      <c r="Q842" s="94">
        <f t="shared" si="257"/>
        <v>57</v>
      </c>
      <c r="R842" s="94">
        <f t="shared" si="258"/>
        <v>19</v>
      </c>
      <c r="S842" s="94" t="str">
        <f>VLOOKUP(O842,'Lookup Values'!$I$2:$L$8,4,TRUE)</f>
        <v>Morning</v>
      </c>
      <c r="T842" t="s">
        <v>83</v>
      </c>
      <c r="U842" t="s">
        <v>103</v>
      </c>
      <c r="V842" t="str">
        <f t="shared" si="259"/>
        <v>Shopping: Clothing</v>
      </c>
      <c r="W842" t="s">
        <v>102</v>
      </c>
      <c r="X842" t="s">
        <v>91</v>
      </c>
      <c r="Y842" s="1">
        <v>306</v>
      </c>
      <c r="Z842" s="1" t="str">
        <f t="shared" si="260"/>
        <v>Shopping: $306.00</v>
      </c>
      <c r="AA842" s="1">
        <f>IF(Y842="","",ROUND(Y842*'Lookup Values'!$A$2,2))</f>
        <v>27.16</v>
      </c>
      <c r="AB842" s="12" t="str">
        <f t="shared" si="261"/>
        <v>Expense</v>
      </c>
      <c r="AC842" s="2" t="s">
        <v>859</v>
      </c>
      <c r="AD842" s="3">
        <f t="shared" si="262"/>
        <v>39980</v>
      </c>
      <c r="AE842" s="93" t="str">
        <f t="shared" si="263"/>
        <v>NO</v>
      </c>
      <c r="AF842" s="2" t="str">
        <f t="shared" si="264"/>
        <v>NO</v>
      </c>
      <c r="AG842" t="str">
        <f t="shared" si="265"/>
        <v>Awesome Transaction</v>
      </c>
    </row>
    <row r="843" spans="1:33" x14ac:dyDescent="0.25">
      <c r="A843" s="2">
        <v>842</v>
      </c>
      <c r="B843" s="3" t="str">
        <f t="shared" si="247"/>
        <v>070307-FO-BAN</v>
      </c>
      <c r="C843" s="3">
        <v>39148</v>
      </c>
      <c r="D843" s="3">
        <f t="shared" si="249"/>
        <v>39162</v>
      </c>
      <c r="E843" s="3">
        <f t="shared" si="250"/>
        <v>39209</v>
      </c>
      <c r="F843" s="3">
        <f t="shared" si="251"/>
        <v>39172</v>
      </c>
      <c r="G843" s="76">
        <f t="shared" si="252"/>
        <v>2007</v>
      </c>
      <c r="H843" s="76">
        <f t="shared" si="253"/>
        <v>3</v>
      </c>
      <c r="I843" s="76" t="str">
        <f>VLOOKUP(H843,'Lookup Values'!$C$2:$D$13,2,FALSE)</f>
        <v>MAR</v>
      </c>
      <c r="J843" s="76">
        <f t="shared" si="254"/>
        <v>7</v>
      </c>
      <c r="K843" s="76">
        <f t="shared" si="255"/>
        <v>4</v>
      </c>
      <c r="L843" s="76" t="str">
        <f>VLOOKUP(K843,'Lookup Values'!$F$2:$G$8,2,FALSE)</f>
        <v>Wednesday</v>
      </c>
      <c r="M843" s="3">
        <v>39156</v>
      </c>
      <c r="N843" s="78">
        <f t="shared" si="248"/>
        <v>8</v>
      </c>
      <c r="O843" s="11">
        <v>8.0897142045747716E-2</v>
      </c>
      <c r="P843" s="94">
        <f t="shared" si="256"/>
        <v>1</v>
      </c>
      <c r="Q843" s="94">
        <f t="shared" si="257"/>
        <v>56</v>
      </c>
      <c r="R843" s="94">
        <f t="shared" si="258"/>
        <v>30</v>
      </c>
      <c r="S843" s="94" t="str">
        <f>VLOOKUP(O843,'Lookup Values'!$I$2:$L$8,4,TRUE)</f>
        <v>Dead of Night</v>
      </c>
      <c r="T843" t="s">
        <v>80</v>
      </c>
      <c r="U843" t="s">
        <v>81</v>
      </c>
      <c r="V843" t="str">
        <f t="shared" si="259"/>
        <v>Food: Restaurants</v>
      </c>
      <c r="W843" t="s">
        <v>79</v>
      </c>
      <c r="X843" t="s">
        <v>78</v>
      </c>
      <c r="Y843" s="1">
        <v>65</v>
      </c>
      <c r="Z843" s="1" t="str">
        <f t="shared" si="260"/>
        <v>Food: $65.00</v>
      </c>
      <c r="AA843" s="1">
        <f>IF(Y843="","",ROUND(Y843*'Lookup Values'!$A$2,2))</f>
        <v>5.77</v>
      </c>
      <c r="AB843" s="12" t="str">
        <f t="shared" si="261"/>
        <v>Expense</v>
      </c>
      <c r="AC843" s="2" t="s">
        <v>687</v>
      </c>
      <c r="AD843" s="3">
        <f t="shared" si="262"/>
        <v>39148</v>
      </c>
      <c r="AE843" s="93" t="str">
        <f t="shared" si="263"/>
        <v>NO</v>
      </c>
      <c r="AF843" s="2" t="str">
        <f t="shared" si="264"/>
        <v>NO</v>
      </c>
      <c r="AG843" t="str">
        <f t="shared" si="265"/>
        <v>Awesome Transaction</v>
      </c>
    </row>
    <row r="844" spans="1:33" x14ac:dyDescent="0.25">
      <c r="A844" s="2">
        <v>843</v>
      </c>
      <c r="B844" s="3" t="str">
        <f t="shared" si="247"/>
        <v>080316-FO-TRA</v>
      </c>
      <c r="C844" s="3">
        <v>39523</v>
      </c>
      <c r="D844" s="3">
        <f t="shared" si="249"/>
        <v>39535</v>
      </c>
      <c r="E844" s="3">
        <f t="shared" si="250"/>
        <v>39584</v>
      </c>
      <c r="F844" s="3">
        <f t="shared" si="251"/>
        <v>39538</v>
      </c>
      <c r="G844" s="76">
        <f t="shared" si="252"/>
        <v>2008</v>
      </c>
      <c r="H844" s="76">
        <f t="shared" si="253"/>
        <v>3</v>
      </c>
      <c r="I844" s="76" t="str">
        <f>VLOOKUP(H844,'Lookup Values'!$C$2:$D$13,2,FALSE)</f>
        <v>MAR</v>
      </c>
      <c r="J844" s="76">
        <f t="shared" si="254"/>
        <v>16</v>
      </c>
      <c r="K844" s="76">
        <f t="shared" si="255"/>
        <v>1</v>
      </c>
      <c r="L844" s="76" t="str">
        <f>VLOOKUP(K844,'Lookup Values'!$F$2:$G$8,2,FALSE)</f>
        <v>Sunday</v>
      </c>
      <c r="M844" s="3">
        <v>39533</v>
      </c>
      <c r="N844" s="78">
        <f t="shared" si="248"/>
        <v>10</v>
      </c>
      <c r="O844" s="11">
        <v>0.75339249580272871</v>
      </c>
      <c r="P844" s="94">
        <f t="shared" si="256"/>
        <v>18</v>
      </c>
      <c r="Q844" s="94">
        <f t="shared" si="257"/>
        <v>4</v>
      </c>
      <c r="R844" s="94">
        <f t="shared" si="258"/>
        <v>53</v>
      </c>
      <c r="S844" s="94" t="str">
        <f>VLOOKUP(O844,'Lookup Values'!$I$2:$L$8,4,TRUE)</f>
        <v>Evening</v>
      </c>
      <c r="T844" t="s">
        <v>80</v>
      </c>
      <c r="U844" t="s">
        <v>93</v>
      </c>
      <c r="V844" t="str">
        <f t="shared" si="259"/>
        <v>Food: Groceries</v>
      </c>
      <c r="W844" t="s">
        <v>92</v>
      </c>
      <c r="X844" t="s">
        <v>78</v>
      </c>
      <c r="Y844" s="1">
        <v>387</v>
      </c>
      <c r="Z844" s="1" t="str">
        <f t="shared" si="260"/>
        <v>Food: $387.00</v>
      </c>
      <c r="AA844" s="1">
        <f>IF(Y844="","",ROUND(Y844*'Lookup Values'!$A$2,2))</f>
        <v>34.35</v>
      </c>
      <c r="AB844" s="12" t="str">
        <f t="shared" si="261"/>
        <v>Expense</v>
      </c>
      <c r="AC844" s="2" t="s">
        <v>860</v>
      </c>
      <c r="AD844" s="3">
        <f t="shared" si="262"/>
        <v>39523</v>
      </c>
      <c r="AE844" s="93" t="str">
        <f t="shared" si="263"/>
        <v>NO</v>
      </c>
      <c r="AF844" s="2" t="str">
        <f t="shared" si="264"/>
        <v>NO</v>
      </c>
      <c r="AG844" t="str">
        <f t="shared" si="265"/>
        <v>Awesome Transaction</v>
      </c>
    </row>
    <row r="845" spans="1:33" x14ac:dyDescent="0.25">
      <c r="A845" s="2">
        <v>844</v>
      </c>
      <c r="B845" s="3" t="str">
        <f t="shared" si="247"/>
        <v>071022-IN-LEG</v>
      </c>
      <c r="C845" s="3">
        <v>39377</v>
      </c>
      <c r="D845" s="3">
        <f t="shared" si="249"/>
        <v>39391</v>
      </c>
      <c r="E845" s="3">
        <f t="shared" si="250"/>
        <v>39438</v>
      </c>
      <c r="F845" s="3">
        <f t="shared" si="251"/>
        <v>39386</v>
      </c>
      <c r="G845" s="76">
        <f t="shared" si="252"/>
        <v>2007</v>
      </c>
      <c r="H845" s="76">
        <f t="shared" si="253"/>
        <v>10</v>
      </c>
      <c r="I845" s="76" t="str">
        <f>VLOOKUP(H845,'Lookup Values'!$C$2:$D$13,2,FALSE)</f>
        <v>OCT</v>
      </c>
      <c r="J845" s="76">
        <f t="shared" si="254"/>
        <v>22</v>
      </c>
      <c r="K845" s="76">
        <f t="shared" si="255"/>
        <v>2</v>
      </c>
      <c r="L845" s="76" t="str">
        <f>VLOOKUP(K845,'Lookup Values'!$F$2:$G$8,2,FALSE)</f>
        <v>Monday</v>
      </c>
      <c r="M845" s="3">
        <v>39380</v>
      </c>
      <c r="N845" s="78">
        <f t="shared" si="248"/>
        <v>3</v>
      </c>
      <c r="O845" s="11">
        <v>0.54443531782629562</v>
      </c>
      <c r="P845" s="94">
        <f t="shared" si="256"/>
        <v>13</v>
      </c>
      <c r="Q845" s="94">
        <f t="shared" si="257"/>
        <v>3</v>
      </c>
      <c r="R845" s="94">
        <f t="shared" si="258"/>
        <v>59</v>
      </c>
      <c r="S845" s="94" t="str">
        <f>VLOOKUP(O845,'Lookup Values'!$I$2:$L$8,4,TRUE)</f>
        <v>Afternoon</v>
      </c>
      <c r="T845" t="s">
        <v>158</v>
      </c>
      <c r="U845" t="s">
        <v>160</v>
      </c>
      <c r="V845" t="str">
        <f t="shared" si="259"/>
        <v>Income: Freelance Project</v>
      </c>
      <c r="W845" t="s">
        <v>163</v>
      </c>
      <c r="X845" t="s">
        <v>88</v>
      </c>
      <c r="Y845" s="1">
        <v>338</v>
      </c>
      <c r="Z845" s="1" t="str">
        <f t="shared" si="260"/>
        <v>Income: $338.00</v>
      </c>
      <c r="AA845" s="1">
        <f>IF(Y845="","",ROUND(Y845*'Lookup Values'!$A$2,2))</f>
        <v>30</v>
      </c>
      <c r="AB845" s="12" t="str">
        <f t="shared" si="261"/>
        <v>Income</v>
      </c>
      <c r="AC845" s="2" t="s">
        <v>861</v>
      </c>
      <c r="AD845" s="3">
        <f t="shared" si="262"/>
        <v>39377</v>
      </c>
      <c r="AE845" s="93" t="str">
        <f t="shared" si="263"/>
        <v>NO</v>
      </c>
      <c r="AF845" s="2" t="str">
        <f t="shared" si="264"/>
        <v>NO</v>
      </c>
      <c r="AG845" t="str">
        <f t="shared" si="265"/>
        <v>Late Transaction</v>
      </c>
    </row>
    <row r="846" spans="1:33" x14ac:dyDescent="0.25">
      <c r="A846" s="2">
        <v>845</v>
      </c>
      <c r="B846" s="3" t="str">
        <f t="shared" si="247"/>
        <v>111105-FO-CIT</v>
      </c>
      <c r="C846" s="3">
        <v>40852</v>
      </c>
      <c r="D846" s="3">
        <f t="shared" si="249"/>
        <v>40865</v>
      </c>
      <c r="E846" s="3">
        <f t="shared" si="250"/>
        <v>40913</v>
      </c>
      <c r="F846" s="3">
        <f t="shared" si="251"/>
        <v>40877</v>
      </c>
      <c r="G846" s="76">
        <f t="shared" si="252"/>
        <v>2011</v>
      </c>
      <c r="H846" s="76">
        <f t="shared" si="253"/>
        <v>11</v>
      </c>
      <c r="I846" s="76" t="str">
        <f>VLOOKUP(H846,'Lookup Values'!$C$2:$D$13,2,FALSE)</f>
        <v>NOV</v>
      </c>
      <c r="J846" s="76">
        <f t="shared" si="254"/>
        <v>5</v>
      </c>
      <c r="K846" s="76">
        <f t="shared" si="255"/>
        <v>7</v>
      </c>
      <c r="L846" s="76" t="str">
        <f>VLOOKUP(K846,'Lookup Values'!$F$2:$G$8,2,FALSE)</f>
        <v>Saturday</v>
      </c>
      <c r="M846" s="3">
        <v>40855</v>
      </c>
      <c r="N846" s="78">
        <f t="shared" si="248"/>
        <v>3</v>
      </c>
      <c r="O846" s="11">
        <v>0.19608520705603094</v>
      </c>
      <c r="P846" s="94">
        <f t="shared" si="256"/>
        <v>4</v>
      </c>
      <c r="Q846" s="94">
        <f t="shared" si="257"/>
        <v>42</v>
      </c>
      <c r="R846" s="94">
        <f t="shared" si="258"/>
        <v>22</v>
      </c>
      <c r="S846" s="94" t="str">
        <f>VLOOKUP(O846,'Lookup Values'!$I$2:$L$8,4,TRUE)</f>
        <v>Early Morning</v>
      </c>
      <c r="T846" t="s">
        <v>80</v>
      </c>
      <c r="U846" t="s">
        <v>105</v>
      </c>
      <c r="V846" t="str">
        <f t="shared" si="259"/>
        <v>Food: Coffee</v>
      </c>
      <c r="W846" t="s">
        <v>104</v>
      </c>
      <c r="X846" t="s">
        <v>88</v>
      </c>
      <c r="Y846" s="1">
        <v>313</v>
      </c>
      <c r="Z846" s="1" t="str">
        <f t="shared" si="260"/>
        <v>Food: $313.00</v>
      </c>
      <c r="AA846" s="1">
        <f>IF(Y846="","",ROUND(Y846*'Lookup Values'!$A$2,2))</f>
        <v>27.78</v>
      </c>
      <c r="AB846" s="12" t="str">
        <f t="shared" si="261"/>
        <v>Expense</v>
      </c>
      <c r="AC846" s="2" t="s">
        <v>862</v>
      </c>
      <c r="AD846" s="3">
        <f t="shared" si="262"/>
        <v>40852</v>
      </c>
      <c r="AE846" s="93" t="str">
        <f t="shared" si="263"/>
        <v>NO</v>
      </c>
      <c r="AF846" s="2" t="str">
        <f t="shared" si="264"/>
        <v>NO</v>
      </c>
      <c r="AG846" t="str">
        <f t="shared" si="265"/>
        <v>CRAP Transaction</v>
      </c>
    </row>
    <row r="847" spans="1:33" x14ac:dyDescent="0.25">
      <c r="A847" s="2">
        <v>846</v>
      </c>
      <c r="B847" s="3" t="str">
        <f t="shared" si="247"/>
        <v>101020-FO-TRA</v>
      </c>
      <c r="C847" s="3">
        <v>40471</v>
      </c>
      <c r="D847" s="3">
        <f t="shared" si="249"/>
        <v>40485</v>
      </c>
      <c r="E847" s="3">
        <f t="shared" si="250"/>
        <v>40532</v>
      </c>
      <c r="F847" s="3">
        <f t="shared" si="251"/>
        <v>40482</v>
      </c>
      <c r="G847" s="76">
        <f t="shared" si="252"/>
        <v>2010</v>
      </c>
      <c r="H847" s="76">
        <f t="shared" si="253"/>
        <v>10</v>
      </c>
      <c r="I847" s="76" t="str">
        <f>VLOOKUP(H847,'Lookup Values'!$C$2:$D$13,2,FALSE)</f>
        <v>OCT</v>
      </c>
      <c r="J847" s="76">
        <f t="shared" si="254"/>
        <v>20</v>
      </c>
      <c r="K847" s="76">
        <f t="shared" si="255"/>
        <v>4</v>
      </c>
      <c r="L847" s="76" t="str">
        <f>VLOOKUP(K847,'Lookup Values'!$F$2:$G$8,2,FALSE)</f>
        <v>Wednesday</v>
      </c>
      <c r="M847" s="3">
        <v>40479</v>
      </c>
      <c r="N847" s="78">
        <f t="shared" si="248"/>
        <v>8</v>
      </c>
      <c r="O847" s="11">
        <v>0.96227973214325579</v>
      </c>
      <c r="P847" s="94">
        <f t="shared" si="256"/>
        <v>23</v>
      </c>
      <c r="Q847" s="94">
        <f t="shared" si="257"/>
        <v>5</v>
      </c>
      <c r="R847" s="94">
        <f t="shared" si="258"/>
        <v>41</v>
      </c>
      <c r="S847" s="94" t="str">
        <f>VLOOKUP(O847,'Lookup Values'!$I$2:$L$8,4,TRUE)</f>
        <v>Late Evening</v>
      </c>
      <c r="T847" t="s">
        <v>80</v>
      </c>
      <c r="U847" t="s">
        <v>93</v>
      </c>
      <c r="V847" t="str">
        <f t="shared" si="259"/>
        <v>Food: Groceries</v>
      </c>
      <c r="W847" t="s">
        <v>92</v>
      </c>
      <c r="X847" t="s">
        <v>91</v>
      </c>
      <c r="Y847" s="1">
        <v>123</v>
      </c>
      <c r="Z847" s="1" t="str">
        <f t="shared" si="260"/>
        <v>Food: $123.00</v>
      </c>
      <c r="AA847" s="1">
        <f>IF(Y847="","",ROUND(Y847*'Lookup Values'!$A$2,2))</f>
        <v>10.92</v>
      </c>
      <c r="AB847" s="12" t="str">
        <f t="shared" si="261"/>
        <v>Expense</v>
      </c>
      <c r="AC847" s="2" t="s">
        <v>863</v>
      </c>
      <c r="AD847" s="3">
        <f t="shared" si="262"/>
        <v>40471</v>
      </c>
      <c r="AE847" s="93" t="str">
        <f t="shared" si="263"/>
        <v>NO</v>
      </c>
      <c r="AF847" s="2" t="str">
        <f t="shared" si="264"/>
        <v>NO</v>
      </c>
      <c r="AG847" t="str">
        <f t="shared" si="265"/>
        <v>Late Transaction</v>
      </c>
    </row>
    <row r="848" spans="1:33" x14ac:dyDescent="0.25">
      <c r="A848" s="2">
        <v>847</v>
      </c>
      <c r="B848" s="3" t="str">
        <f t="shared" si="247"/>
        <v>120607-SH-EXP</v>
      </c>
      <c r="C848" s="3">
        <v>41067</v>
      </c>
      <c r="D848" s="3">
        <f t="shared" si="249"/>
        <v>41081</v>
      </c>
      <c r="E848" s="3">
        <f t="shared" si="250"/>
        <v>41128</v>
      </c>
      <c r="F848" s="3">
        <f t="shared" si="251"/>
        <v>41090</v>
      </c>
      <c r="G848" s="76">
        <f t="shared" si="252"/>
        <v>2012</v>
      </c>
      <c r="H848" s="76">
        <f t="shared" si="253"/>
        <v>6</v>
      </c>
      <c r="I848" s="76" t="str">
        <f>VLOOKUP(H848,'Lookup Values'!$C$2:$D$13,2,FALSE)</f>
        <v>JUN</v>
      </c>
      <c r="J848" s="76">
        <f t="shared" si="254"/>
        <v>7</v>
      </c>
      <c r="K848" s="76">
        <f t="shared" si="255"/>
        <v>5</v>
      </c>
      <c r="L848" s="76" t="str">
        <f>VLOOKUP(K848,'Lookup Values'!$F$2:$G$8,2,FALSE)</f>
        <v>Thursday</v>
      </c>
      <c r="M848" s="3">
        <v>41075</v>
      </c>
      <c r="N848" s="78">
        <f t="shared" si="248"/>
        <v>8</v>
      </c>
      <c r="O848" s="11">
        <v>0.78070924520245044</v>
      </c>
      <c r="P848" s="94">
        <f t="shared" si="256"/>
        <v>18</v>
      </c>
      <c r="Q848" s="94">
        <f t="shared" si="257"/>
        <v>44</v>
      </c>
      <c r="R848" s="94">
        <f t="shared" si="258"/>
        <v>13</v>
      </c>
      <c r="S848" s="94" t="str">
        <f>VLOOKUP(O848,'Lookup Values'!$I$2:$L$8,4,TRUE)</f>
        <v>Evening</v>
      </c>
      <c r="T848" t="s">
        <v>83</v>
      </c>
      <c r="U848" t="s">
        <v>103</v>
      </c>
      <c r="V848" t="str">
        <f t="shared" si="259"/>
        <v>Shopping: Clothing</v>
      </c>
      <c r="W848" t="s">
        <v>102</v>
      </c>
      <c r="X848" t="s">
        <v>91</v>
      </c>
      <c r="Y848" s="1">
        <v>12</v>
      </c>
      <c r="Z848" s="1" t="str">
        <f t="shared" si="260"/>
        <v>Shopping: $12.00</v>
      </c>
      <c r="AA848" s="1">
        <f>IF(Y848="","",ROUND(Y848*'Lookup Values'!$A$2,2))</f>
        <v>1.07</v>
      </c>
      <c r="AB848" s="12" t="str">
        <f t="shared" si="261"/>
        <v>Expense</v>
      </c>
      <c r="AC848" s="2" t="s">
        <v>864</v>
      </c>
      <c r="AD848" s="3">
        <f t="shared" si="262"/>
        <v>41067</v>
      </c>
      <c r="AE848" s="93" t="str">
        <f t="shared" si="263"/>
        <v>NO</v>
      </c>
      <c r="AF848" s="2" t="str">
        <f t="shared" si="264"/>
        <v>NO</v>
      </c>
      <c r="AG848" t="str">
        <f t="shared" si="265"/>
        <v>CRAP Transaction</v>
      </c>
    </row>
    <row r="849" spans="1:33" x14ac:dyDescent="0.25">
      <c r="A849" s="2">
        <v>848</v>
      </c>
      <c r="B849" s="3" t="str">
        <f t="shared" si="247"/>
        <v>110823-HO-BED</v>
      </c>
      <c r="C849" s="3">
        <v>40778</v>
      </c>
      <c r="D849" s="3">
        <f t="shared" si="249"/>
        <v>40792</v>
      </c>
      <c r="E849" s="3">
        <f t="shared" si="250"/>
        <v>40839</v>
      </c>
      <c r="F849" s="3">
        <f t="shared" si="251"/>
        <v>40786</v>
      </c>
      <c r="G849" s="76">
        <f t="shared" si="252"/>
        <v>2011</v>
      </c>
      <c r="H849" s="76">
        <f t="shared" si="253"/>
        <v>8</v>
      </c>
      <c r="I849" s="76" t="str">
        <f>VLOOKUP(H849,'Lookup Values'!$C$2:$D$13,2,FALSE)</f>
        <v>AUG</v>
      </c>
      <c r="J849" s="76">
        <f t="shared" si="254"/>
        <v>23</v>
      </c>
      <c r="K849" s="76">
        <f t="shared" si="255"/>
        <v>3</v>
      </c>
      <c r="L849" s="76" t="str">
        <f>VLOOKUP(K849,'Lookup Values'!$F$2:$G$8,2,FALSE)</f>
        <v>Tuesday</v>
      </c>
      <c r="M849" s="3">
        <v>40787</v>
      </c>
      <c r="N849" s="78">
        <f t="shared" si="248"/>
        <v>9</v>
      </c>
      <c r="O849" s="11">
        <v>0.11941561791278932</v>
      </c>
      <c r="P849" s="94">
        <f t="shared" si="256"/>
        <v>2</v>
      </c>
      <c r="Q849" s="94">
        <f t="shared" si="257"/>
        <v>51</v>
      </c>
      <c r="R849" s="94">
        <f t="shared" si="258"/>
        <v>58</v>
      </c>
      <c r="S849" s="94" t="str">
        <f>VLOOKUP(O849,'Lookup Values'!$I$2:$L$8,4,TRUE)</f>
        <v>Dead of Night</v>
      </c>
      <c r="T849" t="s">
        <v>100</v>
      </c>
      <c r="U849" t="s">
        <v>101</v>
      </c>
      <c r="V849" t="str">
        <f t="shared" si="259"/>
        <v>Home: Cleaning Supplies</v>
      </c>
      <c r="W849" t="s">
        <v>99</v>
      </c>
      <c r="X849" t="s">
        <v>78</v>
      </c>
      <c r="Y849" s="1">
        <v>151</v>
      </c>
      <c r="Z849" s="1" t="str">
        <f t="shared" si="260"/>
        <v>Home: $151.00</v>
      </c>
      <c r="AA849" s="1">
        <f>IF(Y849="","",ROUND(Y849*'Lookup Values'!$A$2,2))</f>
        <v>13.4</v>
      </c>
      <c r="AB849" s="12" t="str">
        <f t="shared" si="261"/>
        <v>Expense</v>
      </c>
      <c r="AC849" s="2" t="s">
        <v>215</v>
      </c>
      <c r="AD849" s="3">
        <f t="shared" si="262"/>
        <v>40778</v>
      </c>
      <c r="AE849" s="93" t="str">
        <f t="shared" si="263"/>
        <v>NO</v>
      </c>
      <c r="AF849" s="2" t="str">
        <f t="shared" si="264"/>
        <v>NO</v>
      </c>
      <c r="AG849" t="str">
        <f t="shared" si="265"/>
        <v>CRAP Transaction</v>
      </c>
    </row>
    <row r="850" spans="1:33" x14ac:dyDescent="0.25">
      <c r="A850" s="2">
        <v>849</v>
      </c>
      <c r="B850" s="3" t="str">
        <f t="shared" si="247"/>
        <v>120825-SH-AMA</v>
      </c>
      <c r="C850" s="3">
        <v>41146</v>
      </c>
      <c r="D850" s="3">
        <f t="shared" si="249"/>
        <v>41159</v>
      </c>
      <c r="E850" s="3">
        <f t="shared" si="250"/>
        <v>41207</v>
      </c>
      <c r="F850" s="3">
        <f t="shared" si="251"/>
        <v>41152</v>
      </c>
      <c r="G850" s="76">
        <f t="shared" si="252"/>
        <v>2012</v>
      </c>
      <c r="H850" s="76">
        <f t="shared" si="253"/>
        <v>8</v>
      </c>
      <c r="I850" s="76" t="str">
        <f>VLOOKUP(H850,'Lookup Values'!$C$2:$D$13,2,FALSE)</f>
        <v>AUG</v>
      </c>
      <c r="J850" s="76">
        <f t="shared" si="254"/>
        <v>25</v>
      </c>
      <c r="K850" s="76">
        <f t="shared" si="255"/>
        <v>7</v>
      </c>
      <c r="L850" s="76" t="str">
        <f>VLOOKUP(K850,'Lookup Values'!$F$2:$G$8,2,FALSE)</f>
        <v>Saturday</v>
      </c>
      <c r="M850" s="3">
        <v>41152</v>
      </c>
      <c r="N850" s="78">
        <f t="shared" si="248"/>
        <v>6</v>
      </c>
      <c r="O850" s="11">
        <v>0.97354860148420741</v>
      </c>
      <c r="P850" s="94">
        <f t="shared" si="256"/>
        <v>23</v>
      </c>
      <c r="Q850" s="94">
        <f t="shared" si="257"/>
        <v>21</v>
      </c>
      <c r="R850" s="94">
        <f t="shared" si="258"/>
        <v>55</v>
      </c>
      <c r="S850" s="94" t="str">
        <f>VLOOKUP(O850,'Lookup Values'!$I$2:$L$8,4,TRUE)</f>
        <v>Late Evening</v>
      </c>
      <c r="T850" t="s">
        <v>83</v>
      </c>
      <c r="U850" t="s">
        <v>84</v>
      </c>
      <c r="V850" t="str">
        <f t="shared" si="259"/>
        <v>Shopping: Electronics</v>
      </c>
      <c r="W850" t="s">
        <v>82</v>
      </c>
      <c r="X850" t="s">
        <v>88</v>
      </c>
      <c r="Y850" s="1">
        <v>458</v>
      </c>
      <c r="Z850" s="1" t="str">
        <f t="shared" si="260"/>
        <v>Shopping: $458.00</v>
      </c>
      <c r="AA850" s="1">
        <f>IF(Y850="","",ROUND(Y850*'Lookup Values'!$A$2,2))</f>
        <v>40.65</v>
      </c>
      <c r="AB850" s="12" t="str">
        <f t="shared" si="261"/>
        <v>Expense</v>
      </c>
      <c r="AC850" s="2" t="s">
        <v>865</v>
      </c>
      <c r="AD850" s="3">
        <f t="shared" si="262"/>
        <v>41146</v>
      </c>
      <c r="AE850" s="93" t="str">
        <f t="shared" si="263"/>
        <v>YES</v>
      </c>
      <c r="AF850" s="2" t="str">
        <f t="shared" si="264"/>
        <v>YES</v>
      </c>
      <c r="AG850" t="str">
        <f t="shared" si="265"/>
        <v>CRAP Transaction</v>
      </c>
    </row>
    <row r="851" spans="1:33" x14ac:dyDescent="0.25">
      <c r="A851" s="2">
        <v>850</v>
      </c>
      <c r="B851" s="3" t="str">
        <f t="shared" si="247"/>
        <v>070211-EN-MOE</v>
      </c>
      <c r="C851" s="3">
        <v>39124</v>
      </c>
      <c r="D851" s="3">
        <f t="shared" si="249"/>
        <v>39136</v>
      </c>
      <c r="E851" s="3">
        <f t="shared" si="250"/>
        <v>39183</v>
      </c>
      <c r="F851" s="3">
        <f t="shared" si="251"/>
        <v>39141</v>
      </c>
      <c r="G851" s="76">
        <f t="shared" si="252"/>
        <v>2007</v>
      </c>
      <c r="H851" s="76">
        <f t="shared" si="253"/>
        <v>2</v>
      </c>
      <c r="I851" s="76" t="str">
        <f>VLOOKUP(H851,'Lookup Values'!$C$2:$D$13,2,FALSE)</f>
        <v>FEB</v>
      </c>
      <c r="J851" s="76">
        <f t="shared" si="254"/>
        <v>11</v>
      </c>
      <c r="K851" s="76">
        <f t="shared" si="255"/>
        <v>1</v>
      </c>
      <c r="L851" s="76" t="str">
        <f>VLOOKUP(K851,'Lookup Values'!$F$2:$G$8,2,FALSE)</f>
        <v>Sunday</v>
      </c>
      <c r="M851" s="3">
        <v>39127</v>
      </c>
      <c r="N851" s="78">
        <f t="shared" si="248"/>
        <v>3</v>
      </c>
      <c r="O851" s="11">
        <v>6.0482860507095948E-2</v>
      </c>
      <c r="P851" s="94">
        <f t="shared" si="256"/>
        <v>1</v>
      </c>
      <c r="Q851" s="94">
        <f t="shared" si="257"/>
        <v>27</v>
      </c>
      <c r="R851" s="94">
        <f t="shared" si="258"/>
        <v>6</v>
      </c>
      <c r="S851" s="94" t="str">
        <f>VLOOKUP(O851,'Lookup Values'!$I$2:$L$8,4,TRUE)</f>
        <v>Dead of Night</v>
      </c>
      <c r="T851" t="s">
        <v>76</v>
      </c>
      <c r="U851" t="s">
        <v>77</v>
      </c>
      <c r="V851" t="str">
        <f t="shared" si="259"/>
        <v>Entertainment: Alcohol</v>
      </c>
      <c r="W851" t="s">
        <v>75</v>
      </c>
      <c r="X851" t="s">
        <v>88</v>
      </c>
      <c r="Y851" s="1">
        <v>127</v>
      </c>
      <c r="Z851" s="1" t="str">
        <f t="shared" si="260"/>
        <v>Entertainment: $127.00</v>
      </c>
      <c r="AA851" s="1">
        <f>IF(Y851="","",ROUND(Y851*'Lookup Values'!$A$2,2))</f>
        <v>11.27</v>
      </c>
      <c r="AB851" s="12" t="str">
        <f t="shared" si="261"/>
        <v>Expense</v>
      </c>
      <c r="AC851" s="2" t="s">
        <v>830</v>
      </c>
      <c r="AD851" s="3">
        <f t="shared" si="262"/>
        <v>39124</v>
      </c>
      <c r="AE851" s="93" t="str">
        <f t="shared" si="263"/>
        <v>NO</v>
      </c>
      <c r="AF851" s="2" t="str">
        <f t="shared" si="264"/>
        <v>NO</v>
      </c>
      <c r="AG851" t="str">
        <f t="shared" si="265"/>
        <v>Awesome Transaction</v>
      </c>
    </row>
    <row r="852" spans="1:33" x14ac:dyDescent="0.25">
      <c r="A852" s="2">
        <v>851</v>
      </c>
      <c r="B852" s="3" t="str">
        <f t="shared" si="247"/>
        <v>070209-ED-SKI</v>
      </c>
      <c r="C852" s="3">
        <v>39122</v>
      </c>
      <c r="D852" s="3">
        <f t="shared" si="249"/>
        <v>39136</v>
      </c>
      <c r="E852" s="3">
        <f t="shared" si="250"/>
        <v>39181</v>
      </c>
      <c r="F852" s="3">
        <f t="shared" si="251"/>
        <v>39141</v>
      </c>
      <c r="G852" s="76">
        <f t="shared" si="252"/>
        <v>2007</v>
      </c>
      <c r="H852" s="76">
        <f t="shared" si="253"/>
        <v>2</v>
      </c>
      <c r="I852" s="76" t="str">
        <f>VLOOKUP(H852,'Lookup Values'!$C$2:$D$13,2,FALSE)</f>
        <v>FEB</v>
      </c>
      <c r="J852" s="76">
        <f t="shared" si="254"/>
        <v>9</v>
      </c>
      <c r="K852" s="76">
        <f t="shared" si="255"/>
        <v>6</v>
      </c>
      <c r="L852" s="76" t="str">
        <f>VLOOKUP(K852,'Lookup Values'!$F$2:$G$8,2,FALSE)</f>
        <v>Friday</v>
      </c>
      <c r="M852" s="3">
        <v>39132</v>
      </c>
      <c r="N852" s="78">
        <f t="shared" si="248"/>
        <v>10</v>
      </c>
      <c r="O852" s="11">
        <v>0.86185560833711139</v>
      </c>
      <c r="P852" s="94">
        <f t="shared" si="256"/>
        <v>20</v>
      </c>
      <c r="Q852" s="94">
        <f t="shared" si="257"/>
        <v>41</v>
      </c>
      <c r="R852" s="94">
        <f t="shared" si="258"/>
        <v>4</v>
      </c>
      <c r="S852" s="94" t="str">
        <f>VLOOKUP(O852,'Lookup Values'!$I$2:$L$8,4,TRUE)</f>
        <v>Evening</v>
      </c>
      <c r="T852" t="s">
        <v>86</v>
      </c>
      <c r="U852" t="s">
        <v>98</v>
      </c>
      <c r="V852" t="str">
        <f t="shared" si="259"/>
        <v>Education: Professional Development</v>
      </c>
      <c r="W852" t="s">
        <v>97</v>
      </c>
      <c r="X852" t="s">
        <v>88</v>
      </c>
      <c r="Y852" s="1">
        <v>329</v>
      </c>
      <c r="Z852" s="1" t="str">
        <f t="shared" si="260"/>
        <v>Education: $329.00</v>
      </c>
      <c r="AA852" s="1">
        <f>IF(Y852="","",ROUND(Y852*'Lookup Values'!$A$2,2))</f>
        <v>29.2</v>
      </c>
      <c r="AB852" s="12" t="str">
        <f t="shared" si="261"/>
        <v>Expense</v>
      </c>
      <c r="AC852" s="2" t="s">
        <v>866</v>
      </c>
      <c r="AD852" s="3">
        <f t="shared" si="262"/>
        <v>39122</v>
      </c>
      <c r="AE852" s="93" t="str">
        <f t="shared" si="263"/>
        <v>YES</v>
      </c>
      <c r="AF852" s="2" t="str">
        <f t="shared" si="264"/>
        <v>NO</v>
      </c>
      <c r="AG852" t="str">
        <f t="shared" si="265"/>
        <v>Late Transaction</v>
      </c>
    </row>
    <row r="853" spans="1:33" x14ac:dyDescent="0.25">
      <c r="A853" s="2">
        <v>852</v>
      </c>
      <c r="B853" s="3" t="str">
        <f t="shared" si="247"/>
        <v>091016-SH-EXP</v>
      </c>
      <c r="C853" s="3">
        <v>40102</v>
      </c>
      <c r="D853" s="3">
        <f t="shared" si="249"/>
        <v>40116</v>
      </c>
      <c r="E853" s="3">
        <f t="shared" si="250"/>
        <v>40163</v>
      </c>
      <c r="F853" s="3">
        <f t="shared" si="251"/>
        <v>40117</v>
      </c>
      <c r="G853" s="76">
        <f t="shared" si="252"/>
        <v>2009</v>
      </c>
      <c r="H853" s="76">
        <f t="shared" si="253"/>
        <v>10</v>
      </c>
      <c r="I853" s="76" t="str">
        <f>VLOOKUP(H853,'Lookup Values'!$C$2:$D$13,2,FALSE)</f>
        <v>OCT</v>
      </c>
      <c r="J853" s="76">
        <f t="shared" si="254"/>
        <v>16</v>
      </c>
      <c r="K853" s="76">
        <f t="shared" si="255"/>
        <v>6</v>
      </c>
      <c r="L853" s="76" t="str">
        <f>VLOOKUP(K853,'Lookup Values'!$F$2:$G$8,2,FALSE)</f>
        <v>Friday</v>
      </c>
      <c r="M853" s="3">
        <v>40107</v>
      </c>
      <c r="N853" s="78">
        <f t="shared" si="248"/>
        <v>5</v>
      </c>
      <c r="O853" s="11">
        <v>0.22841854723058141</v>
      </c>
      <c r="P853" s="94">
        <f t="shared" si="256"/>
        <v>5</v>
      </c>
      <c r="Q853" s="94">
        <f t="shared" si="257"/>
        <v>28</v>
      </c>
      <c r="R853" s="94">
        <f t="shared" si="258"/>
        <v>55</v>
      </c>
      <c r="S853" s="94" t="str">
        <f>VLOOKUP(O853,'Lookup Values'!$I$2:$L$8,4,TRUE)</f>
        <v>Early Morning</v>
      </c>
      <c r="T853" t="s">
        <v>83</v>
      </c>
      <c r="U853" t="s">
        <v>103</v>
      </c>
      <c r="V853" t="str">
        <f t="shared" si="259"/>
        <v>Shopping: Clothing</v>
      </c>
      <c r="W853" t="s">
        <v>102</v>
      </c>
      <c r="X853" t="s">
        <v>91</v>
      </c>
      <c r="Y853" s="1">
        <v>494</v>
      </c>
      <c r="Z853" s="1" t="str">
        <f t="shared" si="260"/>
        <v>Shopping: $494.00</v>
      </c>
      <c r="AA853" s="1">
        <f>IF(Y853="","",ROUND(Y853*'Lookup Values'!$A$2,2))</f>
        <v>43.84</v>
      </c>
      <c r="AB853" s="12" t="str">
        <f t="shared" si="261"/>
        <v>Expense</v>
      </c>
      <c r="AC853" s="2" t="s">
        <v>867</v>
      </c>
      <c r="AD853" s="3">
        <f t="shared" si="262"/>
        <v>40102</v>
      </c>
      <c r="AE853" s="93" t="str">
        <f t="shared" si="263"/>
        <v>NO</v>
      </c>
      <c r="AF853" s="2" t="str">
        <f t="shared" si="264"/>
        <v>NO</v>
      </c>
      <c r="AG853" t="str">
        <f t="shared" si="265"/>
        <v>Awesome Transaction</v>
      </c>
    </row>
    <row r="854" spans="1:33" x14ac:dyDescent="0.25">
      <c r="A854" s="2">
        <v>853</v>
      </c>
      <c r="B854" s="3" t="str">
        <f t="shared" si="247"/>
        <v>110221-SH-EXP</v>
      </c>
      <c r="C854" s="3">
        <v>40595</v>
      </c>
      <c r="D854" s="3">
        <f t="shared" si="249"/>
        <v>40609</v>
      </c>
      <c r="E854" s="3">
        <f t="shared" si="250"/>
        <v>40654</v>
      </c>
      <c r="F854" s="3">
        <f t="shared" si="251"/>
        <v>40602</v>
      </c>
      <c r="G854" s="76">
        <f t="shared" si="252"/>
        <v>2011</v>
      </c>
      <c r="H854" s="76">
        <f t="shared" si="253"/>
        <v>2</v>
      </c>
      <c r="I854" s="76" t="str">
        <f>VLOOKUP(H854,'Lookup Values'!$C$2:$D$13,2,FALSE)</f>
        <v>FEB</v>
      </c>
      <c r="J854" s="76">
        <f t="shared" si="254"/>
        <v>21</v>
      </c>
      <c r="K854" s="76">
        <f t="shared" si="255"/>
        <v>2</v>
      </c>
      <c r="L854" s="76" t="str">
        <f>VLOOKUP(K854,'Lookup Values'!$F$2:$G$8,2,FALSE)</f>
        <v>Monday</v>
      </c>
      <c r="M854" s="3">
        <v>40600</v>
      </c>
      <c r="N854" s="78">
        <f t="shared" si="248"/>
        <v>5</v>
      </c>
      <c r="O854" s="11">
        <v>3.5463712802258796E-2</v>
      </c>
      <c r="P854" s="94">
        <f t="shared" si="256"/>
        <v>0</v>
      </c>
      <c r="Q854" s="94">
        <f t="shared" si="257"/>
        <v>51</v>
      </c>
      <c r="R854" s="94">
        <f t="shared" si="258"/>
        <v>4</v>
      </c>
      <c r="S854" s="94" t="str">
        <f>VLOOKUP(O854,'Lookup Values'!$I$2:$L$8,4,TRUE)</f>
        <v>Dead of Night</v>
      </c>
      <c r="T854" t="s">
        <v>83</v>
      </c>
      <c r="U854" t="s">
        <v>103</v>
      </c>
      <c r="V854" t="str">
        <f t="shared" si="259"/>
        <v>Shopping: Clothing</v>
      </c>
      <c r="W854" t="s">
        <v>102</v>
      </c>
      <c r="X854" t="s">
        <v>78</v>
      </c>
      <c r="Y854" s="1">
        <v>31</v>
      </c>
      <c r="Z854" s="1" t="str">
        <f t="shared" si="260"/>
        <v>Shopping: $31.00</v>
      </c>
      <c r="AA854" s="1">
        <f>IF(Y854="","",ROUND(Y854*'Lookup Values'!$A$2,2))</f>
        <v>2.75</v>
      </c>
      <c r="AB854" s="12" t="str">
        <f t="shared" si="261"/>
        <v>Expense</v>
      </c>
      <c r="AC854" s="2" t="s">
        <v>868</v>
      </c>
      <c r="AD854" s="3">
        <f t="shared" si="262"/>
        <v>40595</v>
      </c>
      <c r="AE854" s="93" t="str">
        <f t="shared" si="263"/>
        <v>NO</v>
      </c>
      <c r="AF854" s="2" t="str">
        <f t="shared" si="264"/>
        <v>NO</v>
      </c>
      <c r="AG854" t="str">
        <f t="shared" si="265"/>
        <v>CRAP Transaction</v>
      </c>
    </row>
    <row r="855" spans="1:33" x14ac:dyDescent="0.25">
      <c r="A855" s="2">
        <v>854</v>
      </c>
      <c r="B855" s="3" t="str">
        <f t="shared" si="247"/>
        <v>070109-FO-TRA</v>
      </c>
      <c r="C855" s="3">
        <v>39091</v>
      </c>
      <c r="D855" s="3">
        <f t="shared" si="249"/>
        <v>39105</v>
      </c>
      <c r="E855" s="3">
        <f t="shared" si="250"/>
        <v>39150</v>
      </c>
      <c r="F855" s="3">
        <f t="shared" si="251"/>
        <v>39113</v>
      </c>
      <c r="G855" s="76">
        <f t="shared" si="252"/>
        <v>2007</v>
      </c>
      <c r="H855" s="76">
        <f t="shared" si="253"/>
        <v>1</v>
      </c>
      <c r="I855" s="76" t="str">
        <f>VLOOKUP(H855,'Lookup Values'!$C$2:$D$13,2,FALSE)</f>
        <v>JAN</v>
      </c>
      <c r="J855" s="76">
        <f t="shared" si="254"/>
        <v>9</v>
      </c>
      <c r="K855" s="76">
        <f t="shared" si="255"/>
        <v>3</v>
      </c>
      <c r="L855" s="76" t="str">
        <f>VLOOKUP(K855,'Lookup Values'!$F$2:$G$8,2,FALSE)</f>
        <v>Tuesday</v>
      </c>
      <c r="M855" s="3">
        <v>39092</v>
      </c>
      <c r="N855" s="78">
        <f t="shared" si="248"/>
        <v>1</v>
      </c>
      <c r="O855" s="11">
        <v>8.0173970193506583E-2</v>
      </c>
      <c r="P855" s="94">
        <f t="shared" si="256"/>
        <v>1</v>
      </c>
      <c r="Q855" s="94">
        <f t="shared" si="257"/>
        <v>55</v>
      </c>
      <c r="R855" s="94">
        <f t="shared" si="258"/>
        <v>27</v>
      </c>
      <c r="S855" s="94" t="str">
        <f>VLOOKUP(O855,'Lookup Values'!$I$2:$L$8,4,TRUE)</f>
        <v>Dead of Night</v>
      </c>
      <c r="T855" t="s">
        <v>80</v>
      </c>
      <c r="U855" t="s">
        <v>93</v>
      </c>
      <c r="V855" t="str">
        <f t="shared" si="259"/>
        <v>Food: Groceries</v>
      </c>
      <c r="W855" t="s">
        <v>92</v>
      </c>
      <c r="X855" t="s">
        <v>91</v>
      </c>
      <c r="Y855" s="1">
        <v>9</v>
      </c>
      <c r="Z855" s="1" t="str">
        <f t="shared" si="260"/>
        <v>Food: $9.00</v>
      </c>
      <c r="AA855" s="1">
        <f>IF(Y855="","",ROUND(Y855*'Lookup Values'!$A$2,2))</f>
        <v>0.8</v>
      </c>
      <c r="AB855" s="12" t="str">
        <f t="shared" si="261"/>
        <v>Expense</v>
      </c>
      <c r="AC855" s="2" t="s">
        <v>869</v>
      </c>
      <c r="AD855" s="3">
        <f t="shared" si="262"/>
        <v>39091</v>
      </c>
      <c r="AE855" s="93" t="str">
        <f t="shared" si="263"/>
        <v>NO</v>
      </c>
      <c r="AF855" s="2" t="str">
        <f t="shared" si="264"/>
        <v>NO</v>
      </c>
      <c r="AG855" t="str">
        <f t="shared" si="265"/>
        <v>Awesome Transaction</v>
      </c>
    </row>
    <row r="856" spans="1:33" x14ac:dyDescent="0.25">
      <c r="A856" s="2">
        <v>855</v>
      </c>
      <c r="B856" s="3" t="str">
        <f t="shared" si="247"/>
        <v>070807-ED-ANT</v>
      </c>
      <c r="C856" s="3">
        <v>39301</v>
      </c>
      <c r="D856" s="3">
        <f t="shared" si="249"/>
        <v>39315</v>
      </c>
      <c r="E856" s="3">
        <f t="shared" si="250"/>
        <v>39362</v>
      </c>
      <c r="F856" s="3">
        <f t="shared" si="251"/>
        <v>39325</v>
      </c>
      <c r="G856" s="76">
        <f t="shared" si="252"/>
        <v>2007</v>
      </c>
      <c r="H856" s="76">
        <f t="shared" si="253"/>
        <v>8</v>
      </c>
      <c r="I856" s="76" t="str">
        <f>VLOOKUP(H856,'Lookup Values'!$C$2:$D$13,2,FALSE)</f>
        <v>AUG</v>
      </c>
      <c r="J856" s="76">
        <f t="shared" si="254"/>
        <v>7</v>
      </c>
      <c r="K856" s="76">
        <f t="shared" si="255"/>
        <v>3</v>
      </c>
      <c r="L856" s="76" t="str">
        <f>VLOOKUP(K856,'Lookup Values'!$F$2:$G$8,2,FALSE)</f>
        <v>Tuesday</v>
      </c>
      <c r="M856" s="3">
        <v>39307</v>
      </c>
      <c r="N856" s="78">
        <f t="shared" si="248"/>
        <v>6</v>
      </c>
      <c r="O856" s="11">
        <v>0.62551306776457694</v>
      </c>
      <c r="P856" s="94">
        <f t="shared" si="256"/>
        <v>15</v>
      </c>
      <c r="Q856" s="94">
        <f t="shared" si="257"/>
        <v>0</v>
      </c>
      <c r="R856" s="94">
        <f t="shared" si="258"/>
        <v>44</v>
      </c>
      <c r="S856" s="94" t="str">
        <f>VLOOKUP(O856,'Lookup Values'!$I$2:$L$8,4,TRUE)</f>
        <v>Afternoon</v>
      </c>
      <c r="T856" t="s">
        <v>86</v>
      </c>
      <c r="U856" t="s">
        <v>87</v>
      </c>
      <c r="V856" t="str">
        <f t="shared" si="259"/>
        <v>Education: Tango Lessons</v>
      </c>
      <c r="W856" t="s">
        <v>85</v>
      </c>
      <c r="X856" t="s">
        <v>78</v>
      </c>
      <c r="Y856" s="1">
        <v>35</v>
      </c>
      <c r="Z856" s="1" t="str">
        <f t="shared" si="260"/>
        <v>Education: $35.00</v>
      </c>
      <c r="AA856" s="1">
        <f>IF(Y856="","",ROUND(Y856*'Lookup Values'!$A$2,2))</f>
        <v>3.11</v>
      </c>
      <c r="AB856" s="12" t="str">
        <f t="shared" si="261"/>
        <v>Expense</v>
      </c>
      <c r="AC856" s="2" t="s">
        <v>870</v>
      </c>
      <c r="AD856" s="3">
        <f t="shared" si="262"/>
        <v>39301</v>
      </c>
      <c r="AE856" s="93" t="str">
        <f t="shared" si="263"/>
        <v>NO</v>
      </c>
      <c r="AF856" s="2" t="str">
        <f t="shared" si="264"/>
        <v>NO</v>
      </c>
      <c r="AG856" t="str">
        <f t="shared" si="265"/>
        <v>Late Transaction</v>
      </c>
    </row>
    <row r="857" spans="1:33" x14ac:dyDescent="0.25">
      <c r="A857" s="2">
        <v>856</v>
      </c>
      <c r="B857" s="3" t="str">
        <f t="shared" si="247"/>
        <v>090616-FO-CIT</v>
      </c>
      <c r="C857" s="3">
        <v>39980</v>
      </c>
      <c r="D857" s="3">
        <f t="shared" si="249"/>
        <v>39994</v>
      </c>
      <c r="E857" s="3">
        <f t="shared" si="250"/>
        <v>40041</v>
      </c>
      <c r="F857" s="3">
        <f t="shared" si="251"/>
        <v>39994</v>
      </c>
      <c r="G857" s="76">
        <f t="shared" si="252"/>
        <v>2009</v>
      </c>
      <c r="H857" s="76">
        <f t="shared" si="253"/>
        <v>6</v>
      </c>
      <c r="I857" s="76" t="str">
        <f>VLOOKUP(H857,'Lookup Values'!$C$2:$D$13,2,FALSE)</f>
        <v>JUN</v>
      </c>
      <c r="J857" s="76">
        <f t="shared" si="254"/>
        <v>16</v>
      </c>
      <c r="K857" s="76">
        <f t="shared" si="255"/>
        <v>3</v>
      </c>
      <c r="L857" s="76" t="str">
        <f>VLOOKUP(K857,'Lookup Values'!$F$2:$G$8,2,FALSE)</f>
        <v>Tuesday</v>
      </c>
      <c r="M857" s="3">
        <v>39983</v>
      </c>
      <c r="N857" s="78">
        <f t="shared" si="248"/>
        <v>3</v>
      </c>
      <c r="O857" s="11">
        <v>6.5402591489337469E-3</v>
      </c>
      <c r="P857" s="94">
        <f t="shared" si="256"/>
        <v>0</v>
      </c>
      <c r="Q857" s="94">
        <f t="shared" si="257"/>
        <v>9</v>
      </c>
      <c r="R857" s="94">
        <f t="shared" si="258"/>
        <v>25</v>
      </c>
      <c r="S857" s="94" t="str">
        <f>VLOOKUP(O857,'Lookup Values'!$I$2:$L$8,4,TRUE)</f>
        <v>Dead of Night</v>
      </c>
      <c r="T857" t="s">
        <v>80</v>
      </c>
      <c r="U857" t="s">
        <v>105</v>
      </c>
      <c r="V857" t="str">
        <f t="shared" si="259"/>
        <v>Food: Coffee</v>
      </c>
      <c r="W857" t="s">
        <v>104</v>
      </c>
      <c r="X857" t="s">
        <v>78</v>
      </c>
      <c r="Y857" s="1">
        <v>327</v>
      </c>
      <c r="Z857" s="1" t="str">
        <f t="shared" si="260"/>
        <v>Food: $327.00</v>
      </c>
      <c r="AA857" s="1">
        <f>IF(Y857="","",ROUND(Y857*'Lookup Values'!$A$2,2))</f>
        <v>29.02</v>
      </c>
      <c r="AB857" s="12" t="str">
        <f t="shared" si="261"/>
        <v>Expense</v>
      </c>
      <c r="AC857" s="2" t="s">
        <v>859</v>
      </c>
      <c r="AD857" s="3">
        <f t="shared" si="262"/>
        <v>39980</v>
      </c>
      <c r="AE857" s="93" t="str">
        <f t="shared" si="263"/>
        <v>NO</v>
      </c>
      <c r="AF857" s="2" t="str">
        <f t="shared" si="264"/>
        <v>NO</v>
      </c>
      <c r="AG857" t="str">
        <f t="shared" si="265"/>
        <v>Awesome Transaction</v>
      </c>
    </row>
    <row r="858" spans="1:33" x14ac:dyDescent="0.25">
      <c r="A858" s="2">
        <v>857</v>
      </c>
      <c r="B858" s="3" t="str">
        <f t="shared" si="247"/>
        <v>101228-HO-BED</v>
      </c>
      <c r="C858" s="3">
        <v>40540</v>
      </c>
      <c r="D858" s="3">
        <f t="shared" si="249"/>
        <v>40554</v>
      </c>
      <c r="E858" s="3">
        <f t="shared" si="250"/>
        <v>40602</v>
      </c>
      <c r="F858" s="3">
        <f t="shared" si="251"/>
        <v>40543</v>
      </c>
      <c r="G858" s="76">
        <f t="shared" si="252"/>
        <v>2010</v>
      </c>
      <c r="H858" s="76">
        <f t="shared" si="253"/>
        <v>12</v>
      </c>
      <c r="I858" s="76" t="str">
        <f>VLOOKUP(H858,'Lookup Values'!$C$2:$D$13,2,FALSE)</f>
        <v>DEC</v>
      </c>
      <c r="J858" s="76">
        <f t="shared" si="254"/>
        <v>28</v>
      </c>
      <c r="K858" s="76">
        <f t="shared" si="255"/>
        <v>3</v>
      </c>
      <c r="L858" s="76" t="str">
        <f>VLOOKUP(K858,'Lookup Values'!$F$2:$G$8,2,FALSE)</f>
        <v>Tuesday</v>
      </c>
      <c r="M858" s="3">
        <v>40547</v>
      </c>
      <c r="N858" s="78">
        <f t="shared" si="248"/>
        <v>7</v>
      </c>
      <c r="O858" s="11">
        <v>0.21093198643878874</v>
      </c>
      <c r="P858" s="94">
        <f t="shared" si="256"/>
        <v>5</v>
      </c>
      <c r="Q858" s="94">
        <f t="shared" si="257"/>
        <v>3</v>
      </c>
      <c r="R858" s="94">
        <f t="shared" si="258"/>
        <v>45</v>
      </c>
      <c r="S858" s="94" t="str">
        <f>VLOOKUP(O858,'Lookup Values'!$I$2:$L$8,4,TRUE)</f>
        <v>Early Morning</v>
      </c>
      <c r="T858" t="s">
        <v>100</v>
      </c>
      <c r="U858" t="s">
        <v>101</v>
      </c>
      <c r="V858" t="str">
        <f t="shared" si="259"/>
        <v>Home: Cleaning Supplies</v>
      </c>
      <c r="W858" t="s">
        <v>99</v>
      </c>
      <c r="X858" t="s">
        <v>78</v>
      </c>
      <c r="Y858" s="1">
        <v>316</v>
      </c>
      <c r="Z858" s="1" t="str">
        <f t="shared" si="260"/>
        <v>Home: $316.00</v>
      </c>
      <c r="AA858" s="1">
        <f>IF(Y858="","",ROUND(Y858*'Lookup Values'!$A$2,2))</f>
        <v>28.05</v>
      </c>
      <c r="AB858" s="12" t="str">
        <f t="shared" si="261"/>
        <v>Expense</v>
      </c>
      <c r="AC858" s="2" t="s">
        <v>871</v>
      </c>
      <c r="AD858" s="3">
        <f t="shared" si="262"/>
        <v>40540</v>
      </c>
      <c r="AE858" s="93" t="str">
        <f t="shared" si="263"/>
        <v>NO</v>
      </c>
      <c r="AF858" s="2" t="str">
        <f t="shared" si="264"/>
        <v>NO</v>
      </c>
      <c r="AG858" t="str">
        <f t="shared" si="265"/>
        <v>Late Transaction</v>
      </c>
    </row>
    <row r="859" spans="1:33" x14ac:dyDescent="0.25">
      <c r="A859" s="2">
        <v>858</v>
      </c>
      <c r="B859" s="3" t="str">
        <f t="shared" si="247"/>
        <v>090211-IN-LEG</v>
      </c>
      <c r="C859" s="3">
        <v>39855</v>
      </c>
      <c r="D859" s="3">
        <f t="shared" si="249"/>
        <v>39869</v>
      </c>
      <c r="E859" s="3">
        <f t="shared" si="250"/>
        <v>39914</v>
      </c>
      <c r="F859" s="3">
        <f t="shared" si="251"/>
        <v>39872</v>
      </c>
      <c r="G859" s="76">
        <f t="shared" si="252"/>
        <v>2009</v>
      </c>
      <c r="H859" s="76">
        <f t="shared" si="253"/>
        <v>2</v>
      </c>
      <c r="I859" s="76" t="str">
        <f>VLOOKUP(H859,'Lookup Values'!$C$2:$D$13,2,FALSE)</f>
        <v>FEB</v>
      </c>
      <c r="J859" s="76">
        <f t="shared" si="254"/>
        <v>11</v>
      </c>
      <c r="K859" s="76">
        <f t="shared" si="255"/>
        <v>4</v>
      </c>
      <c r="L859" s="76" t="str">
        <f>VLOOKUP(K859,'Lookup Values'!$F$2:$G$8,2,FALSE)</f>
        <v>Wednesday</v>
      </c>
      <c r="M859" s="3">
        <v>39864</v>
      </c>
      <c r="N859" s="78">
        <f t="shared" si="248"/>
        <v>9</v>
      </c>
      <c r="O859" s="11">
        <v>0.4111035607849518</v>
      </c>
      <c r="P859" s="94">
        <f t="shared" si="256"/>
        <v>9</v>
      </c>
      <c r="Q859" s="94">
        <f t="shared" si="257"/>
        <v>51</v>
      </c>
      <c r="R859" s="94">
        <f t="shared" si="258"/>
        <v>59</v>
      </c>
      <c r="S859" s="94" t="str">
        <f>VLOOKUP(O859,'Lookup Values'!$I$2:$L$8,4,TRUE)</f>
        <v>Morning</v>
      </c>
      <c r="T859" t="s">
        <v>158</v>
      </c>
      <c r="U859" t="s">
        <v>160</v>
      </c>
      <c r="V859" t="str">
        <f t="shared" si="259"/>
        <v>Income: Freelance Project</v>
      </c>
      <c r="W859" t="s">
        <v>163</v>
      </c>
      <c r="X859" t="s">
        <v>78</v>
      </c>
      <c r="Y859" s="1">
        <v>60</v>
      </c>
      <c r="Z859" s="1" t="str">
        <f t="shared" si="260"/>
        <v>Income: $60.00</v>
      </c>
      <c r="AA859" s="1">
        <f>IF(Y859="","",ROUND(Y859*'Lookup Values'!$A$2,2))</f>
        <v>5.33</v>
      </c>
      <c r="AB859" s="12" t="str">
        <f t="shared" si="261"/>
        <v>Income</v>
      </c>
      <c r="AC859" s="2" t="s">
        <v>872</v>
      </c>
      <c r="AD859" s="3">
        <f t="shared" si="262"/>
        <v>39855</v>
      </c>
      <c r="AE859" s="93" t="str">
        <f t="shared" si="263"/>
        <v>NO</v>
      </c>
      <c r="AF859" s="2" t="str">
        <f t="shared" si="264"/>
        <v>NO</v>
      </c>
      <c r="AG859" t="str">
        <f t="shared" si="265"/>
        <v>Late Transaction</v>
      </c>
    </row>
    <row r="860" spans="1:33" x14ac:dyDescent="0.25">
      <c r="A860" s="2">
        <v>859</v>
      </c>
      <c r="B860" s="3" t="str">
        <f t="shared" si="247"/>
        <v>100927-FO-BAN</v>
      </c>
      <c r="C860" s="3">
        <v>40448</v>
      </c>
      <c r="D860" s="3">
        <f t="shared" si="249"/>
        <v>40462</v>
      </c>
      <c r="E860" s="3">
        <f t="shared" si="250"/>
        <v>40509</v>
      </c>
      <c r="F860" s="3">
        <f t="shared" si="251"/>
        <v>40451</v>
      </c>
      <c r="G860" s="76">
        <f t="shared" si="252"/>
        <v>2010</v>
      </c>
      <c r="H860" s="76">
        <f t="shared" si="253"/>
        <v>9</v>
      </c>
      <c r="I860" s="76" t="str">
        <f>VLOOKUP(H860,'Lookup Values'!$C$2:$D$13,2,FALSE)</f>
        <v>SEP</v>
      </c>
      <c r="J860" s="76">
        <f t="shared" si="254"/>
        <v>27</v>
      </c>
      <c r="K860" s="76">
        <f t="shared" si="255"/>
        <v>2</v>
      </c>
      <c r="L860" s="76" t="str">
        <f>VLOOKUP(K860,'Lookup Values'!$F$2:$G$8,2,FALSE)</f>
        <v>Monday</v>
      </c>
      <c r="M860" s="3">
        <v>40453</v>
      </c>
      <c r="N860" s="78">
        <f t="shared" si="248"/>
        <v>5</v>
      </c>
      <c r="O860" s="11">
        <v>0.43679051709603567</v>
      </c>
      <c r="P860" s="94">
        <f t="shared" si="256"/>
        <v>10</v>
      </c>
      <c r="Q860" s="94">
        <f t="shared" si="257"/>
        <v>28</v>
      </c>
      <c r="R860" s="94">
        <f t="shared" si="258"/>
        <v>59</v>
      </c>
      <c r="S860" s="94" t="str">
        <f>VLOOKUP(O860,'Lookup Values'!$I$2:$L$8,4,TRUE)</f>
        <v>Late Morning</v>
      </c>
      <c r="T860" t="s">
        <v>80</v>
      </c>
      <c r="U860" t="s">
        <v>81</v>
      </c>
      <c r="V860" t="str">
        <f t="shared" si="259"/>
        <v>Food: Restaurants</v>
      </c>
      <c r="W860" t="s">
        <v>79</v>
      </c>
      <c r="X860" t="s">
        <v>88</v>
      </c>
      <c r="Y860" s="1">
        <v>30</v>
      </c>
      <c r="Z860" s="1" t="str">
        <f t="shared" si="260"/>
        <v>Food: $30.00</v>
      </c>
      <c r="AA860" s="1">
        <f>IF(Y860="","",ROUND(Y860*'Lookup Values'!$A$2,2))</f>
        <v>2.66</v>
      </c>
      <c r="AB860" s="12" t="str">
        <f t="shared" si="261"/>
        <v>Expense</v>
      </c>
      <c r="AC860" s="2" t="s">
        <v>599</v>
      </c>
      <c r="AD860" s="3">
        <f t="shared" si="262"/>
        <v>40448</v>
      </c>
      <c r="AE860" s="93" t="str">
        <f t="shared" si="263"/>
        <v>NO</v>
      </c>
      <c r="AF860" s="2" t="str">
        <f t="shared" si="264"/>
        <v>NO</v>
      </c>
      <c r="AG860" t="str">
        <f t="shared" si="265"/>
        <v>Late Transaction</v>
      </c>
    </row>
    <row r="861" spans="1:33" x14ac:dyDescent="0.25">
      <c r="A861" s="2">
        <v>860</v>
      </c>
      <c r="B861" s="3" t="str">
        <f t="shared" si="247"/>
        <v>070108-FO-CIT</v>
      </c>
      <c r="C861" s="3">
        <v>39090</v>
      </c>
      <c r="D861" s="3">
        <f t="shared" si="249"/>
        <v>39104</v>
      </c>
      <c r="E861" s="3">
        <f t="shared" si="250"/>
        <v>39149</v>
      </c>
      <c r="F861" s="3">
        <f t="shared" si="251"/>
        <v>39113</v>
      </c>
      <c r="G861" s="76">
        <f t="shared" si="252"/>
        <v>2007</v>
      </c>
      <c r="H861" s="76">
        <f t="shared" si="253"/>
        <v>1</v>
      </c>
      <c r="I861" s="76" t="str">
        <f>VLOOKUP(H861,'Lookup Values'!$C$2:$D$13,2,FALSE)</f>
        <v>JAN</v>
      </c>
      <c r="J861" s="76">
        <f t="shared" si="254"/>
        <v>8</v>
      </c>
      <c r="K861" s="76">
        <f t="shared" si="255"/>
        <v>2</v>
      </c>
      <c r="L861" s="76" t="str">
        <f>VLOOKUP(K861,'Lookup Values'!$F$2:$G$8,2,FALSE)</f>
        <v>Monday</v>
      </c>
      <c r="M861" s="3">
        <v>39097</v>
      </c>
      <c r="N861" s="78">
        <f t="shared" si="248"/>
        <v>7</v>
      </c>
      <c r="O861" s="11">
        <v>0.95829188711292523</v>
      </c>
      <c r="P861" s="94">
        <f t="shared" si="256"/>
        <v>22</v>
      </c>
      <c r="Q861" s="94">
        <f t="shared" si="257"/>
        <v>59</v>
      </c>
      <c r="R861" s="94">
        <f t="shared" si="258"/>
        <v>56</v>
      </c>
      <c r="S861" s="94" t="str">
        <f>VLOOKUP(O861,'Lookup Values'!$I$2:$L$8,4,TRUE)</f>
        <v>Late Evening</v>
      </c>
      <c r="T861" t="s">
        <v>80</v>
      </c>
      <c r="U861" t="s">
        <v>105</v>
      </c>
      <c r="V861" t="str">
        <f t="shared" si="259"/>
        <v>Food: Coffee</v>
      </c>
      <c r="W861" t="s">
        <v>104</v>
      </c>
      <c r="X861" t="s">
        <v>91</v>
      </c>
      <c r="Y861" s="1">
        <v>34</v>
      </c>
      <c r="Z861" s="1" t="str">
        <f t="shared" si="260"/>
        <v>Food: $34.00</v>
      </c>
      <c r="AA861" s="1">
        <f>IF(Y861="","",ROUND(Y861*'Lookup Values'!$A$2,2))</f>
        <v>3.02</v>
      </c>
      <c r="AB861" s="12" t="str">
        <f t="shared" si="261"/>
        <v>Expense</v>
      </c>
      <c r="AC861" s="2" t="s">
        <v>873</v>
      </c>
      <c r="AD861" s="3">
        <f t="shared" si="262"/>
        <v>39090</v>
      </c>
      <c r="AE861" s="93" t="str">
        <f t="shared" si="263"/>
        <v>NO</v>
      </c>
      <c r="AF861" s="2" t="str">
        <f t="shared" si="264"/>
        <v>NO</v>
      </c>
      <c r="AG861" t="str">
        <f t="shared" si="265"/>
        <v>Awesome Transaction</v>
      </c>
    </row>
    <row r="862" spans="1:33" x14ac:dyDescent="0.25">
      <c r="A862" s="2">
        <v>861</v>
      </c>
      <c r="B862" s="3" t="str">
        <f t="shared" si="247"/>
        <v>100627-ED-SKI</v>
      </c>
      <c r="C862" s="3">
        <v>40356</v>
      </c>
      <c r="D862" s="3">
        <f t="shared" si="249"/>
        <v>40368</v>
      </c>
      <c r="E862" s="3">
        <f t="shared" si="250"/>
        <v>40417</v>
      </c>
      <c r="F862" s="3">
        <f t="shared" si="251"/>
        <v>40359</v>
      </c>
      <c r="G862" s="76">
        <f t="shared" si="252"/>
        <v>2010</v>
      </c>
      <c r="H862" s="76">
        <f t="shared" si="253"/>
        <v>6</v>
      </c>
      <c r="I862" s="76" t="str">
        <f>VLOOKUP(H862,'Lookup Values'!$C$2:$D$13,2,FALSE)</f>
        <v>JUN</v>
      </c>
      <c r="J862" s="76">
        <f t="shared" si="254"/>
        <v>27</v>
      </c>
      <c r="K862" s="76">
        <f t="shared" si="255"/>
        <v>1</v>
      </c>
      <c r="L862" s="76" t="str">
        <f>VLOOKUP(K862,'Lookup Values'!$F$2:$G$8,2,FALSE)</f>
        <v>Sunday</v>
      </c>
      <c r="M862" s="3">
        <v>40357</v>
      </c>
      <c r="N862" s="78">
        <f t="shared" si="248"/>
        <v>1</v>
      </c>
      <c r="O862" s="11">
        <v>0.3060070309465156</v>
      </c>
      <c r="P862" s="94">
        <f t="shared" si="256"/>
        <v>7</v>
      </c>
      <c r="Q862" s="94">
        <f t="shared" si="257"/>
        <v>20</v>
      </c>
      <c r="R862" s="94">
        <f t="shared" si="258"/>
        <v>39</v>
      </c>
      <c r="S862" s="94" t="str">
        <f>VLOOKUP(O862,'Lookup Values'!$I$2:$L$8,4,TRUE)</f>
        <v>Morning</v>
      </c>
      <c r="T862" t="s">
        <v>86</v>
      </c>
      <c r="U862" t="s">
        <v>98</v>
      </c>
      <c r="V862" t="str">
        <f t="shared" si="259"/>
        <v>Education: Professional Development</v>
      </c>
      <c r="W862" t="s">
        <v>97</v>
      </c>
      <c r="X862" t="s">
        <v>91</v>
      </c>
      <c r="Y862" s="1">
        <v>419</v>
      </c>
      <c r="Z862" s="1" t="str">
        <f t="shared" si="260"/>
        <v>Education: $419.00</v>
      </c>
      <c r="AA862" s="1">
        <f>IF(Y862="","",ROUND(Y862*'Lookup Values'!$A$2,2))</f>
        <v>37.19</v>
      </c>
      <c r="AB862" s="12" t="str">
        <f t="shared" si="261"/>
        <v>Expense</v>
      </c>
      <c r="AC862" s="2" t="s">
        <v>407</v>
      </c>
      <c r="AD862" s="3">
        <f t="shared" si="262"/>
        <v>40356</v>
      </c>
      <c r="AE862" s="93" t="str">
        <f t="shared" si="263"/>
        <v>YES</v>
      </c>
      <c r="AF862" s="2" t="str">
        <f t="shared" si="264"/>
        <v>YES</v>
      </c>
      <c r="AG862" t="str">
        <f t="shared" si="265"/>
        <v>Late Transaction</v>
      </c>
    </row>
    <row r="863" spans="1:33" x14ac:dyDescent="0.25">
      <c r="A863" s="2">
        <v>862</v>
      </c>
      <c r="B863" s="3" t="str">
        <f t="shared" si="247"/>
        <v>070726-FO-TRA</v>
      </c>
      <c r="C863" s="3">
        <v>39289</v>
      </c>
      <c r="D863" s="3">
        <f t="shared" si="249"/>
        <v>39303</v>
      </c>
      <c r="E863" s="3">
        <f t="shared" si="250"/>
        <v>39351</v>
      </c>
      <c r="F863" s="3">
        <f t="shared" si="251"/>
        <v>39294</v>
      </c>
      <c r="G863" s="76">
        <f t="shared" si="252"/>
        <v>2007</v>
      </c>
      <c r="H863" s="76">
        <f t="shared" si="253"/>
        <v>7</v>
      </c>
      <c r="I863" s="76" t="str">
        <f>VLOOKUP(H863,'Lookup Values'!$C$2:$D$13,2,FALSE)</f>
        <v>JUL</v>
      </c>
      <c r="J863" s="76">
        <f t="shared" si="254"/>
        <v>26</v>
      </c>
      <c r="K863" s="76">
        <f t="shared" si="255"/>
        <v>5</v>
      </c>
      <c r="L863" s="76" t="str">
        <f>VLOOKUP(K863,'Lookup Values'!$F$2:$G$8,2,FALSE)</f>
        <v>Thursday</v>
      </c>
      <c r="M863" s="3">
        <v>39294</v>
      </c>
      <c r="N863" s="78">
        <f t="shared" si="248"/>
        <v>5</v>
      </c>
      <c r="O863" s="11">
        <v>0.13501133688680145</v>
      </c>
      <c r="P863" s="94">
        <f t="shared" si="256"/>
        <v>3</v>
      </c>
      <c r="Q863" s="94">
        <f t="shared" si="257"/>
        <v>14</v>
      </c>
      <c r="R863" s="94">
        <f t="shared" si="258"/>
        <v>25</v>
      </c>
      <c r="S863" s="94" t="str">
        <f>VLOOKUP(O863,'Lookup Values'!$I$2:$L$8,4,TRUE)</f>
        <v>Dead of Night</v>
      </c>
      <c r="T863" t="s">
        <v>80</v>
      </c>
      <c r="U863" t="s">
        <v>93</v>
      </c>
      <c r="V863" t="str">
        <f t="shared" si="259"/>
        <v>Food: Groceries</v>
      </c>
      <c r="W863" t="s">
        <v>92</v>
      </c>
      <c r="X863" t="s">
        <v>88</v>
      </c>
      <c r="Y863" s="1">
        <v>133</v>
      </c>
      <c r="Z863" s="1" t="str">
        <f t="shared" si="260"/>
        <v>Food: $133.00</v>
      </c>
      <c r="AA863" s="1">
        <f>IF(Y863="","",ROUND(Y863*'Lookup Values'!$A$2,2))</f>
        <v>11.8</v>
      </c>
      <c r="AB863" s="12" t="str">
        <f t="shared" si="261"/>
        <v>Expense</v>
      </c>
      <c r="AC863" s="2" t="s">
        <v>462</v>
      </c>
      <c r="AD863" s="3">
        <f t="shared" si="262"/>
        <v>39289</v>
      </c>
      <c r="AE863" s="93" t="str">
        <f t="shared" si="263"/>
        <v>NO</v>
      </c>
      <c r="AF863" s="2" t="str">
        <f t="shared" si="264"/>
        <v>NO</v>
      </c>
      <c r="AG863" t="str">
        <f t="shared" si="265"/>
        <v>Awesome Transaction</v>
      </c>
    </row>
    <row r="864" spans="1:33" x14ac:dyDescent="0.25">
      <c r="A864" s="2">
        <v>863</v>
      </c>
      <c r="B864" s="3" t="str">
        <f t="shared" si="247"/>
        <v>071228-FO-CIT</v>
      </c>
      <c r="C864" s="3">
        <v>39444</v>
      </c>
      <c r="D864" s="3">
        <f t="shared" si="249"/>
        <v>39458</v>
      </c>
      <c r="E864" s="3">
        <f t="shared" si="250"/>
        <v>39506</v>
      </c>
      <c r="F864" s="3">
        <f t="shared" si="251"/>
        <v>39447</v>
      </c>
      <c r="G864" s="76">
        <f t="shared" si="252"/>
        <v>2007</v>
      </c>
      <c r="H864" s="76">
        <f t="shared" si="253"/>
        <v>12</v>
      </c>
      <c r="I864" s="76" t="str">
        <f>VLOOKUP(H864,'Lookup Values'!$C$2:$D$13,2,FALSE)</f>
        <v>DEC</v>
      </c>
      <c r="J864" s="76">
        <f t="shared" si="254"/>
        <v>28</v>
      </c>
      <c r="K864" s="76">
        <f t="shared" si="255"/>
        <v>6</v>
      </c>
      <c r="L864" s="76" t="str">
        <f>VLOOKUP(K864,'Lookup Values'!$F$2:$G$8,2,FALSE)</f>
        <v>Friday</v>
      </c>
      <c r="M864" s="3">
        <v>39451</v>
      </c>
      <c r="N864" s="78">
        <f t="shared" si="248"/>
        <v>7</v>
      </c>
      <c r="O864" s="11">
        <v>1.6350160240919287E-2</v>
      </c>
      <c r="P864" s="94">
        <f t="shared" si="256"/>
        <v>0</v>
      </c>
      <c r="Q864" s="94">
        <f t="shared" si="257"/>
        <v>23</v>
      </c>
      <c r="R864" s="94">
        <f t="shared" si="258"/>
        <v>33</v>
      </c>
      <c r="S864" s="94" t="str">
        <f>VLOOKUP(O864,'Lookup Values'!$I$2:$L$8,4,TRUE)</f>
        <v>Dead of Night</v>
      </c>
      <c r="T864" t="s">
        <v>80</v>
      </c>
      <c r="U864" t="s">
        <v>105</v>
      </c>
      <c r="V864" t="str">
        <f t="shared" si="259"/>
        <v>Food: Coffee</v>
      </c>
      <c r="W864" t="s">
        <v>104</v>
      </c>
      <c r="X864" t="s">
        <v>78</v>
      </c>
      <c r="Y864" s="1">
        <v>441</v>
      </c>
      <c r="Z864" s="1" t="str">
        <f t="shared" si="260"/>
        <v>Food: $441.00</v>
      </c>
      <c r="AA864" s="1">
        <f>IF(Y864="","",ROUND(Y864*'Lookup Values'!$A$2,2))</f>
        <v>39.14</v>
      </c>
      <c r="AB864" s="12" t="str">
        <f t="shared" si="261"/>
        <v>Expense</v>
      </c>
      <c r="AC864" s="2" t="s">
        <v>874</v>
      </c>
      <c r="AD864" s="3">
        <f t="shared" si="262"/>
        <v>39444</v>
      </c>
      <c r="AE864" s="93" t="str">
        <f t="shared" si="263"/>
        <v>NO</v>
      </c>
      <c r="AF864" s="2" t="str">
        <f t="shared" si="264"/>
        <v>NO</v>
      </c>
      <c r="AG864" t="str">
        <f t="shared" si="265"/>
        <v>Awesome Transaction</v>
      </c>
    </row>
    <row r="865" spans="1:33" x14ac:dyDescent="0.25">
      <c r="A865" s="2">
        <v>864</v>
      </c>
      <c r="B865" s="3" t="str">
        <f t="shared" si="247"/>
        <v>101219-IN-LEG</v>
      </c>
      <c r="C865" s="3">
        <v>40531</v>
      </c>
      <c r="D865" s="3">
        <f t="shared" si="249"/>
        <v>40543</v>
      </c>
      <c r="E865" s="3">
        <f t="shared" si="250"/>
        <v>40593</v>
      </c>
      <c r="F865" s="3">
        <f t="shared" si="251"/>
        <v>40543</v>
      </c>
      <c r="G865" s="76">
        <f t="shared" si="252"/>
        <v>2010</v>
      </c>
      <c r="H865" s="76">
        <f t="shared" si="253"/>
        <v>12</v>
      </c>
      <c r="I865" s="76" t="str">
        <f>VLOOKUP(H865,'Lookup Values'!$C$2:$D$13,2,FALSE)</f>
        <v>DEC</v>
      </c>
      <c r="J865" s="76">
        <f t="shared" si="254"/>
        <v>19</v>
      </c>
      <c r="K865" s="76">
        <f t="shared" si="255"/>
        <v>1</v>
      </c>
      <c r="L865" s="76" t="str">
        <f>VLOOKUP(K865,'Lookup Values'!$F$2:$G$8,2,FALSE)</f>
        <v>Sunday</v>
      </c>
      <c r="M865" s="3">
        <v>40539</v>
      </c>
      <c r="N865" s="78">
        <f t="shared" si="248"/>
        <v>8</v>
      </c>
      <c r="O865" s="11">
        <v>0.73030661763897697</v>
      </c>
      <c r="P865" s="94">
        <f t="shared" si="256"/>
        <v>17</v>
      </c>
      <c r="Q865" s="94">
        <f t="shared" si="257"/>
        <v>31</v>
      </c>
      <c r="R865" s="94">
        <f t="shared" si="258"/>
        <v>38</v>
      </c>
      <c r="S865" s="94" t="str">
        <f>VLOOKUP(O865,'Lookup Values'!$I$2:$L$8,4,TRUE)</f>
        <v>Evening</v>
      </c>
      <c r="T865" t="s">
        <v>158</v>
      </c>
      <c r="U865" t="s">
        <v>160</v>
      </c>
      <c r="V865" t="str">
        <f t="shared" si="259"/>
        <v>Income: Freelance Project</v>
      </c>
      <c r="W865" t="s">
        <v>163</v>
      </c>
      <c r="X865" t="s">
        <v>88</v>
      </c>
      <c r="Y865" s="1">
        <v>446</v>
      </c>
      <c r="Z865" s="1" t="str">
        <f t="shared" si="260"/>
        <v>Income: $446.00</v>
      </c>
      <c r="AA865" s="1">
        <f>IF(Y865="","",ROUND(Y865*'Lookup Values'!$A$2,2))</f>
        <v>39.58</v>
      </c>
      <c r="AB865" s="12" t="str">
        <f t="shared" si="261"/>
        <v>Income</v>
      </c>
      <c r="AC865" s="2" t="s">
        <v>875</v>
      </c>
      <c r="AD865" s="3">
        <f t="shared" si="262"/>
        <v>40531</v>
      </c>
      <c r="AE865" s="93" t="str">
        <f t="shared" si="263"/>
        <v>NO</v>
      </c>
      <c r="AF865" s="2" t="str">
        <f t="shared" si="264"/>
        <v>NO</v>
      </c>
      <c r="AG865" t="str">
        <f t="shared" si="265"/>
        <v>Late Transaction</v>
      </c>
    </row>
    <row r="866" spans="1:33" x14ac:dyDescent="0.25">
      <c r="A866" s="2">
        <v>865</v>
      </c>
      <c r="B866" s="3" t="str">
        <f t="shared" si="247"/>
        <v>111019-SH-AMA</v>
      </c>
      <c r="C866" s="3">
        <v>40835</v>
      </c>
      <c r="D866" s="3">
        <f t="shared" si="249"/>
        <v>40849</v>
      </c>
      <c r="E866" s="3">
        <f t="shared" si="250"/>
        <v>40896</v>
      </c>
      <c r="F866" s="3">
        <f t="shared" si="251"/>
        <v>40847</v>
      </c>
      <c r="G866" s="76">
        <f t="shared" si="252"/>
        <v>2011</v>
      </c>
      <c r="H866" s="76">
        <f t="shared" si="253"/>
        <v>10</v>
      </c>
      <c r="I866" s="76" t="str">
        <f>VLOOKUP(H866,'Lookup Values'!$C$2:$D$13,2,FALSE)</f>
        <v>OCT</v>
      </c>
      <c r="J866" s="76">
        <f t="shared" si="254"/>
        <v>19</v>
      </c>
      <c r="K866" s="76">
        <f t="shared" si="255"/>
        <v>4</v>
      </c>
      <c r="L866" s="76" t="str">
        <f>VLOOKUP(K866,'Lookup Values'!$F$2:$G$8,2,FALSE)</f>
        <v>Wednesday</v>
      </c>
      <c r="M866" s="3">
        <v>40843</v>
      </c>
      <c r="N866" s="78">
        <f t="shared" si="248"/>
        <v>8</v>
      </c>
      <c r="O866" s="11">
        <v>0.80454945400390332</v>
      </c>
      <c r="P866" s="94">
        <f t="shared" si="256"/>
        <v>19</v>
      </c>
      <c r="Q866" s="94">
        <f t="shared" si="257"/>
        <v>18</v>
      </c>
      <c r="R866" s="94">
        <f t="shared" si="258"/>
        <v>33</v>
      </c>
      <c r="S866" s="94" t="str">
        <f>VLOOKUP(O866,'Lookup Values'!$I$2:$L$8,4,TRUE)</f>
        <v>Evening</v>
      </c>
      <c r="T866" t="s">
        <v>83</v>
      </c>
      <c r="U866" t="s">
        <v>84</v>
      </c>
      <c r="V866" t="str">
        <f t="shared" si="259"/>
        <v>Shopping: Electronics</v>
      </c>
      <c r="W866" t="s">
        <v>82</v>
      </c>
      <c r="X866" t="s">
        <v>91</v>
      </c>
      <c r="Y866" s="1">
        <v>107</v>
      </c>
      <c r="Z866" s="1" t="str">
        <f t="shared" si="260"/>
        <v>Shopping: $107.00</v>
      </c>
      <c r="AA866" s="1">
        <f>IF(Y866="","",ROUND(Y866*'Lookup Values'!$A$2,2))</f>
        <v>9.5</v>
      </c>
      <c r="AB866" s="12" t="str">
        <f t="shared" si="261"/>
        <v>Expense</v>
      </c>
      <c r="AC866" s="2" t="s">
        <v>348</v>
      </c>
      <c r="AD866" s="3">
        <f t="shared" si="262"/>
        <v>40835</v>
      </c>
      <c r="AE866" s="93" t="str">
        <f t="shared" si="263"/>
        <v>YES</v>
      </c>
      <c r="AF866" s="2" t="str">
        <f t="shared" si="264"/>
        <v>NO</v>
      </c>
      <c r="AG866" t="str">
        <f t="shared" si="265"/>
        <v>CRAP Transaction</v>
      </c>
    </row>
    <row r="867" spans="1:33" x14ac:dyDescent="0.25">
      <c r="A867" s="2">
        <v>866</v>
      </c>
      <c r="B867" s="3" t="str">
        <f t="shared" si="247"/>
        <v>070805-EN-FAN</v>
      </c>
      <c r="C867" s="3">
        <v>39299</v>
      </c>
      <c r="D867" s="3">
        <f t="shared" si="249"/>
        <v>39311</v>
      </c>
      <c r="E867" s="3">
        <f t="shared" si="250"/>
        <v>39360</v>
      </c>
      <c r="F867" s="3">
        <f t="shared" si="251"/>
        <v>39325</v>
      </c>
      <c r="G867" s="76">
        <f t="shared" si="252"/>
        <v>2007</v>
      </c>
      <c r="H867" s="76">
        <f t="shared" si="253"/>
        <v>8</v>
      </c>
      <c r="I867" s="76" t="str">
        <f>VLOOKUP(H867,'Lookup Values'!$C$2:$D$13,2,FALSE)</f>
        <v>AUG</v>
      </c>
      <c r="J867" s="76">
        <f t="shared" si="254"/>
        <v>5</v>
      </c>
      <c r="K867" s="76">
        <f t="shared" si="255"/>
        <v>1</v>
      </c>
      <c r="L867" s="76" t="str">
        <f>VLOOKUP(K867,'Lookup Values'!$F$2:$G$8,2,FALSE)</f>
        <v>Sunday</v>
      </c>
      <c r="M867" s="3">
        <v>39301</v>
      </c>
      <c r="N867" s="78">
        <f t="shared" si="248"/>
        <v>2</v>
      </c>
      <c r="O867" s="11">
        <v>0.75862995209251149</v>
      </c>
      <c r="P867" s="94">
        <f t="shared" si="256"/>
        <v>18</v>
      </c>
      <c r="Q867" s="94">
        <f t="shared" si="257"/>
        <v>12</v>
      </c>
      <c r="R867" s="94">
        <f t="shared" si="258"/>
        <v>26</v>
      </c>
      <c r="S867" s="94" t="str">
        <f>VLOOKUP(O867,'Lookup Values'!$I$2:$L$8,4,TRUE)</f>
        <v>Evening</v>
      </c>
      <c r="T867" t="s">
        <v>76</v>
      </c>
      <c r="U867" t="s">
        <v>90</v>
      </c>
      <c r="V867" t="str">
        <f t="shared" si="259"/>
        <v>Entertainment: Movies</v>
      </c>
      <c r="W867" t="s">
        <v>89</v>
      </c>
      <c r="X867" t="s">
        <v>91</v>
      </c>
      <c r="Y867" s="1">
        <v>86</v>
      </c>
      <c r="Z867" s="1" t="str">
        <f t="shared" si="260"/>
        <v>Entertainment: $86.00</v>
      </c>
      <c r="AA867" s="1">
        <f>IF(Y867="","",ROUND(Y867*'Lookup Values'!$A$2,2))</f>
        <v>7.63</v>
      </c>
      <c r="AB867" s="12" t="str">
        <f t="shared" si="261"/>
        <v>Expense</v>
      </c>
      <c r="AC867" s="2" t="s">
        <v>876</v>
      </c>
      <c r="AD867" s="3">
        <f t="shared" si="262"/>
        <v>39299</v>
      </c>
      <c r="AE867" s="93" t="str">
        <f t="shared" si="263"/>
        <v>NO</v>
      </c>
      <c r="AF867" s="2" t="str">
        <f t="shared" si="264"/>
        <v>NO</v>
      </c>
      <c r="AG867" t="str">
        <f t="shared" si="265"/>
        <v>Awesome Transaction</v>
      </c>
    </row>
    <row r="868" spans="1:33" x14ac:dyDescent="0.25">
      <c r="A868" s="2">
        <v>867</v>
      </c>
      <c r="B868" s="3" t="str">
        <f t="shared" si="247"/>
        <v>110831-FO-TRA</v>
      </c>
      <c r="C868" s="3">
        <v>40786</v>
      </c>
      <c r="D868" s="3">
        <f t="shared" si="249"/>
        <v>40800</v>
      </c>
      <c r="E868" s="3">
        <f t="shared" si="250"/>
        <v>40847</v>
      </c>
      <c r="F868" s="3">
        <f t="shared" si="251"/>
        <v>40786</v>
      </c>
      <c r="G868" s="76">
        <f t="shared" si="252"/>
        <v>2011</v>
      </c>
      <c r="H868" s="76">
        <f t="shared" si="253"/>
        <v>8</v>
      </c>
      <c r="I868" s="76" t="str">
        <f>VLOOKUP(H868,'Lookup Values'!$C$2:$D$13,2,FALSE)</f>
        <v>AUG</v>
      </c>
      <c r="J868" s="76">
        <f t="shared" si="254"/>
        <v>31</v>
      </c>
      <c r="K868" s="76">
        <f t="shared" si="255"/>
        <v>4</v>
      </c>
      <c r="L868" s="76" t="str">
        <f>VLOOKUP(K868,'Lookup Values'!$F$2:$G$8,2,FALSE)</f>
        <v>Wednesday</v>
      </c>
      <c r="M868" s="3">
        <v>40788</v>
      </c>
      <c r="N868" s="78">
        <f t="shared" si="248"/>
        <v>2</v>
      </c>
      <c r="O868" s="11">
        <v>5.4777140937530611E-2</v>
      </c>
      <c r="P868" s="94">
        <f t="shared" si="256"/>
        <v>1</v>
      </c>
      <c r="Q868" s="94">
        <f t="shared" si="257"/>
        <v>18</v>
      </c>
      <c r="R868" s="94">
        <f t="shared" si="258"/>
        <v>53</v>
      </c>
      <c r="S868" s="94" t="str">
        <f>VLOOKUP(O868,'Lookup Values'!$I$2:$L$8,4,TRUE)</f>
        <v>Dead of Night</v>
      </c>
      <c r="T868" t="s">
        <v>80</v>
      </c>
      <c r="U868" t="s">
        <v>93</v>
      </c>
      <c r="V868" t="str">
        <f t="shared" si="259"/>
        <v>Food: Groceries</v>
      </c>
      <c r="W868" t="s">
        <v>92</v>
      </c>
      <c r="X868" t="s">
        <v>91</v>
      </c>
      <c r="Y868" s="1">
        <v>400</v>
      </c>
      <c r="Z868" s="1" t="str">
        <f t="shared" si="260"/>
        <v>Food: $400.00</v>
      </c>
      <c r="AA868" s="1">
        <f>IF(Y868="","",ROUND(Y868*'Lookup Values'!$A$2,2))</f>
        <v>35.5</v>
      </c>
      <c r="AB868" s="12" t="str">
        <f t="shared" si="261"/>
        <v>Expense</v>
      </c>
      <c r="AC868" s="2" t="s">
        <v>877</v>
      </c>
      <c r="AD868" s="3">
        <f t="shared" si="262"/>
        <v>40786</v>
      </c>
      <c r="AE868" s="93" t="str">
        <f t="shared" si="263"/>
        <v>NO</v>
      </c>
      <c r="AF868" s="2" t="str">
        <f t="shared" si="264"/>
        <v>NO</v>
      </c>
      <c r="AG868" t="str">
        <f t="shared" si="265"/>
        <v>CRAP Transaction</v>
      </c>
    </row>
    <row r="869" spans="1:33" x14ac:dyDescent="0.25">
      <c r="A869" s="2">
        <v>868</v>
      </c>
      <c r="B869" s="3" t="str">
        <f t="shared" si="247"/>
        <v>071106-IN-LEG</v>
      </c>
      <c r="C869" s="3">
        <v>39392</v>
      </c>
      <c r="D869" s="3">
        <f t="shared" si="249"/>
        <v>39406</v>
      </c>
      <c r="E869" s="3">
        <f t="shared" si="250"/>
        <v>39453</v>
      </c>
      <c r="F869" s="3">
        <f t="shared" si="251"/>
        <v>39416</v>
      </c>
      <c r="G869" s="76">
        <f t="shared" si="252"/>
        <v>2007</v>
      </c>
      <c r="H869" s="76">
        <f t="shared" si="253"/>
        <v>11</v>
      </c>
      <c r="I869" s="76" t="str">
        <f>VLOOKUP(H869,'Lookup Values'!$C$2:$D$13,2,FALSE)</f>
        <v>NOV</v>
      </c>
      <c r="J869" s="76">
        <f t="shared" si="254"/>
        <v>6</v>
      </c>
      <c r="K869" s="76">
        <f t="shared" si="255"/>
        <v>3</v>
      </c>
      <c r="L869" s="76" t="str">
        <f>VLOOKUP(K869,'Lookup Values'!$F$2:$G$8,2,FALSE)</f>
        <v>Tuesday</v>
      </c>
      <c r="M869" s="3">
        <v>39399</v>
      </c>
      <c r="N869" s="78">
        <f t="shared" si="248"/>
        <v>7</v>
      </c>
      <c r="O869" s="11">
        <v>0.81512966841799084</v>
      </c>
      <c r="P869" s="94">
        <f t="shared" si="256"/>
        <v>19</v>
      </c>
      <c r="Q869" s="94">
        <f t="shared" si="257"/>
        <v>33</v>
      </c>
      <c r="R869" s="94">
        <f t="shared" si="258"/>
        <v>47</v>
      </c>
      <c r="S869" s="94" t="str">
        <f>VLOOKUP(O869,'Lookup Values'!$I$2:$L$8,4,TRUE)</f>
        <v>Evening</v>
      </c>
      <c r="T869" t="s">
        <v>158</v>
      </c>
      <c r="U869" t="s">
        <v>160</v>
      </c>
      <c r="V869" t="str">
        <f t="shared" si="259"/>
        <v>Income: Freelance Project</v>
      </c>
      <c r="W869" t="s">
        <v>163</v>
      </c>
      <c r="X869" t="s">
        <v>91</v>
      </c>
      <c r="Y869" s="1">
        <v>439</v>
      </c>
      <c r="Z869" s="1" t="str">
        <f t="shared" si="260"/>
        <v>Income: $439.00</v>
      </c>
      <c r="AA869" s="1">
        <f>IF(Y869="","",ROUND(Y869*'Lookup Values'!$A$2,2))</f>
        <v>38.96</v>
      </c>
      <c r="AB869" s="12" t="str">
        <f t="shared" si="261"/>
        <v>Income</v>
      </c>
      <c r="AC869" s="2" t="s">
        <v>878</v>
      </c>
      <c r="AD869" s="3">
        <f t="shared" si="262"/>
        <v>39392</v>
      </c>
      <c r="AE869" s="93" t="str">
        <f t="shared" si="263"/>
        <v>NO</v>
      </c>
      <c r="AF869" s="2" t="str">
        <f t="shared" si="264"/>
        <v>NO</v>
      </c>
      <c r="AG869" t="str">
        <f t="shared" si="265"/>
        <v>Late Transaction</v>
      </c>
    </row>
    <row r="870" spans="1:33" x14ac:dyDescent="0.25">
      <c r="A870" s="2">
        <v>869</v>
      </c>
      <c r="B870" s="3" t="str">
        <f t="shared" si="247"/>
        <v>101204-IN-AUN</v>
      </c>
      <c r="C870" s="3">
        <v>40516</v>
      </c>
      <c r="D870" s="3">
        <f t="shared" si="249"/>
        <v>40529</v>
      </c>
      <c r="E870" s="3">
        <f t="shared" si="250"/>
        <v>40578</v>
      </c>
      <c r="F870" s="3">
        <f t="shared" si="251"/>
        <v>40543</v>
      </c>
      <c r="G870" s="76">
        <f t="shared" si="252"/>
        <v>2010</v>
      </c>
      <c r="H870" s="76">
        <f t="shared" si="253"/>
        <v>12</v>
      </c>
      <c r="I870" s="76" t="str">
        <f>VLOOKUP(H870,'Lookup Values'!$C$2:$D$13,2,FALSE)</f>
        <v>DEC</v>
      </c>
      <c r="J870" s="76">
        <f t="shared" si="254"/>
        <v>4</v>
      </c>
      <c r="K870" s="76">
        <f t="shared" si="255"/>
        <v>7</v>
      </c>
      <c r="L870" s="76" t="str">
        <f>VLOOKUP(K870,'Lookup Values'!$F$2:$G$8,2,FALSE)</f>
        <v>Saturday</v>
      </c>
      <c r="M870" s="3">
        <v>40525</v>
      </c>
      <c r="N870" s="78">
        <f t="shared" si="248"/>
        <v>9</v>
      </c>
      <c r="O870" s="11">
        <v>0.99916227688921355</v>
      </c>
      <c r="P870" s="94">
        <f t="shared" si="256"/>
        <v>23</v>
      </c>
      <c r="Q870" s="94">
        <f t="shared" si="257"/>
        <v>58</v>
      </c>
      <c r="R870" s="94">
        <f t="shared" si="258"/>
        <v>48</v>
      </c>
      <c r="S870" s="94" t="str">
        <f>VLOOKUP(O870,'Lookup Values'!$I$2:$L$8,4,TRUE)</f>
        <v>Late Evening</v>
      </c>
      <c r="T870" t="s">
        <v>158</v>
      </c>
      <c r="U870" t="s">
        <v>161</v>
      </c>
      <c r="V870" t="str">
        <f t="shared" si="259"/>
        <v>Income: Gift Received</v>
      </c>
      <c r="W870" t="s">
        <v>164</v>
      </c>
      <c r="X870" t="s">
        <v>91</v>
      </c>
      <c r="Y870" s="1">
        <v>399</v>
      </c>
      <c r="Z870" s="1" t="str">
        <f t="shared" si="260"/>
        <v>Income: $399.00</v>
      </c>
      <c r="AA870" s="1">
        <f>IF(Y870="","",ROUND(Y870*'Lookup Values'!$A$2,2))</f>
        <v>35.409999999999997</v>
      </c>
      <c r="AB870" s="12" t="str">
        <f t="shared" si="261"/>
        <v>Income</v>
      </c>
      <c r="AC870" s="2" t="s">
        <v>879</v>
      </c>
      <c r="AD870" s="3">
        <f t="shared" si="262"/>
        <v>40516</v>
      </c>
      <c r="AE870" s="93" t="str">
        <f t="shared" si="263"/>
        <v>NO</v>
      </c>
      <c r="AF870" s="2" t="str">
        <f t="shared" si="264"/>
        <v>NO</v>
      </c>
      <c r="AG870" t="str">
        <f t="shared" si="265"/>
        <v>Late Transaction</v>
      </c>
    </row>
    <row r="871" spans="1:33" x14ac:dyDescent="0.25">
      <c r="A871" s="2">
        <v>870</v>
      </c>
      <c r="B871" s="3" t="str">
        <f t="shared" si="247"/>
        <v>081011-IN-LEG</v>
      </c>
      <c r="C871" s="3">
        <v>39732</v>
      </c>
      <c r="D871" s="3">
        <f t="shared" si="249"/>
        <v>39745</v>
      </c>
      <c r="E871" s="3">
        <f t="shared" si="250"/>
        <v>39793</v>
      </c>
      <c r="F871" s="3">
        <f t="shared" si="251"/>
        <v>39752</v>
      </c>
      <c r="G871" s="76">
        <f t="shared" si="252"/>
        <v>2008</v>
      </c>
      <c r="H871" s="76">
        <f t="shared" si="253"/>
        <v>10</v>
      </c>
      <c r="I871" s="76" t="str">
        <f>VLOOKUP(H871,'Lookup Values'!$C$2:$D$13,2,FALSE)</f>
        <v>OCT</v>
      </c>
      <c r="J871" s="76">
        <f t="shared" si="254"/>
        <v>11</v>
      </c>
      <c r="K871" s="76">
        <f t="shared" si="255"/>
        <v>7</v>
      </c>
      <c r="L871" s="76" t="str">
        <f>VLOOKUP(K871,'Lookup Values'!$F$2:$G$8,2,FALSE)</f>
        <v>Saturday</v>
      </c>
      <c r="M871" s="3">
        <v>39739</v>
      </c>
      <c r="N871" s="78">
        <f t="shared" si="248"/>
        <v>7</v>
      </c>
      <c r="O871" s="11">
        <v>0.31329210973009447</v>
      </c>
      <c r="P871" s="94">
        <f t="shared" si="256"/>
        <v>7</v>
      </c>
      <c r="Q871" s="94">
        <f t="shared" si="257"/>
        <v>31</v>
      </c>
      <c r="R871" s="94">
        <f t="shared" si="258"/>
        <v>8</v>
      </c>
      <c r="S871" s="94" t="str">
        <f>VLOOKUP(O871,'Lookup Values'!$I$2:$L$8,4,TRUE)</f>
        <v>Morning</v>
      </c>
      <c r="T871" t="s">
        <v>158</v>
      </c>
      <c r="U871" t="s">
        <v>160</v>
      </c>
      <c r="V871" t="str">
        <f t="shared" si="259"/>
        <v>Income: Freelance Project</v>
      </c>
      <c r="W871" t="s">
        <v>163</v>
      </c>
      <c r="X871" t="s">
        <v>88</v>
      </c>
      <c r="Y871" s="1">
        <v>90</v>
      </c>
      <c r="Z871" s="1" t="str">
        <f t="shared" si="260"/>
        <v>Income: $90.00</v>
      </c>
      <c r="AA871" s="1">
        <f>IF(Y871="","",ROUND(Y871*'Lookup Values'!$A$2,2))</f>
        <v>7.99</v>
      </c>
      <c r="AB871" s="12" t="str">
        <f t="shared" si="261"/>
        <v>Income</v>
      </c>
      <c r="AC871" s="2" t="s">
        <v>880</v>
      </c>
      <c r="AD871" s="3">
        <f t="shared" si="262"/>
        <v>39732</v>
      </c>
      <c r="AE871" s="93" t="str">
        <f t="shared" si="263"/>
        <v>NO</v>
      </c>
      <c r="AF871" s="2" t="str">
        <f t="shared" si="264"/>
        <v>NO</v>
      </c>
      <c r="AG871" t="str">
        <f t="shared" si="265"/>
        <v>Late Transaction</v>
      </c>
    </row>
    <row r="872" spans="1:33" x14ac:dyDescent="0.25">
      <c r="A872" s="2">
        <v>871</v>
      </c>
      <c r="B872" s="3" t="str">
        <f t="shared" si="247"/>
        <v>080819-IN-LEG</v>
      </c>
      <c r="C872" s="3">
        <v>39679</v>
      </c>
      <c r="D872" s="3">
        <f t="shared" si="249"/>
        <v>39693</v>
      </c>
      <c r="E872" s="3">
        <f t="shared" si="250"/>
        <v>39740</v>
      </c>
      <c r="F872" s="3">
        <f t="shared" si="251"/>
        <v>39691</v>
      </c>
      <c r="G872" s="76">
        <f t="shared" si="252"/>
        <v>2008</v>
      </c>
      <c r="H872" s="76">
        <f t="shared" si="253"/>
        <v>8</v>
      </c>
      <c r="I872" s="76" t="str">
        <f>VLOOKUP(H872,'Lookup Values'!$C$2:$D$13,2,FALSE)</f>
        <v>AUG</v>
      </c>
      <c r="J872" s="76">
        <f t="shared" si="254"/>
        <v>19</v>
      </c>
      <c r="K872" s="76">
        <f t="shared" si="255"/>
        <v>3</v>
      </c>
      <c r="L872" s="76" t="str">
        <f>VLOOKUP(K872,'Lookup Values'!$F$2:$G$8,2,FALSE)</f>
        <v>Tuesday</v>
      </c>
      <c r="M872" s="3">
        <v>39687</v>
      </c>
      <c r="N872" s="78">
        <f t="shared" si="248"/>
        <v>8</v>
      </c>
      <c r="O872" s="11">
        <v>0.55610947506958175</v>
      </c>
      <c r="P872" s="94">
        <f t="shared" si="256"/>
        <v>13</v>
      </c>
      <c r="Q872" s="94">
        <f t="shared" si="257"/>
        <v>20</v>
      </c>
      <c r="R872" s="94">
        <f t="shared" si="258"/>
        <v>48</v>
      </c>
      <c r="S872" s="94" t="str">
        <f>VLOOKUP(O872,'Lookup Values'!$I$2:$L$8,4,TRUE)</f>
        <v>Afternoon</v>
      </c>
      <c r="T872" t="s">
        <v>158</v>
      </c>
      <c r="U872" t="s">
        <v>160</v>
      </c>
      <c r="V872" t="str">
        <f t="shared" si="259"/>
        <v>Income: Freelance Project</v>
      </c>
      <c r="W872" t="s">
        <v>163</v>
      </c>
      <c r="X872" t="s">
        <v>78</v>
      </c>
      <c r="Y872" s="1">
        <v>98</v>
      </c>
      <c r="Z872" s="1" t="str">
        <f t="shared" si="260"/>
        <v>Income: $98.00</v>
      </c>
      <c r="AA872" s="1">
        <f>IF(Y872="","",ROUND(Y872*'Lookup Values'!$A$2,2))</f>
        <v>8.6999999999999993</v>
      </c>
      <c r="AB872" s="12" t="str">
        <f t="shared" si="261"/>
        <v>Income</v>
      </c>
      <c r="AC872" s="2" t="s">
        <v>776</v>
      </c>
      <c r="AD872" s="3">
        <f t="shared" si="262"/>
        <v>39679</v>
      </c>
      <c r="AE872" s="93" t="str">
        <f t="shared" si="263"/>
        <v>NO</v>
      </c>
      <c r="AF872" s="2" t="str">
        <f t="shared" si="264"/>
        <v>NO</v>
      </c>
      <c r="AG872" t="str">
        <f t="shared" si="265"/>
        <v>Late Transaction</v>
      </c>
    </row>
    <row r="873" spans="1:33" x14ac:dyDescent="0.25">
      <c r="A873" s="2">
        <v>872</v>
      </c>
      <c r="B873" s="3" t="str">
        <f t="shared" si="247"/>
        <v>100122-EN-MOE</v>
      </c>
      <c r="C873" s="3">
        <v>40200</v>
      </c>
      <c r="D873" s="3">
        <f t="shared" si="249"/>
        <v>40214</v>
      </c>
      <c r="E873" s="3">
        <f t="shared" si="250"/>
        <v>40259</v>
      </c>
      <c r="F873" s="3">
        <f t="shared" si="251"/>
        <v>40209</v>
      </c>
      <c r="G873" s="76">
        <f t="shared" si="252"/>
        <v>2010</v>
      </c>
      <c r="H873" s="76">
        <f t="shared" si="253"/>
        <v>1</v>
      </c>
      <c r="I873" s="76" t="str">
        <f>VLOOKUP(H873,'Lookup Values'!$C$2:$D$13,2,FALSE)</f>
        <v>JAN</v>
      </c>
      <c r="J873" s="76">
        <f t="shared" si="254"/>
        <v>22</v>
      </c>
      <c r="K873" s="76">
        <f t="shared" si="255"/>
        <v>6</v>
      </c>
      <c r="L873" s="76" t="str">
        <f>VLOOKUP(K873,'Lookup Values'!$F$2:$G$8,2,FALSE)</f>
        <v>Friday</v>
      </c>
      <c r="M873" s="3">
        <v>40203</v>
      </c>
      <c r="N873" s="78">
        <f t="shared" si="248"/>
        <v>3</v>
      </c>
      <c r="O873" s="11">
        <v>0.45647853912185132</v>
      </c>
      <c r="P873" s="94">
        <f t="shared" si="256"/>
        <v>10</v>
      </c>
      <c r="Q873" s="94">
        <f t="shared" si="257"/>
        <v>57</v>
      </c>
      <c r="R873" s="94">
        <f t="shared" si="258"/>
        <v>20</v>
      </c>
      <c r="S873" s="94" t="str">
        <f>VLOOKUP(O873,'Lookup Values'!$I$2:$L$8,4,TRUE)</f>
        <v>Late Morning</v>
      </c>
      <c r="T873" t="s">
        <v>76</v>
      </c>
      <c r="U873" t="s">
        <v>77</v>
      </c>
      <c r="V873" t="str">
        <f t="shared" si="259"/>
        <v>Entertainment: Alcohol</v>
      </c>
      <c r="W873" t="s">
        <v>75</v>
      </c>
      <c r="X873" t="s">
        <v>91</v>
      </c>
      <c r="Y873" s="1">
        <v>411</v>
      </c>
      <c r="Z873" s="1" t="str">
        <f t="shared" si="260"/>
        <v>Entertainment: $411.00</v>
      </c>
      <c r="AA873" s="1">
        <f>IF(Y873="","",ROUND(Y873*'Lookup Values'!$A$2,2))</f>
        <v>36.479999999999997</v>
      </c>
      <c r="AB873" s="12" t="str">
        <f t="shared" si="261"/>
        <v>Expense</v>
      </c>
      <c r="AC873" s="2" t="s">
        <v>881</v>
      </c>
      <c r="AD873" s="3">
        <f t="shared" si="262"/>
        <v>40200</v>
      </c>
      <c r="AE873" s="93" t="str">
        <f t="shared" si="263"/>
        <v>NO</v>
      </c>
      <c r="AF873" s="2" t="str">
        <f t="shared" si="264"/>
        <v>NO</v>
      </c>
      <c r="AG873" t="str">
        <f t="shared" si="265"/>
        <v>CRAP Transaction</v>
      </c>
    </row>
    <row r="874" spans="1:33" x14ac:dyDescent="0.25">
      <c r="A874" s="2">
        <v>873</v>
      </c>
      <c r="B874" s="3" t="str">
        <f t="shared" si="247"/>
        <v>120227-IN-EZE</v>
      </c>
      <c r="C874" s="3">
        <v>40966</v>
      </c>
      <c r="D874" s="3">
        <f t="shared" si="249"/>
        <v>40980</v>
      </c>
      <c r="E874" s="3">
        <f t="shared" si="250"/>
        <v>41026</v>
      </c>
      <c r="F874" s="3">
        <f t="shared" si="251"/>
        <v>40968</v>
      </c>
      <c r="G874" s="76">
        <f t="shared" si="252"/>
        <v>2012</v>
      </c>
      <c r="H874" s="76">
        <f t="shared" si="253"/>
        <v>2</v>
      </c>
      <c r="I874" s="76" t="str">
        <f>VLOOKUP(H874,'Lookup Values'!$C$2:$D$13,2,FALSE)</f>
        <v>FEB</v>
      </c>
      <c r="J874" s="76">
        <f t="shared" si="254"/>
        <v>27</v>
      </c>
      <c r="K874" s="76">
        <f t="shared" si="255"/>
        <v>2</v>
      </c>
      <c r="L874" s="76" t="str">
        <f>VLOOKUP(K874,'Lookup Values'!$F$2:$G$8,2,FALSE)</f>
        <v>Monday</v>
      </c>
      <c r="M874" s="3">
        <v>40970</v>
      </c>
      <c r="N874" s="78">
        <f t="shared" si="248"/>
        <v>4</v>
      </c>
      <c r="O874" s="11">
        <v>0.32558970650241714</v>
      </c>
      <c r="P874" s="94">
        <f t="shared" si="256"/>
        <v>7</v>
      </c>
      <c r="Q874" s="94">
        <f t="shared" si="257"/>
        <v>48</v>
      </c>
      <c r="R874" s="94">
        <f t="shared" si="258"/>
        <v>51</v>
      </c>
      <c r="S874" s="94" t="str">
        <f>VLOOKUP(O874,'Lookup Values'!$I$2:$L$8,4,TRUE)</f>
        <v>Morning</v>
      </c>
      <c r="T874" t="s">
        <v>158</v>
      </c>
      <c r="U874" t="s">
        <v>159</v>
      </c>
      <c r="V874" t="str">
        <f t="shared" si="259"/>
        <v>Income: Salary</v>
      </c>
      <c r="W874" t="s">
        <v>162</v>
      </c>
      <c r="X874" t="s">
        <v>91</v>
      </c>
      <c r="Y874" s="1">
        <v>351</v>
      </c>
      <c r="Z874" s="1" t="str">
        <f t="shared" si="260"/>
        <v>Income: $351.00</v>
      </c>
      <c r="AA874" s="1">
        <f>IF(Y874="","",ROUND(Y874*'Lookup Values'!$A$2,2))</f>
        <v>31.15</v>
      </c>
      <c r="AB874" s="12" t="str">
        <f t="shared" si="261"/>
        <v>Income</v>
      </c>
      <c r="AC874" s="2" t="s">
        <v>882</v>
      </c>
      <c r="AD874" s="3">
        <f t="shared" si="262"/>
        <v>40966</v>
      </c>
      <c r="AE874" s="93" t="str">
        <f t="shared" si="263"/>
        <v>NO</v>
      </c>
      <c r="AF874" s="2" t="str">
        <f t="shared" si="264"/>
        <v>NO</v>
      </c>
      <c r="AG874" t="str">
        <f t="shared" si="265"/>
        <v>CRAP Transaction</v>
      </c>
    </row>
    <row r="875" spans="1:33" x14ac:dyDescent="0.25">
      <c r="A875" s="2">
        <v>874</v>
      </c>
      <c r="B875" s="3" t="str">
        <f t="shared" si="247"/>
        <v>081025-IN-LEG</v>
      </c>
      <c r="C875" s="3">
        <v>39746</v>
      </c>
      <c r="D875" s="3">
        <f t="shared" si="249"/>
        <v>39759</v>
      </c>
      <c r="E875" s="3">
        <f t="shared" si="250"/>
        <v>39807</v>
      </c>
      <c r="F875" s="3">
        <f t="shared" si="251"/>
        <v>39752</v>
      </c>
      <c r="G875" s="76">
        <f t="shared" si="252"/>
        <v>2008</v>
      </c>
      <c r="H875" s="76">
        <f t="shared" si="253"/>
        <v>10</v>
      </c>
      <c r="I875" s="76" t="str">
        <f>VLOOKUP(H875,'Lookup Values'!$C$2:$D$13,2,FALSE)</f>
        <v>OCT</v>
      </c>
      <c r="J875" s="76">
        <f t="shared" si="254"/>
        <v>25</v>
      </c>
      <c r="K875" s="76">
        <f t="shared" si="255"/>
        <v>7</v>
      </c>
      <c r="L875" s="76" t="str">
        <f>VLOOKUP(K875,'Lookup Values'!$F$2:$G$8,2,FALSE)</f>
        <v>Saturday</v>
      </c>
      <c r="M875" s="3">
        <v>39750</v>
      </c>
      <c r="N875" s="78">
        <f t="shared" si="248"/>
        <v>4</v>
      </c>
      <c r="O875" s="11">
        <v>0.54441932721764896</v>
      </c>
      <c r="P875" s="94">
        <f t="shared" si="256"/>
        <v>13</v>
      </c>
      <c r="Q875" s="94">
        <f t="shared" si="257"/>
        <v>3</v>
      </c>
      <c r="R875" s="94">
        <f t="shared" si="258"/>
        <v>58</v>
      </c>
      <c r="S875" s="94" t="str">
        <f>VLOOKUP(O875,'Lookup Values'!$I$2:$L$8,4,TRUE)</f>
        <v>Afternoon</v>
      </c>
      <c r="T875" t="s">
        <v>158</v>
      </c>
      <c r="U875" t="s">
        <v>160</v>
      </c>
      <c r="V875" t="str">
        <f t="shared" si="259"/>
        <v>Income: Freelance Project</v>
      </c>
      <c r="W875" t="s">
        <v>163</v>
      </c>
      <c r="X875" t="s">
        <v>78</v>
      </c>
      <c r="Y875" s="1">
        <v>441</v>
      </c>
      <c r="Z875" s="1" t="str">
        <f t="shared" si="260"/>
        <v>Income: $441.00</v>
      </c>
      <c r="AA875" s="1">
        <f>IF(Y875="","",ROUND(Y875*'Lookup Values'!$A$2,2))</f>
        <v>39.14</v>
      </c>
      <c r="AB875" s="12" t="str">
        <f t="shared" si="261"/>
        <v>Income</v>
      </c>
      <c r="AC875" s="2" t="s">
        <v>245</v>
      </c>
      <c r="AD875" s="3">
        <f t="shared" si="262"/>
        <v>39746</v>
      </c>
      <c r="AE875" s="93" t="str">
        <f t="shared" si="263"/>
        <v>NO</v>
      </c>
      <c r="AF875" s="2" t="str">
        <f t="shared" si="264"/>
        <v>NO</v>
      </c>
      <c r="AG875" t="str">
        <f t="shared" si="265"/>
        <v>Late Transaction</v>
      </c>
    </row>
    <row r="876" spans="1:33" x14ac:dyDescent="0.25">
      <c r="A876" s="2">
        <v>875</v>
      </c>
      <c r="B876" s="3" t="str">
        <f t="shared" si="247"/>
        <v>110106-TR-MTA</v>
      </c>
      <c r="C876" s="3">
        <v>40549</v>
      </c>
      <c r="D876" s="3">
        <f t="shared" si="249"/>
        <v>40563</v>
      </c>
      <c r="E876" s="3">
        <f t="shared" si="250"/>
        <v>40608</v>
      </c>
      <c r="F876" s="3">
        <f t="shared" si="251"/>
        <v>40574</v>
      </c>
      <c r="G876" s="76">
        <f t="shared" si="252"/>
        <v>2011</v>
      </c>
      <c r="H876" s="76">
        <f t="shared" si="253"/>
        <v>1</v>
      </c>
      <c r="I876" s="76" t="str">
        <f>VLOOKUP(H876,'Lookup Values'!$C$2:$D$13,2,FALSE)</f>
        <v>JAN</v>
      </c>
      <c r="J876" s="76">
        <f t="shared" si="254"/>
        <v>6</v>
      </c>
      <c r="K876" s="76">
        <f t="shared" si="255"/>
        <v>5</v>
      </c>
      <c r="L876" s="76" t="str">
        <f>VLOOKUP(K876,'Lookup Values'!$F$2:$G$8,2,FALSE)</f>
        <v>Thursday</v>
      </c>
      <c r="M876" s="3">
        <v>40556</v>
      </c>
      <c r="N876" s="78">
        <f t="shared" si="248"/>
        <v>7</v>
      </c>
      <c r="O876" s="11">
        <v>0.24201908810647321</v>
      </c>
      <c r="P876" s="94">
        <f t="shared" si="256"/>
        <v>5</v>
      </c>
      <c r="Q876" s="94">
        <f t="shared" si="257"/>
        <v>48</v>
      </c>
      <c r="R876" s="94">
        <f t="shared" si="258"/>
        <v>30</v>
      </c>
      <c r="S876" s="94" t="str">
        <f>VLOOKUP(O876,'Lookup Values'!$I$2:$L$8,4,TRUE)</f>
        <v>Early Morning</v>
      </c>
      <c r="T876" t="s">
        <v>95</v>
      </c>
      <c r="U876" t="s">
        <v>96</v>
      </c>
      <c r="V876" t="str">
        <f t="shared" si="259"/>
        <v>Transportation: Subway</v>
      </c>
      <c r="W876" t="s">
        <v>94</v>
      </c>
      <c r="X876" t="s">
        <v>91</v>
      </c>
      <c r="Y876" s="1">
        <v>326</v>
      </c>
      <c r="Z876" s="1" t="str">
        <f t="shared" si="260"/>
        <v>Transportation: $326.00</v>
      </c>
      <c r="AA876" s="1">
        <f>IF(Y876="","",ROUND(Y876*'Lookup Values'!$A$2,2))</f>
        <v>28.93</v>
      </c>
      <c r="AB876" s="12" t="str">
        <f t="shared" si="261"/>
        <v>Expense</v>
      </c>
      <c r="AC876" s="2" t="s">
        <v>883</v>
      </c>
      <c r="AD876" s="3">
        <f t="shared" si="262"/>
        <v>40549</v>
      </c>
      <c r="AE876" s="93" t="str">
        <f t="shared" si="263"/>
        <v>YES</v>
      </c>
      <c r="AF876" s="2" t="str">
        <f t="shared" si="264"/>
        <v>NO</v>
      </c>
      <c r="AG876" t="str">
        <f t="shared" si="265"/>
        <v>CRAP Transaction</v>
      </c>
    </row>
    <row r="877" spans="1:33" x14ac:dyDescent="0.25">
      <c r="A877" s="2">
        <v>876</v>
      </c>
      <c r="B877" s="3" t="str">
        <f t="shared" si="247"/>
        <v>111110-HO-BED</v>
      </c>
      <c r="C877" s="3">
        <v>40857</v>
      </c>
      <c r="D877" s="3">
        <f t="shared" si="249"/>
        <v>40871</v>
      </c>
      <c r="E877" s="3">
        <f t="shared" si="250"/>
        <v>40918</v>
      </c>
      <c r="F877" s="3">
        <f t="shared" si="251"/>
        <v>40877</v>
      </c>
      <c r="G877" s="76">
        <f t="shared" si="252"/>
        <v>2011</v>
      </c>
      <c r="H877" s="76">
        <f t="shared" si="253"/>
        <v>11</v>
      </c>
      <c r="I877" s="76" t="str">
        <f>VLOOKUP(H877,'Lookup Values'!$C$2:$D$13,2,FALSE)</f>
        <v>NOV</v>
      </c>
      <c r="J877" s="76">
        <f t="shared" si="254"/>
        <v>10</v>
      </c>
      <c r="K877" s="76">
        <f t="shared" si="255"/>
        <v>5</v>
      </c>
      <c r="L877" s="76" t="str">
        <f>VLOOKUP(K877,'Lookup Values'!$F$2:$G$8,2,FALSE)</f>
        <v>Thursday</v>
      </c>
      <c r="M877" s="3">
        <v>40867</v>
      </c>
      <c r="N877" s="78">
        <f t="shared" si="248"/>
        <v>10</v>
      </c>
      <c r="O877" s="11">
        <v>0.80756900977323387</v>
      </c>
      <c r="P877" s="94">
        <f t="shared" si="256"/>
        <v>19</v>
      </c>
      <c r="Q877" s="94">
        <f t="shared" si="257"/>
        <v>22</v>
      </c>
      <c r="R877" s="94">
        <f t="shared" si="258"/>
        <v>54</v>
      </c>
      <c r="S877" s="94" t="str">
        <f>VLOOKUP(O877,'Lookup Values'!$I$2:$L$8,4,TRUE)</f>
        <v>Evening</v>
      </c>
      <c r="T877" t="s">
        <v>100</v>
      </c>
      <c r="U877" t="s">
        <v>101</v>
      </c>
      <c r="V877" t="str">
        <f t="shared" si="259"/>
        <v>Home: Cleaning Supplies</v>
      </c>
      <c r="W877" t="s">
        <v>99</v>
      </c>
      <c r="X877" t="s">
        <v>78</v>
      </c>
      <c r="Y877" s="1">
        <v>96</v>
      </c>
      <c r="Z877" s="1" t="str">
        <f t="shared" si="260"/>
        <v>Home: $96.00</v>
      </c>
      <c r="AA877" s="1">
        <f>IF(Y877="","",ROUND(Y877*'Lookup Values'!$A$2,2))</f>
        <v>8.52</v>
      </c>
      <c r="AB877" s="12" t="str">
        <f t="shared" si="261"/>
        <v>Expense</v>
      </c>
      <c r="AC877" s="2" t="s">
        <v>492</v>
      </c>
      <c r="AD877" s="3">
        <f t="shared" si="262"/>
        <v>40857</v>
      </c>
      <c r="AE877" s="93" t="str">
        <f t="shared" si="263"/>
        <v>NO</v>
      </c>
      <c r="AF877" s="2" t="str">
        <f t="shared" si="264"/>
        <v>NO</v>
      </c>
      <c r="AG877" t="str">
        <f t="shared" si="265"/>
        <v>CRAP Transaction</v>
      </c>
    </row>
    <row r="878" spans="1:33" x14ac:dyDescent="0.25">
      <c r="A878" s="2">
        <v>877</v>
      </c>
      <c r="B878" s="3" t="str">
        <f t="shared" si="247"/>
        <v>100509-IN-LEG</v>
      </c>
      <c r="C878" s="3">
        <v>40307</v>
      </c>
      <c r="D878" s="3">
        <f t="shared" si="249"/>
        <v>40319</v>
      </c>
      <c r="E878" s="3">
        <f t="shared" si="250"/>
        <v>40368</v>
      </c>
      <c r="F878" s="3">
        <f t="shared" si="251"/>
        <v>40329</v>
      </c>
      <c r="G878" s="76">
        <f t="shared" si="252"/>
        <v>2010</v>
      </c>
      <c r="H878" s="76">
        <f t="shared" si="253"/>
        <v>5</v>
      </c>
      <c r="I878" s="76" t="str">
        <f>VLOOKUP(H878,'Lookup Values'!$C$2:$D$13,2,FALSE)</f>
        <v>MAY</v>
      </c>
      <c r="J878" s="76">
        <f t="shared" si="254"/>
        <v>9</v>
      </c>
      <c r="K878" s="76">
        <f t="shared" si="255"/>
        <v>1</v>
      </c>
      <c r="L878" s="76" t="str">
        <f>VLOOKUP(K878,'Lookup Values'!$F$2:$G$8,2,FALSE)</f>
        <v>Sunday</v>
      </c>
      <c r="M878" s="3">
        <v>40315</v>
      </c>
      <c r="N878" s="78">
        <f t="shared" si="248"/>
        <v>8</v>
      </c>
      <c r="O878" s="11">
        <v>0.12734489536203109</v>
      </c>
      <c r="P878" s="94">
        <f t="shared" si="256"/>
        <v>3</v>
      </c>
      <c r="Q878" s="94">
        <f t="shared" si="257"/>
        <v>3</v>
      </c>
      <c r="R878" s="94">
        <f t="shared" si="258"/>
        <v>23</v>
      </c>
      <c r="S878" s="94" t="str">
        <f>VLOOKUP(O878,'Lookup Values'!$I$2:$L$8,4,TRUE)</f>
        <v>Dead of Night</v>
      </c>
      <c r="T878" t="s">
        <v>158</v>
      </c>
      <c r="U878" t="s">
        <v>160</v>
      </c>
      <c r="V878" t="str">
        <f t="shared" si="259"/>
        <v>Income: Freelance Project</v>
      </c>
      <c r="W878" t="s">
        <v>163</v>
      </c>
      <c r="X878" t="s">
        <v>78</v>
      </c>
      <c r="Y878" s="1">
        <v>48</v>
      </c>
      <c r="Z878" s="1" t="str">
        <f t="shared" si="260"/>
        <v>Income: $48.00</v>
      </c>
      <c r="AA878" s="1">
        <f>IF(Y878="","",ROUND(Y878*'Lookup Values'!$A$2,2))</f>
        <v>4.26</v>
      </c>
      <c r="AB878" s="12" t="str">
        <f t="shared" si="261"/>
        <v>Income</v>
      </c>
      <c r="AC878" s="2" t="s">
        <v>711</v>
      </c>
      <c r="AD878" s="3">
        <f t="shared" si="262"/>
        <v>40307</v>
      </c>
      <c r="AE878" s="93" t="str">
        <f t="shared" si="263"/>
        <v>NO</v>
      </c>
      <c r="AF878" s="2" t="str">
        <f t="shared" si="264"/>
        <v>NO</v>
      </c>
      <c r="AG878" t="str">
        <f t="shared" si="265"/>
        <v>Late Transaction</v>
      </c>
    </row>
    <row r="879" spans="1:33" x14ac:dyDescent="0.25">
      <c r="A879" s="2">
        <v>878</v>
      </c>
      <c r="B879" s="3" t="str">
        <f t="shared" si="247"/>
        <v>110528-BI-CON</v>
      </c>
      <c r="C879" s="3">
        <v>40691</v>
      </c>
      <c r="D879" s="3">
        <f t="shared" si="249"/>
        <v>40704</v>
      </c>
      <c r="E879" s="3">
        <f t="shared" si="250"/>
        <v>40752</v>
      </c>
      <c r="F879" s="3">
        <f t="shared" si="251"/>
        <v>40694</v>
      </c>
      <c r="G879" s="76">
        <f t="shared" si="252"/>
        <v>2011</v>
      </c>
      <c r="H879" s="76">
        <f t="shared" si="253"/>
        <v>5</v>
      </c>
      <c r="I879" s="76" t="str">
        <f>VLOOKUP(H879,'Lookup Values'!$C$2:$D$13,2,FALSE)</f>
        <v>MAY</v>
      </c>
      <c r="J879" s="76">
        <f t="shared" si="254"/>
        <v>28</v>
      </c>
      <c r="K879" s="76">
        <f t="shared" si="255"/>
        <v>7</v>
      </c>
      <c r="L879" s="76" t="str">
        <f>VLOOKUP(K879,'Lookup Values'!$F$2:$G$8,2,FALSE)</f>
        <v>Saturday</v>
      </c>
      <c r="M879" s="3">
        <v>40698</v>
      </c>
      <c r="N879" s="78">
        <f t="shared" si="248"/>
        <v>7</v>
      </c>
      <c r="O879" s="11">
        <v>0.30011666047732144</v>
      </c>
      <c r="P879" s="94">
        <f t="shared" si="256"/>
        <v>7</v>
      </c>
      <c r="Q879" s="94">
        <f t="shared" si="257"/>
        <v>12</v>
      </c>
      <c r="R879" s="94">
        <f t="shared" si="258"/>
        <v>10</v>
      </c>
      <c r="S879" s="94" t="str">
        <f>VLOOKUP(O879,'Lookup Values'!$I$2:$L$8,4,TRUE)</f>
        <v>Morning</v>
      </c>
      <c r="T879" t="s">
        <v>110</v>
      </c>
      <c r="U879" t="s">
        <v>111</v>
      </c>
      <c r="V879" t="str">
        <f t="shared" si="259"/>
        <v>Bills: Utilities</v>
      </c>
      <c r="W879" t="s">
        <v>109</v>
      </c>
      <c r="X879" t="s">
        <v>78</v>
      </c>
      <c r="Y879" s="1">
        <v>58</v>
      </c>
      <c r="Z879" s="1" t="str">
        <f t="shared" si="260"/>
        <v>Bills: $58.00</v>
      </c>
      <c r="AA879" s="1">
        <f>IF(Y879="","",ROUND(Y879*'Lookup Values'!$A$2,2))</f>
        <v>5.15</v>
      </c>
      <c r="AB879" s="12" t="str">
        <f t="shared" si="261"/>
        <v>Expense</v>
      </c>
      <c r="AC879" s="2" t="s">
        <v>884</v>
      </c>
      <c r="AD879" s="3">
        <f t="shared" si="262"/>
        <v>40691</v>
      </c>
      <c r="AE879" s="93" t="str">
        <f t="shared" si="263"/>
        <v>NO</v>
      </c>
      <c r="AF879" s="2" t="str">
        <f t="shared" si="264"/>
        <v>NO</v>
      </c>
      <c r="AG879" t="str">
        <f t="shared" si="265"/>
        <v>CRAP Transaction</v>
      </c>
    </row>
    <row r="880" spans="1:33" x14ac:dyDescent="0.25">
      <c r="A880" s="2">
        <v>879</v>
      </c>
      <c r="B880" s="3" t="str">
        <f t="shared" si="247"/>
        <v>080116-ED-SKI</v>
      </c>
      <c r="C880" s="3">
        <v>39463</v>
      </c>
      <c r="D880" s="3">
        <f t="shared" si="249"/>
        <v>39477</v>
      </c>
      <c r="E880" s="3">
        <f t="shared" si="250"/>
        <v>39523</v>
      </c>
      <c r="F880" s="3">
        <f t="shared" si="251"/>
        <v>39478</v>
      </c>
      <c r="G880" s="76">
        <f t="shared" si="252"/>
        <v>2008</v>
      </c>
      <c r="H880" s="76">
        <f t="shared" si="253"/>
        <v>1</v>
      </c>
      <c r="I880" s="76" t="str">
        <f>VLOOKUP(H880,'Lookup Values'!$C$2:$D$13,2,FALSE)</f>
        <v>JAN</v>
      </c>
      <c r="J880" s="76">
        <f t="shared" si="254"/>
        <v>16</v>
      </c>
      <c r="K880" s="76">
        <f t="shared" si="255"/>
        <v>4</v>
      </c>
      <c r="L880" s="76" t="str">
        <f>VLOOKUP(K880,'Lookup Values'!$F$2:$G$8,2,FALSE)</f>
        <v>Wednesday</v>
      </c>
      <c r="M880" s="3">
        <v>39466</v>
      </c>
      <c r="N880" s="78">
        <f t="shared" si="248"/>
        <v>3</v>
      </c>
      <c r="O880" s="11">
        <v>0.47099446680506218</v>
      </c>
      <c r="P880" s="94">
        <f t="shared" si="256"/>
        <v>11</v>
      </c>
      <c r="Q880" s="94">
        <f t="shared" si="257"/>
        <v>18</v>
      </c>
      <c r="R880" s="94">
        <f t="shared" si="258"/>
        <v>14</v>
      </c>
      <c r="S880" s="94" t="str">
        <f>VLOOKUP(O880,'Lookup Values'!$I$2:$L$8,4,TRUE)</f>
        <v>Late Morning</v>
      </c>
      <c r="T880" t="s">
        <v>86</v>
      </c>
      <c r="U880" t="s">
        <v>98</v>
      </c>
      <c r="V880" t="str">
        <f t="shared" si="259"/>
        <v>Education: Professional Development</v>
      </c>
      <c r="W880" t="s">
        <v>97</v>
      </c>
      <c r="X880" t="s">
        <v>78</v>
      </c>
      <c r="Y880" s="1">
        <v>295</v>
      </c>
      <c r="Z880" s="1" t="str">
        <f t="shared" si="260"/>
        <v>Education: $295.00</v>
      </c>
      <c r="AA880" s="1">
        <f>IF(Y880="","",ROUND(Y880*'Lookup Values'!$A$2,2))</f>
        <v>26.18</v>
      </c>
      <c r="AB880" s="12" t="str">
        <f t="shared" si="261"/>
        <v>Expense</v>
      </c>
      <c r="AC880" s="2" t="s">
        <v>885</v>
      </c>
      <c r="AD880" s="3">
        <f t="shared" si="262"/>
        <v>39463</v>
      </c>
      <c r="AE880" s="93" t="str">
        <f t="shared" si="263"/>
        <v>YES</v>
      </c>
      <c r="AF880" s="2" t="str">
        <f t="shared" si="264"/>
        <v>NO</v>
      </c>
      <c r="AG880" t="str">
        <f t="shared" si="265"/>
        <v>Late Transaction</v>
      </c>
    </row>
    <row r="881" spans="1:33" x14ac:dyDescent="0.25">
      <c r="A881" s="2">
        <v>880</v>
      </c>
      <c r="B881" s="3" t="str">
        <f t="shared" si="247"/>
        <v>080418-FO-TRA</v>
      </c>
      <c r="C881" s="3">
        <v>39556</v>
      </c>
      <c r="D881" s="3">
        <f t="shared" si="249"/>
        <v>39570</v>
      </c>
      <c r="E881" s="3">
        <f t="shared" si="250"/>
        <v>39617</v>
      </c>
      <c r="F881" s="3">
        <f t="shared" si="251"/>
        <v>39568</v>
      </c>
      <c r="G881" s="76">
        <f t="shared" si="252"/>
        <v>2008</v>
      </c>
      <c r="H881" s="76">
        <f t="shared" si="253"/>
        <v>4</v>
      </c>
      <c r="I881" s="76" t="str">
        <f>VLOOKUP(H881,'Lookup Values'!$C$2:$D$13,2,FALSE)</f>
        <v>APR</v>
      </c>
      <c r="J881" s="76">
        <f t="shared" si="254"/>
        <v>18</v>
      </c>
      <c r="K881" s="76">
        <f t="shared" si="255"/>
        <v>6</v>
      </c>
      <c r="L881" s="76" t="str">
        <f>VLOOKUP(K881,'Lookup Values'!$F$2:$G$8,2,FALSE)</f>
        <v>Friday</v>
      </c>
      <c r="M881" s="3">
        <v>39566</v>
      </c>
      <c r="N881" s="78">
        <f t="shared" si="248"/>
        <v>10</v>
      </c>
      <c r="O881" s="11">
        <v>0.77038950799781825</v>
      </c>
      <c r="P881" s="94">
        <f t="shared" si="256"/>
        <v>18</v>
      </c>
      <c r="Q881" s="94">
        <f t="shared" si="257"/>
        <v>29</v>
      </c>
      <c r="R881" s="94">
        <f t="shared" si="258"/>
        <v>22</v>
      </c>
      <c r="S881" s="94" t="str">
        <f>VLOOKUP(O881,'Lookup Values'!$I$2:$L$8,4,TRUE)</f>
        <v>Evening</v>
      </c>
      <c r="T881" t="s">
        <v>80</v>
      </c>
      <c r="U881" t="s">
        <v>93</v>
      </c>
      <c r="V881" t="str">
        <f t="shared" si="259"/>
        <v>Food: Groceries</v>
      </c>
      <c r="W881" t="s">
        <v>92</v>
      </c>
      <c r="X881" t="s">
        <v>88</v>
      </c>
      <c r="Y881" s="1">
        <v>205</v>
      </c>
      <c r="Z881" s="1" t="str">
        <f t="shared" si="260"/>
        <v>Food: $205.00</v>
      </c>
      <c r="AA881" s="1">
        <f>IF(Y881="","",ROUND(Y881*'Lookup Values'!$A$2,2))</f>
        <v>18.190000000000001</v>
      </c>
      <c r="AB881" s="12" t="str">
        <f t="shared" si="261"/>
        <v>Expense</v>
      </c>
      <c r="AC881" s="2" t="s">
        <v>886</v>
      </c>
      <c r="AD881" s="3">
        <f t="shared" si="262"/>
        <v>39556</v>
      </c>
      <c r="AE881" s="93" t="str">
        <f t="shared" si="263"/>
        <v>NO</v>
      </c>
      <c r="AF881" s="2" t="str">
        <f t="shared" si="264"/>
        <v>NO</v>
      </c>
      <c r="AG881" t="str">
        <f t="shared" si="265"/>
        <v>Awesome Transaction</v>
      </c>
    </row>
    <row r="882" spans="1:33" x14ac:dyDescent="0.25">
      <c r="A882" s="2">
        <v>881</v>
      </c>
      <c r="B882" s="3" t="str">
        <f t="shared" si="247"/>
        <v>090226-EN-MOE</v>
      </c>
      <c r="C882" s="3">
        <v>39870</v>
      </c>
      <c r="D882" s="3">
        <f t="shared" si="249"/>
        <v>39884</v>
      </c>
      <c r="E882" s="3">
        <f t="shared" si="250"/>
        <v>39929</v>
      </c>
      <c r="F882" s="3">
        <f t="shared" si="251"/>
        <v>39872</v>
      </c>
      <c r="G882" s="76">
        <f t="shared" si="252"/>
        <v>2009</v>
      </c>
      <c r="H882" s="76">
        <f t="shared" si="253"/>
        <v>2</v>
      </c>
      <c r="I882" s="76" t="str">
        <f>VLOOKUP(H882,'Lookup Values'!$C$2:$D$13,2,FALSE)</f>
        <v>FEB</v>
      </c>
      <c r="J882" s="76">
        <f t="shared" si="254"/>
        <v>26</v>
      </c>
      <c r="K882" s="76">
        <f t="shared" si="255"/>
        <v>5</v>
      </c>
      <c r="L882" s="76" t="str">
        <f>VLOOKUP(K882,'Lookup Values'!$F$2:$G$8,2,FALSE)</f>
        <v>Thursday</v>
      </c>
      <c r="M882" s="3">
        <v>39874</v>
      </c>
      <c r="N882" s="78">
        <f t="shared" si="248"/>
        <v>4</v>
      </c>
      <c r="O882" s="11">
        <v>0.17528969835533526</v>
      </c>
      <c r="P882" s="94">
        <f t="shared" si="256"/>
        <v>4</v>
      </c>
      <c r="Q882" s="94">
        <f t="shared" si="257"/>
        <v>12</v>
      </c>
      <c r="R882" s="94">
        <f t="shared" si="258"/>
        <v>25</v>
      </c>
      <c r="S882" s="94" t="str">
        <f>VLOOKUP(O882,'Lookup Values'!$I$2:$L$8,4,TRUE)</f>
        <v>Early Morning</v>
      </c>
      <c r="T882" t="s">
        <v>76</v>
      </c>
      <c r="U882" t="s">
        <v>77</v>
      </c>
      <c r="V882" t="str">
        <f t="shared" si="259"/>
        <v>Entertainment: Alcohol</v>
      </c>
      <c r="W882" t="s">
        <v>75</v>
      </c>
      <c r="X882" t="s">
        <v>88</v>
      </c>
      <c r="Y882" s="1">
        <v>462</v>
      </c>
      <c r="Z882" s="1" t="str">
        <f t="shared" si="260"/>
        <v>Entertainment: $462.00</v>
      </c>
      <c r="AA882" s="1">
        <f>IF(Y882="","",ROUND(Y882*'Lookup Values'!$A$2,2))</f>
        <v>41</v>
      </c>
      <c r="AB882" s="12" t="str">
        <f t="shared" si="261"/>
        <v>Expense</v>
      </c>
      <c r="AC882" s="2" t="s">
        <v>821</v>
      </c>
      <c r="AD882" s="3">
        <f t="shared" si="262"/>
        <v>39870</v>
      </c>
      <c r="AE882" s="93" t="str">
        <f t="shared" si="263"/>
        <v>NO</v>
      </c>
      <c r="AF882" s="2" t="str">
        <f t="shared" si="264"/>
        <v>NO</v>
      </c>
      <c r="AG882" t="str">
        <f t="shared" si="265"/>
        <v>Awesome Transaction</v>
      </c>
    </row>
    <row r="883" spans="1:33" x14ac:dyDescent="0.25">
      <c r="A883" s="2">
        <v>882</v>
      </c>
      <c r="B883" s="3" t="str">
        <f t="shared" si="247"/>
        <v>070203-IN-EZE</v>
      </c>
      <c r="C883" s="3">
        <v>39116</v>
      </c>
      <c r="D883" s="3">
        <f t="shared" si="249"/>
        <v>39129</v>
      </c>
      <c r="E883" s="3">
        <f t="shared" si="250"/>
        <v>39175</v>
      </c>
      <c r="F883" s="3">
        <f t="shared" si="251"/>
        <v>39141</v>
      </c>
      <c r="G883" s="76">
        <f t="shared" si="252"/>
        <v>2007</v>
      </c>
      <c r="H883" s="76">
        <f t="shared" si="253"/>
        <v>2</v>
      </c>
      <c r="I883" s="76" t="str">
        <f>VLOOKUP(H883,'Lookup Values'!$C$2:$D$13,2,FALSE)</f>
        <v>FEB</v>
      </c>
      <c r="J883" s="76">
        <f t="shared" si="254"/>
        <v>3</v>
      </c>
      <c r="K883" s="76">
        <f t="shared" si="255"/>
        <v>7</v>
      </c>
      <c r="L883" s="76" t="str">
        <f>VLOOKUP(K883,'Lookup Values'!$F$2:$G$8,2,FALSE)</f>
        <v>Saturday</v>
      </c>
      <c r="M883" s="3">
        <v>39118</v>
      </c>
      <c r="N883" s="78">
        <f t="shared" si="248"/>
        <v>2</v>
      </c>
      <c r="O883" s="11">
        <v>0.4141127519254495</v>
      </c>
      <c r="P883" s="94">
        <f t="shared" si="256"/>
        <v>9</v>
      </c>
      <c r="Q883" s="94">
        <f t="shared" si="257"/>
        <v>56</v>
      </c>
      <c r="R883" s="94">
        <f t="shared" si="258"/>
        <v>19</v>
      </c>
      <c r="S883" s="94" t="str">
        <f>VLOOKUP(O883,'Lookup Values'!$I$2:$L$8,4,TRUE)</f>
        <v>Morning</v>
      </c>
      <c r="T883" t="s">
        <v>158</v>
      </c>
      <c r="U883" t="s">
        <v>159</v>
      </c>
      <c r="V883" t="str">
        <f t="shared" si="259"/>
        <v>Income: Salary</v>
      </c>
      <c r="W883" t="s">
        <v>162</v>
      </c>
      <c r="X883" t="s">
        <v>78</v>
      </c>
      <c r="Y883" s="1">
        <v>411</v>
      </c>
      <c r="Z883" s="1" t="str">
        <f t="shared" si="260"/>
        <v>Income: $411.00</v>
      </c>
      <c r="AA883" s="1">
        <f>IF(Y883="","",ROUND(Y883*'Lookup Values'!$A$2,2))</f>
        <v>36.479999999999997</v>
      </c>
      <c r="AB883" s="12" t="str">
        <f t="shared" si="261"/>
        <v>Income</v>
      </c>
      <c r="AC883" s="2" t="s">
        <v>887</v>
      </c>
      <c r="AD883" s="3">
        <f t="shared" si="262"/>
        <v>39116</v>
      </c>
      <c r="AE883" s="93" t="str">
        <f t="shared" si="263"/>
        <v>NO</v>
      </c>
      <c r="AF883" s="2" t="str">
        <f t="shared" si="264"/>
        <v>NO</v>
      </c>
      <c r="AG883" t="str">
        <f t="shared" si="265"/>
        <v>Late Transaction</v>
      </c>
    </row>
    <row r="884" spans="1:33" x14ac:dyDescent="0.25">
      <c r="A884" s="2">
        <v>883</v>
      </c>
      <c r="B884" s="3" t="str">
        <f t="shared" si="247"/>
        <v>120509-IN-EZE</v>
      </c>
      <c r="C884" s="3">
        <v>41038</v>
      </c>
      <c r="D884" s="3">
        <f t="shared" si="249"/>
        <v>41052</v>
      </c>
      <c r="E884" s="3">
        <f t="shared" si="250"/>
        <v>41099</v>
      </c>
      <c r="F884" s="3">
        <f t="shared" si="251"/>
        <v>41060</v>
      </c>
      <c r="G884" s="76">
        <f t="shared" si="252"/>
        <v>2012</v>
      </c>
      <c r="H884" s="76">
        <f t="shared" si="253"/>
        <v>5</v>
      </c>
      <c r="I884" s="76" t="str">
        <f>VLOOKUP(H884,'Lookup Values'!$C$2:$D$13,2,FALSE)</f>
        <v>MAY</v>
      </c>
      <c r="J884" s="76">
        <f t="shared" si="254"/>
        <v>9</v>
      </c>
      <c r="K884" s="76">
        <f t="shared" si="255"/>
        <v>4</v>
      </c>
      <c r="L884" s="76" t="str">
        <f>VLOOKUP(K884,'Lookup Values'!$F$2:$G$8,2,FALSE)</f>
        <v>Wednesday</v>
      </c>
      <c r="M884" s="3">
        <v>41041</v>
      </c>
      <c r="N884" s="78">
        <f t="shared" si="248"/>
        <v>3</v>
      </c>
      <c r="O884" s="11">
        <v>0.74929519848295922</v>
      </c>
      <c r="P884" s="94">
        <f t="shared" si="256"/>
        <v>17</v>
      </c>
      <c r="Q884" s="94">
        <f t="shared" si="257"/>
        <v>58</v>
      </c>
      <c r="R884" s="94">
        <f t="shared" si="258"/>
        <v>59</v>
      </c>
      <c r="S884" s="94" t="str">
        <f>VLOOKUP(O884,'Lookup Values'!$I$2:$L$8,4,TRUE)</f>
        <v>Evening</v>
      </c>
      <c r="T884" t="s">
        <v>158</v>
      </c>
      <c r="U884" t="s">
        <v>159</v>
      </c>
      <c r="V884" t="str">
        <f t="shared" si="259"/>
        <v>Income: Salary</v>
      </c>
      <c r="W884" t="s">
        <v>162</v>
      </c>
      <c r="X884" t="s">
        <v>78</v>
      </c>
      <c r="Y884" s="1">
        <v>87</v>
      </c>
      <c r="Z884" s="1" t="str">
        <f t="shared" si="260"/>
        <v>Income: $87.00</v>
      </c>
      <c r="AA884" s="1">
        <f>IF(Y884="","",ROUND(Y884*'Lookup Values'!$A$2,2))</f>
        <v>7.72</v>
      </c>
      <c r="AB884" s="12" t="str">
        <f t="shared" si="261"/>
        <v>Income</v>
      </c>
      <c r="AC884" s="2" t="s">
        <v>888</v>
      </c>
      <c r="AD884" s="3">
        <f t="shared" si="262"/>
        <v>41038</v>
      </c>
      <c r="AE884" s="93" t="str">
        <f t="shared" si="263"/>
        <v>NO</v>
      </c>
      <c r="AF884" s="2" t="str">
        <f t="shared" si="264"/>
        <v>NO</v>
      </c>
      <c r="AG884" t="str">
        <f t="shared" si="265"/>
        <v>CRAP Transaction</v>
      </c>
    </row>
    <row r="885" spans="1:33" x14ac:dyDescent="0.25">
      <c r="A885" s="2">
        <v>884</v>
      </c>
      <c r="B885" s="3" t="str">
        <f t="shared" si="247"/>
        <v>080703-IN-LEG</v>
      </c>
      <c r="C885" s="3">
        <v>39632</v>
      </c>
      <c r="D885" s="3">
        <f t="shared" si="249"/>
        <v>39646</v>
      </c>
      <c r="E885" s="3">
        <f t="shared" si="250"/>
        <v>39694</v>
      </c>
      <c r="F885" s="3">
        <f t="shared" si="251"/>
        <v>39660</v>
      </c>
      <c r="G885" s="76">
        <f t="shared" si="252"/>
        <v>2008</v>
      </c>
      <c r="H885" s="76">
        <f t="shared" si="253"/>
        <v>7</v>
      </c>
      <c r="I885" s="76" t="str">
        <f>VLOOKUP(H885,'Lookup Values'!$C$2:$D$13,2,FALSE)</f>
        <v>JUL</v>
      </c>
      <c r="J885" s="76">
        <f t="shared" si="254"/>
        <v>3</v>
      </c>
      <c r="K885" s="76">
        <f t="shared" si="255"/>
        <v>5</v>
      </c>
      <c r="L885" s="76" t="str">
        <f>VLOOKUP(K885,'Lookup Values'!$F$2:$G$8,2,FALSE)</f>
        <v>Thursday</v>
      </c>
      <c r="M885" s="3">
        <v>39634</v>
      </c>
      <c r="N885" s="78">
        <f t="shared" si="248"/>
        <v>2</v>
      </c>
      <c r="O885" s="11">
        <v>4.0459043714903387E-2</v>
      </c>
      <c r="P885" s="94">
        <f t="shared" si="256"/>
        <v>0</v>
      </c>
      <c r="Q885" s="94">
        <f t="shared" si="257"/>
        <v>58</v>
      </c>
      <c r="R885" s="94">
        <f t="shared" si="258"/>
        <v>16</v>
      </c>
      <c r="S885" s="94" t="str">
        <f>VLOOKUP(O885,'Lookup Values'!$I$2:$L$8,4,TRUE)</f>
        <v>Dead of Night</v>
      </c>
      <c r="T885" t="s">
        <v>158</v>
      </c>
      <c r="U885" t="s">
        <v>160</v>
      </c>
      <c r="V885" t="str">
        <f t="shared" si="259"/>
        <v>Income: Freelance Project</v>
      </c>
      <c r="W885" t="s">
        <v>163</v>
      </c>
      <c r="X885" t="s">
        <v>78</v>
      </c>
      <c r="Y885" s="1">
        <v>120</v>
      </c>
      <c r="Z885" s="1" t="str">
        <f t="shared" si="260"/>
        <v>Income: $120.00</v>
      </c>
      <c r="AA885" s="1">
        <f>IF(Y885="","",ROUND(Y885*'Lookup Values'!$A$2,2))</f>
        <v>10.65</v>
      </c>
      <c r="AB885" s="12" t="str">
        <f t="shared" si="261"/>
        <v>Income</v>
      </c>
      <c r="AC885" s="2" t="s">
        <v>712</v>
      </c>
      <c r="AD885" s="3">
        <f t="shared" si="262"/>
        <v>39632</v>
      </c>
      <c r="AE885" s="93" t="str">
        <f t="shared" si="263"/>
        <v>NO</v>
      </c>
      <c r="AF885" s="2" t="str">
        <f t="shared" si="264"/>
        <v>NO</v>
      </c>
      <c r="AG885" t="str">
        <f t="shared" si="265"/>
        <v>Late Transaction</v>
      </c>
    </row>
    <row r="886" spans="1:33" x14ac:dyDescent="0.25">
      <c r="A886" s="2">
        <v>885</v>
      </c>
      <c r="B886" s="3" t="str">
        <f t="shared" si="247"/>
        <v>101119-HO-BED</v>
      </c>
      <c r="C886" s="3">
        <v>40501</v>
      </c>
      <c r="D886" s="3">
        <f t="shared" si="249"/>
        <v>40515</v>
      </c>
      <c r="E886" s="3">
        <f t="shared" si="250"/>
        <v>40562</v>
      </c>
      <c r="F886" s="3">
        <f t="shared" si="251"/>
        <v>40512</v>
      </c>
      <c r="G886" s="76">
        <f t="shared" si="252"/>
        <v>2010</v>
      </c>
      <c r="H886" s="76">
        <f t="shared" si="253"/>
        <v>11</v>
      </c>
      <c r="I886" s="76" t="str">
        <f>VLOOKUP(H886,'Lookup Values'!$C$2:$D$13,2,FALSE)</f>
        <v>NOV</v>
      </c>
      <c r="J886" s="76">
        <f t="shared" si="254"/>
        <v>19</v>
      </c>
      <c r="K886" s="76">
        <f t="shared" si="255"/>
        <v>6</v>
      </c>
      <c r="L886" s="76" t="str">
        <f>VLOOKUP(K886,'Lookup Values'!$F$2:$G$8,2,FALSE)</f>
        <v>Friday</v>
      </c>
      <c r="M886" s="3">
        <v>40504</v>
      </c>
      <c r="N886" s="78">
        <f t="shared" si="248"/>
        <v>3</v>
      </c>
      <c r="O886" s="11">
        <v>0.81562671059109726</v>
      </c>
      <c r="P886" s="94">
        <f t="shared" si="256"/>
        <v>19</v>
      </c>
      <c r="Q886" s="94">
        <f t="shared" si="257"/>
        <v>34</v>
      </c>
      <c r="R886" s="94">
        <f t="shared" si="258"/>
        <v>30</v>
      </c>
      <c r="S886" s="94" t="str">
        <f>VLOOKUP(O886,'Lookup Values'!$I$2:$L$8,4,TRUE)</f>
        <v>Evening</v>
      </c>
      <c r="T886" t="s">
        <v>100</v>
      </c>
      <c r="U886" t="s">
        <v>101</v>
      </c>
      <c r="V886" t="str">
        <f t="shared" si="259"/>
        <v>Home: Cleaning Supplies</v>
      </c>
      <c r="W886" t="s">
        <v>99</v>
      </c>
      <c r="X886" t="s">
        <v>88</v>
      </c>
      <c r="Y886" s="1">
        <v>471</v>
      </c>
      <c r="Z886" s="1" t="str">
        <f t="shared" si="260"/>
        <v>Home: $471.00</v>
      </c>
      <c r="AA886" s="1">
        <f>IF(Y886="","",ROUND(Y886*'Lookup Values'!$A$2,2))</f>
        <v>41.8</v>
      </c>
      <c r="AB886" s="12" t="str">
        <f t="shared" si="261"/>
        <v>Expense</v>
      </c>
      <c r="AC886" s="2" t="s">
        <v>889</v>
      </c>
      <c r="AD886" s="3">
        <f t="shared" si="262"/>
        <v>40501</v>
      </c>
      <c r="AE886" s="93" t="str">
        <f t="shared" si="263"/>
        <v>NO</v>
      </c>
      <c r="AF886" s="2" t="str">
        <f t="shared" si="264"/>
        <v>NO</v>
      </c>
      <c r="AG886" t="str">
        <f t="shared" si="265"/>
        <v>Late Transaction</v>
      </c>
    </row>
    <row r="887" spans="1:33" x14ac:dyDescent="0.25">
      <c r="A887" s="2">
        <v>886</v>
      </c>
      <c r="B887" s="3" t="str">
        <f t="shared" si="247"/>
        <v>070816-ED-SKI</v>
      </c>
      <c r="C887" s="3">
        <v>39310</v>
      </c>
      <c r="D887" s="3">
        <f t="shared" si="249"/>
        <v>39324</v>
      </c>
      <c r="E887" s="3">
        <f t="shared" si="250"/>
        <v>39371</v>
      </c>
      <c r="F887" s="3">
        <f t="shared" si="251"/>
        <v>39325</v>
      </c>
      <c r="G887" s="76">
        <f t="shared" si="252"/>
        <v>2007</v>
      </c>
      <c r="H887" s="76">
        <f t="shared" si="253"/>
        <v>8</v>
      </c>
      <c r="I887" s="76" t="str">
        <f>VLOOKUP(H887,'Lookup Values'!$C$2:$D$13,2,FALSE)</f>
        <v>AUG</v>
      </c>
      <c r="J887" s="76">
        <f t="shared" si="254"/>
        <v>16</v>
      </c>
      <c r="K887" s="76">
        <f t="shared" si="255"/>
        <v>5</v>
      </c>
      <c r="L887" s="76" t="str">
        <f>VLOOKUP(K887,'Lookup Values'!$F$2:$G$8,2,FALSE)</f>
        <v>Thursday</v>
      </c>
      <c r="M887" s="3">
        <v>39316</v>
      </c>
      <c r="N887" s="78">
        <f t="shared" si="248"/>
        <v>6</v>
      </c>
      <c r="O887" s="11">
        <v>0.41806581067504567</v>
      </c>
      <c r="P887" s="94">
        <f t="shared" si="256"/>
        <v>10</v>
      </c>
      <c r="Q887" s="94">
        <f t="shared" si="257"/>
        <v>2</v>
      </c>
      <c r="R887" s="94">
        <f t="shared" si="258"/>
        <v>1</v>
      </c>
      <c r="S887" s="94" t="str">
        <f>VLOOKUP(O887,'Lookup Values'!$I$2:$L$8,4,TRUE)</f>
        <v>Late Morning</v>
      </c>
      <c r="T887" t="s">
        <v>86</v>
      </c>
      <c r="U887" t="s">
        <v>98</v>
      </c>
      <c r="V887" t="str">
        <f t="shared" si="259"/>
        <v>Education: Professional Development</v>
      </c>
      <c r="W887" t="s">
        <v>97</v>
      </c>
      <c r="X887" t="s">
        <v>91</v>
      </c>
      <c r="Y887" s="1">
        <v>262</v>
      </c>
      <c r="Z887" s="1" t="str">
        <f t="shared" si="260"/>
        <v>Education: $262.00</v>
      </c>
      <c r="AA887" s="1">
        <f>IF(Y887="","",ROUND(Y887*'Lookup Values'!$A$2,2))</f>
        <v>23.25</v>
      </c>
      <c r="AB887" s="12" t="str">
        <f t="shared" si="261"/>
        <v>Expense</v>
      </c>
      <c r="AC887" s="2" t="s">
        <v>890</v>
      </c>
      <c r="AD887" s="3">
        <f t="shared" si="262"/>
        <v>39310</v>
      </c>
      <c r="AE887" s="93" t="str">
        <f t="shared" si="263"/>
        <v>YES</v>
      </c>
      <c r="AF887" s="2" t="str">
        <f t="shared" si="264"/>
        <v>NO</v>
      </c>
      <c r="AG887" t="str">
        <f t="shared" si="265"/>
        <v>Late Transaction</v>
      </c>
    </row>
    <row r="888" spans="1:33" x14ac:dyDescent="0.25">
      <c r="A888" s="2">
        <v>887</v>
      </c>
      <c r="B888" s="3" t="str">
        <f t="shared" si="247"/>
        <v>090909-EN-MOE</v>
      </c>
      <c r="C888" s="3">
        <v>40065</v>
      </c>
      <c r="D888" s="3">
        <f t="shared" si="249"/>
        <v>40079</v>
      </c>
      <c r="E888" s="3">
        <f t="shared" si="250"/>
        <v>40126</v>
      </c>
      <c r="F888" s="3">
        <f t="shared" si="251"/>
        <v>40086</v>
      </c>
      <c r="G888" s="76">
        <f t="shared" si="252"/>
        <v>2009</v>
      </c>
      <c r="H888" s="76">
        <f t="shared" si="253"/>
        <v>9</v>
      </c>
      <c r="I888" s="76" t="str">
        <f>VLOOKUP(H888,'Lookup Values'!$C$2:$D$13,2,FALSE)</f>
        <v>SEP</v>
      </c>
      <c r="J888" s="76">
        <f t="shared" si="254"/>
        <v>9</v>
      </c>
      <c r="K888" s="76">
        <f t="shared" si="255"/>
        <v>4</v>
      </c>
      <c r="L888" s="76" t="str">
        <f>VLOOKUP(K888,'Lookup Values'!$F$2:$G$8,2,FALSE)</f>
        <v>Wednesday</v>
      </c>
      <c r="M888" s="3">
        <v>40070</v>
      </c>
      <c r="N888" s="78">
        <f t="shared" si="248"/>
        <v>5</v>
      </c>
      <c r="O888" s="11">
        <v>0.18704302839306175</v>
      </c>
      <c r="P888" s="94">
        <f t="shared" si="256"/>
        <v>4</v>
      </c>
      <c r="Q888" s="94">
        <f t="shared" si="257"/>
        <v>29</v>
      </c>
      <c r="R888" s="94">
        <f t="shared" si="258"/>
        <v>21</v>
      </c>
      <c r="S888" s="94" t="str">
        <f>VLOOKUP(O888,'Lookup Values'!$I$2:$L$8,4,TRUE)</f>
        <v>Early Morning</v>
      </c>
      <c r="T888" t="s">
        <v>76</v>
      </c>
      <c r="U888" t="s">
        <v>77</v>
      </c>
      <c r="V888" t="str">
        <f t="shared" si="259"/>
        <v>Entertainment: Alcohol</v>
      </c>
      <c r="W888" t="s">
        <v>75</v>
      </c>
      <c r="X888" t="s">
        <v>91</v>
      </c>
      <c r="Y888" s="1">
        <v>401</v>
      </c>
      <c r="Z888" s="1" t="str">
        <f t="shared" si="260"/>
        <v>Entertainment: $401.00</v>
      </c>
      <c r="AA888" s="1">
        <f>IF(Y888="","",ROUND(Y888*'Lookup Values'!$A$2,2))</f>
        <v>35.590000000000003</v>
      </c>
      <c r="AB888" s="12" t="str">
        <f t="shared" si="261"/>
        <v>Expense</v>
      </c>
      <c r="AC888" s="2" t="s">
        <v>819</v>
      </c>
      <c r="AD888" s="3">
        <f t="shared" si="262"/>
        <v>40065</v>
      </c>
      <c r="AE888" s="93" t="str">
        <f t="shared" si="263"/>
        <v>NO</v>
      </c>
      <c r="AF888" s="2" t="str">
        <f t="shared" si="264"/>
        <v>NO</v>
      </c>
      <c r="AG888" t="str">
        <f t="shared" si="265"/>
        <v>Awesome Transaction</v>
      </c>
    </row>
    <row r="889" spans="1:33" x14ac:dyDescent="0.25">
      <c r="A889" s="2">
        <v>888</v>
      </c>
      <c r="B889" s="3" t="str">
        <f t="shared" si="247"/>
        <v>120114-ED-SKI</v>
      </c>
      <c r="C889" s="3">
        <v>40922</v>
      </c>
      <c r="D889" s="3">
        <f t="shared" si="249"/>
        <v>40935</v>
      </c>
      <c r="E889" s="3">
        <f t="shared" si="250"/>
        <v>40982</v>
      </c>
      <c r="F889" s="3">
        <f t="shared" si="251"/>
        <v>40939</v>
      </c>
      <c r="G889" s="76">
        <f t="shared" si="252"/>
        <v>2012</v>
      </c>
      <c r="H889" s="76">
        <f t="shared" si="253"/>
        <v>1</v>
      </c>
      <c r="I889" s="76" t="str">
        <f>VLOOKUP(H889,'Lookup Values'!$C$2:$D$13,2,FALSE)</f>
        <v>JAN</v>
      </c>
      <c r="J889" s="76">
        <f t="shared" si="254"/>
        <v>14</v>
      </c>
      <c r="K889" s="76">
        <f t="shared" si="255"/>
        <v>7</v>
      </c>
      <c r="L889" s="76" t="str">
        <f>VLOOKUP(K889,'Lookup Values'!$F$2:$G$8,2,FALSE)</f>
        <v>Saturday</v>
      </c>
      <c r="M889" s="3">
        <v>40924</v>
      </c>
      <c r="N889" s="78">
        <f t="shared" si="248"/>
        <v>2</v>
      </c>
      <c r="O889" s="11">
        <v>0.21930882689674092</v>
      </c>
      <c r="P889" s="94">
        <f t="shared" si="256"/>
        <v>5</v>
      </c>
      <c r="Q889" s="94">
        <f t="shared" si="257"/>
        <v>15</v>
      </c>
      <c r="R889" s="94">
        <f t="shared" si="258"/>
        <v>48</v>
      </c>
      <c r="S889" s="94" t="str">
        <f>VLOOKUP(O889,'Lookup Values'!$I$2:$L$8,4,TRUE)</f>
        <v>Early Morning</v>
      </c>
      <c r="T889" t="s">
        <v>86</v>
      </c>
      <c r="U889" t="s">
        <v>98</v>
      </c>
      <c r="V889" t="str">
        <f t="shared" si="259"/>
        <v>Education: Professional Development</v>
      </c>
      <c r="W889" t="s">
        <v>97</v>
      </c>
      <c r="X889" t="s">
        <v>88</v>
      </c>
      <c r="Y889" s="1">
        <v>449</v>
      </c>
      <c r="Z889" s="1" t="str">
        <f t="shared" si="260"/>
        <v>Education: $449.00</v>
      </c>
      <c r="AA889" s="1">
        <f>IF(Y889="","",ROUND(Y889*'Lookup Values'!$A$2,2))</f>
        <v>39.85</v>
      </c>
      <c r="AB889" s="12" t="str">
        <f t="shared" si="261"/>
        <v>Expense</v>
      </c>
      <c r="AC889" s="2" t="s">
        <v>891</v>
      </c>
      <c r="AD889" s="3">
        <f t="shared" si="262"/>
        <v>40922</v>
      </c>
      <c r="AE889" s="93" t="str">
        <f t="shared" si="263"/>
        <v>YES</v>
      </c>
      <c r="AF889" s="2" t="str">
        <f t="shared" si="264"/>
        <v>YES</v>
      </c>
      <c r="AG889" t="str">
        <f t="shared" si="265"/>
        <v>CRAP Transaction</v>
      </c>
    </row>
    <row r="890" spans="1:33" x14ac:dyDescent="0.25">
      <c r="A890" s="2">
        <v>889</v>
      </c>
      <c r="B890" s="3" t="str">
        <f t="shared" si="247"/>
        <v>071218-IN-LEG</v>
      </c>
      <c r="C890" s="3">
        <v>39434</v>
      </c>
      <c r="D890" s="3">
        <f t="shared" si="249"/>
        <v>39448</v>
      </c>
      <c r="E890" s="3">
        <f t="shared" si="250"/>
        <v>39496</v>
      </c>
      <c r="F890" s="3">
        <f t="shared" si="251"/>
        <v>39447</v>
      </c>
      <c r="G890" s="76">
        <f t="shared" si="252"/>
        <v>2007</v>
      </c>
      <c r="H890" s="76">
        <f t="shared" si="253"/>
        <v>12</v>
      </c>
      <c r="I890" s="76" t="str">
        <f>VLOOKUP(H890,'Lookup Values'!$C$2:$D$13,2,FALSE)</f>
        <v>DEC</v>
      </c>
      <c r="J890" s="76">
        <f t="shared" si="254"/>
        <v>18</v>
      </c>
      <c r="K890" s="76">
        <f t="shared" si="255"/>
        <v>3</v>
      </c>
      <c r="L890" s="76" t="str">
        <f>VLOOKUP(K890,'Lookup Values'!$F$2:$G$8,2,FALSE)</f>
        <v>Tuesday</v>
      </c>
      <c r="M890" s="3">
        <v>39439</v>
      </c>
      <c r="N890" s="78">
        <f t="shared" si="248"/>
        <v>5</v>
      </c>
      <c r="O890" s="11">
        <v>0.62128204706554557</v>
      </c>
      <c r="P890" s="94">
        <f t="shared" si="256"/>
        <v>14</v>
      </c>
      <c r="Q890" s="94">
        <f t="shared" si="257"/>
        <v>54</v>
      </c>
      <c r="R890" s="94">
        <f t="shared" si="258"/>
        <v>39</v>
      </c>
      <c r="S890" s="94" t="str">
        <f>VLOOKUP(O890,'Lookup Values'!$I$2:$L$8,4,TRUE)</f>
        <v>Afternoon</v>
      </c>
      <c r="T890" t="s">
        <v>158</v>
      </c>
      <c r="U890" t="s">
        <v>160</v>
      </c>
      <c r="V890" t="str">
        <f t="shared" si="259"/>
        <v>Income: Freelance Project</v>
      </c>
      <c r="W890" t="s">
        <v>163</v>
      </c>
      <c r="X890" t="s">
        <v>78</v>
      </c>
      <c r="Y890" s="1">
        <v>121</v>
      </c>
      <c r="Z890" s="1" t="str">
        <f t="shared" si="260"/>
        <v>Income: $121.00</v>
      </c>
      <c r="AA890" s="1">
        <f>IF(Y890="","",ROUND(Y890*'Lookup Values'!$A$2,2))</f>
        <v>10.74</v>
      </c>
      <c r="AB890" s="12" t="str">
        <f t="shared" si="261"/>
        <v>Income</v>
      </c>
      <c r="AC890" s="2" t="s">
        <v>892</v>
      </c>
      <c r="AD890" s="3">
        <f t="shared" si="262"/>
        <v>39434</v>
      </c>
      <c r="AE890" s="93" t="str">
        <f t="shared" si="263"/>
        <v>NO</v>
      </c>
      <c r="AF890" s="2" t="str">
        <f t="shared" si="264"/>
        <v>NO</v>
      </c>
      <c r="AG890" t="str">
        <f t="shared" si="265"/>
        <v>Late Transaction</v>
      </c>
    </row>
    <row r="891" spans="1:33" x14ac:dyDescent="0.25">
      <c r="A891" s="2">
        <v>890</v>
      </c>
      <c r="B891" s="3" t="str">
        <f t="shared" si="247"/>
        <v>100829-SH-AMA</v>
      </c>
      <c r="C891" s="3">
        <v>40419</v>
      </c>
      <c r="D891" s="3">
        <f t="shared" si="249"/>
        <v>40431</v>
      </c>
      <c r="E891" s="3">
        <f t="shared" si="250"/>
        <v>40480</v>
      </c>
      <c r="F891" s="3">
        <f t="shared" si="251"/>
        <v>40421</v>
      </c>
      <c r="G891" s="76">
        <f t="shared" si="252"/>
        <v>2010</v>
      </c>
      <c r="H891" s="76">
        <f t="shared" si="253"/>
        <v>8</v>
      </c>
      <c r="I891" s="76" t="str">
        <f>VLOOKUP(H891,'Lookup Values'!$C$2:$D$13,2,FALSE)</f>
        <v>AUG</v>
      </c>
      <c r="J891" s="76">
        <f t="shared" si="254"/>
        <v>29</v>
      </c>
      <c r="K891" s="76">
        <f t="shared" si="255"/>
        <v>1</v>
      </c>
      <c r="L891" s="76" t="str">
        <f>VLOOKUP(K891,'Lookup Values'!$F$2:$G$8,2,FALSE)</f>
        <v>Sunday</v>
      </c>
      <c r="M891" s="3">
        <v>40427</v>
      </c>
      <c r="N891" s="78">
        <f t="shared" si="248"/>
        <v>8</v>
      </c>
      <c r="O891" s="11">
        <v>0.29550560133832726</v>
      </c>
      <c r="P891" s="94">
        <f t="shared" si="256"/>
        <v>7</v>
      </c>
      <c r="Q891" s="94">
        <f t="shared" si="257"/>
        <v>5</v>
      </c>
      <c r="R891" s="94">
        <f t="shared" si="258"/>
        <v>32</v>
      </c>
      <c r="S891" s="94" t="str">
        <f>VLOOKUP(O891,'Lookup Values'!$I$2:$L$8,4,TRUE)</f>
        <v>Morning</v>
      </c>
      <c r="T891" t="s">
        <v>83</v>
      </c>
      <c r="U891" t="s">
        <v>84</v>
      </c>
      <c r="V891" t="str">
        <f t="shared" si="259"/>
        <v>Shopping: Electronics</v>
      </c>
      <c r="W891" t="s">
        <v>82</v>
      </c>
      <c r="X891" t="s">
        <v>78</v>
      </c>
      <c r="Y891" s="1">
        <v>491</v>
      </c>
      <c r="Z891" s="1" t="str">
        <f t="shared" si="260"/>
        <v>Shopping: $491.00</v>
      </c>
      <c r="AA891" s="1">
        <f>IF(Y891="","",ROUND(Y891*'Lookup Values'!$A$2,2))</f>
        <v>43.58</v>
      </c>
      <c r="AB891" s="12" t="str">
        <f t="shared" si="261"/>
        <v>Expense</v>
      </c>
      <c r="AC891" s="2" t="s">
        <v>893</v>
      </c>
      <c r="AD891" s="3">
        <f t="shared" si="262"/>
        <v>40419</v>
      </c>
      <c r="AE891" s="93" t="str">
        <f t="shared" si="263"/>
        <v>YES</v>
      </c>
      <c r="AF891" s="2" t="str">
        <f t="shared" si="264"/>
        <v>YES</v>
      </c>
      <c r="AG891" t="str">
        <f t="shared" si="265"/>
        <v>Late Transaction</v>
      </c>
    </row>
    <row r="892" spans="1:33" x14ac:dyDescent="0.25">
      <c r="A892" s="2">
        <v>891</v>
      </c>
      <c r="B892" s="3" t="str">
        <f t="shared" si="247"/>
        <v>110526-FO-BAN</v>
      </c>
      <c r="C892" s="3">
        <v>40689</v>
      </c>
      <c r="D892" s="3">
        <f t="shared" si="249"/>
        <v>40703</v>
      </c>
      <c r="E892" s="3">
        <f t="shared" si="250"/>
        <v>40750</v>
      </c>
      <c r="F892" s="3">
        <f t="shared" si="251"/>
        <v>40694</v>
      </c>
      <c r="G892" s="76">
        <f t="shared" si="252"/>
        <v>2011</v>
      </c>
      <c r="H892" s="76">
        <f t="shared" si="253"/>
        <v>5</v>
      </c>
      <c r="I892" s="76" t="str">
        <f>VLOOKUP(H892,'Lookup Values'!$C$2:$D$13,2,FALSE)</f>
        <v>MAY</v>
      </c>
      <c r="J892" s="76">
        <f t="shared" si="254"/>
        <v>26</v>
      </c>
      <c r="K892" s="76">
        <f t="shared" si="255"/>
        <v>5</v>
      </c>
      <c r="L892" s="76" t="str">
        <f>VLOOKUP(K892,'Lookup Values'!$F$2:$G$8,2,FALSE)</f>
        <v>Thursday</v>
      </c>
      <c r="M892" s="3">
        <v>40699</v>
      </c>
      <c r="N892" s="78">
        <f t="shared" si="248"/>
        <v>10</v>
      </c>
      <c r="O892" s="11">
        <v>0.31359500752715497</v>
      </c>
      <c r="P892" s="94">
        <f t="shared" si="256"/>
        <v>7</v>
      </c>
      <c r="Q892" s="94">
        <f t="shared" si="257"/>
        <v>31</v>
      </c>
      <c r="R892" s="94">
        <f t="shared" si="258"/>
        <v>35</v>
      </c>
      <c r="S892" s="94" t="str">
        <f>VLOOKUP(O892,'Lookup Values'!$I$2:$L$8,4,TRUE)</f>
        <v>Morning</v>
      </c>
      <c r="T892" t="s">
        <v>80</v>
      </c>
      <c r="U892" t="s">
        <v>81</v>
      </c>
      <c r="V892" t="str">
        <f t="shared" si="259"/>
        <v>Food: Restaurants</v>
      </c>
      <c r="W892" t="s">
        <v>79</v>
      </c>
      <c r="X892" t="s">
        <v>78</v>
      </c>
      <c r="Y892" s="1">
        <v>422</v>
      </c>
      <c r="Z892" s="1" t="str">
        <f t="shared" si="260"/>
        <v>Food: $422.00</v>
      </c>
      <c r="AA892" s="1">
        <f>IF(Y892="","",ROUND(Y892*'Lookup Values'!$A$2,2))</f>
        <v>37.450000000000003</v>
      </c>
      <c r="AB892" s="12" t="str">
        <f t="shared" si="261"/>
        <v>Expense</v>
      </c>
      <c r="AC892" s="2" t="s">
        <v>894</v>
      </c>
      <c r="AD892" s="3">
        <f t="shared" si="262"/>
        <v>40689</v>
      </c>
      <c r="AE892" s="93" t="str">
        <f t="shared" si="263"/>
        <v>NO</v>
      </c>
      <c r="AF892" s="2" t="str">
        <f t="shared" si="264"/>
        <v>NO</v>
      </c>
      <c r="AG892" t="str">
        <f t="shared" si="265"/>
        <v>CRAP Transaction</v>
      </c>
    </row>
    <row r="893" spans="1:33" x14ac:dyDescent="0.25">
      <c r="A893" s="2">
        <v>892</v>
      </c>
      <c r="B893" s="3" t="str">
        <f t="shared" si="247"/>
        <v>100601-BI-CON</v>
      </c>
      <c r="C893" s="3">
        <v>40330</v>
      </c>
      <c r="D893" s="3">
        <f t="shared" si="249"/>
        <v>40344</v>
      </c>
      <c r="E893" s="3">
        <f t="shared" si="250"/>
        <v>40391</v>
      </c>
      <c r="F893" s="3">
        <f t="shared" si="251"/>
        <v>40359</v>
      </c>
      <c r="G893" s="76">
        <f t="shared" si="252"/>
        <v>2010</v>
      </c>
      <c r="H893" s="76">
        <f t="shared" si="253"/>
        <v>6</v>
      </c>
      <c r="I893" s="76" t="str">
        <f>VLOOKUP(H893,'Lookup Values'!$C$2:$D$13,2,FALSE)</f>
        <v>JUN</v>
      </c>
      <c r="J893" s="76">
        <f t="shared" si="254"/>
        <v>1</v>
      </c>
      <c r="K893" s="76">
        <f t="shared" si="255"/>
        <v>3</v>
      </c>
      <c r="L893" s="76" t="str">
        <f>VLOOKUP(K893,'Lookup Values'!$F$2:$G$8,2,FALSE)</f>
        <v>Tuesday</v>
      </c>
      <c r="M893" s="3">
        <v>40338</v>
      </c>
      <c r="N893" s="78">
        <f t="shared" si="248"/>
        <v>8</v>
      </c>
      <c r="O893" s="11">
        <v>0.61566506133938759</v>
      </c>
      <c r="P893" s="94">
        <f t="shared" si="256"/>
        <v>14</v>
      </c>
      <c r="Q893" s="94">
        <f t="shared" si="257"/>
        <v>46</v>
      </c>
      <c r="R893" s="94">
        <f t="shared" si="258"/>
        <v>33</v>
      </c>
      <c r="S893" s="94" t="str">
        <f>VLOOKUP(O893,'Lookup Values'!$I$2:$L$8,4,TRUE)</f>
        <v>Afternoon</v>
      </c>
      <c r="T893" t="s">
        <v>110</v>
      </c>
      <c r="U893" t="s">
        <v>111</v>
      </c>
      <c r="V893" t="str">
        <f t="shared" si="259"/>
        <v>Bills: Utilities</v>
      </c>
      <c r="W893" t="s">
        <v>109</v>
      </c>
      <c r="X893" t="s">
        <v>88</v>
      </c>
      <c r="Y893" s="1">
        <v>467</v>
      </c>
      <c r="Z893" s="1" t="str">
        <f t="shared" si="260"/>
        <v>Bills: $467.00</v>
      </c>
      <c r="AA893" s="1">
        <f>IF(Y893="","",ROUND(Y893*'Lookup Values'!$A$2,2))</f>
        <v>41.45</v>
      </c>
      <c r="AB893" s="12" t="str">
        <f t="shared" si="261"/>
        <v>Expense</v>
      </c>
      <c r="AC893" s="2" t="s">
        <v>336</v>
      </c>
      <c r="AD893" s="3">
        <f t="shared" si="262"/>
        <v>40330</v>
      </c>
      <c r="AE893" s="93" t="str">
        <f t="shared" si="263"/>
        <v>NO</v>
      </c>
      <c r="AF893" s="2" t="str">
        <f t="shared" si="264"/>
        <v>NO</v>
      </c>
      <c r="AG893" t="str">
        <f t="shared" si="265"/>
        <v>Late Transaction</v>
      </c>
    </row>
    <row r="894" spans="1:33" x14ac:dyDescent="0.25">
      <c r="A894" s="2">
        <v>893</v>
      </c>
      <c r="B894" s="3" t="str">
        <f t="shared" si="247"/>
        <v>070502-EN-FAN</v>
      </c>
      <c r="C894" s="3">
        <v>39204</v>
      </c>
      <c r="D894" s="3">
        <f t="shared" si="249"/>
        <v>39218</v>
      </c>
      <c r="E894" s="3">
        <f t="shared" si="250"/>
        <v>39265</v>
      </c>
      <c r="F894" s="3">
        <f t="shared" si="251"/>
        <v>39233</v>
      </c>
      <c r="G894" s="76">
        <f t="shared" si="252"/>
        <v>2007</v>
      </c>
      <c r="H894" s="76">
        <f t="shared" si="253"/>
        <v>5</v>
      </c>
      <c r="I894" s="76" t="str">
        <f>VLOOKUP(H894,'Lookup Values'!$C$2:$D$13,2,FALSE)</f>
        <v>MAY</v>
      </c>
      <c r="J894" s="76">
        <f t="shared" si="254"/>
        <v>2</v>
      </c>
      <c r="K894" s="76">
        <f t="shared" si="255"/>
        <v>4</v>
      </c>
      <c r="L894" s="76" t="str">
        <f>VLOOKUP(K894,'Lookup Values'!$F$2:$G$8,2,FALSE)</f>
        <v>Wednesday</v>
      </c>
      <c r="M894" s="3">
        <v>39209</v>
      </c>
      <c r="N894" s="78">
        <f t="shared" si="248"/>
        <v>5</v>
      </c>
      <c r="O894" s="11">
        <v>0.90843440710891443</v>
      </c>
      <c r="P894" s="94">
        <f t="shared" si="256"/>
        <v>21</v>
      </c>
      <c r="Q894" s="94">
        <f t="shared" si="257"/>
        <v>48</v>
      </c>
      <c r="R894" s="94">
        <f t="shared" si="258"/>
        <v>9</v>
      </c>
      <c r="S894" s="94" t="str">
        <f>VLOOKUP(O894,'Lookup Values'!$I$2:$L$8,4,TRUE)</f>
        <v>Late Evening</v>
      </c>
      <c r="T894" t="s">
        <v>76</v>
      </c>
      <c r="U894" t="s">
        <v>90</v>
      </c>
      <c r="V894" t="str">
        <f t="shared" si="259"/>
        <v>Entertainment: Movies</v>
      </c>
      <c r="W894" t="s">
        <v>89</v>
      </c>
      <c r="X894" t="s">
        <v>78</v>
      </c>
      <c r="Y894" s="1">
        <v>38</v>
      </c>
      <c r="Z894" s="1" t="str">
        <f t="shared" si="260"/>
        <v>Entertainment: $38.00</v>
      </c>
      <c r="AA894" s="1">
        <f>IF(Y894="","",ROUND(Y894*'Lookup Values'!$A$2,2))</f>
        <v>3.37</v>
      </c>
      <c r="AB894" s="12" t="str">
        <f t="shared" si="261"/>
        <v>Expense</v>
      </c>
      <c r="AC894" s="2" t="s">
        <v>895</v>
      </c>
      <c r="AD894" s="3">
        <f t="shared" si="262"/>
        <v>39204</v>
      </c>
      <c r="AE894" s="93" t="str">
        <f t="shared" si="263"/>
        <v>NO</v>
      </c>
      <c r="AF894" s="2" t="str">
        <f t="shared" si="264"/>
        <v>NO</v>
      </c>
      <c r="AG894" t="str">
        <f t="shared" si="265"/>
        <v>Awesome Transaction</v>
      </c>
    </row>
    <row r="895" spans="1:33" x14ac:dyDescent="0.25">
      <c r="A895" s="2">
        <v>894</v>
      </c>
      <c r="B895" s="3" t="str">
        <f t="shared" si="247"/>
        <v>101228-HE-FRE</v>
      </c>
      <c r="C895" s="3">
        <v>40540</v>
      </c>
      <c r="D895" s="3">
        <f t="shared" si="249"/>
        <v>40554</v>
      </c>
      <c r="E895" s="3">
        <f t="shared" si="250"/>
        <v>40602</v>
      </c>
      <c r="F895" s="3">
        <f t="shared" si="251"/>
        <v>40543</v>
      </c>
      <c r="G895" s="76">
        <f t="shared" si="252"/>
        <v>2010</v>
      </c>
      <c r="H895" s="76">
        <f t="shared" si="253"/>
        <v>12</v>
      </c>
      <c r="I895" s="76" t="str">
        <f>VLOOKUP(H895,'Lookup Values'!$C$2:$D$13,2,FALSE)</f>
        <v>DEC</v>
      </c>
      <c r="J895" s="76">
        <f t="shared" si="254"/>
        <v>28</v>
      </c>
      <c r="K895" s="76">
        <f t="shared" si="255"/>
        <v>3</v>
      </c>
      <c r="L895" s="76" t="str">
        <f>VLOOKUP(K895,'Lookup Values'!$F$2:$G$8,2,FALSE)</f>
        <v>Tuesday</v>
      </c>
      <c r="M895" s="3">
        <v>40549</v>
      </c>
      <c r="N895" s="78">
        <f t="shared" si="248"/>
        <v>9</v>
      </c>
      <c r="O895" s="11">
        <v>2.5021883225487485E-2</v>
      </c>
      <c r="P895" s="94">
        <f t="shared" si="256"/>
        <v>0</v>
      </c>
      <c r="Q895" s="94">
        <f t="shared" si="257"/>
        <v>36</v>
      </c>
      <c r="R895" s="94">
        <f t="shared" si="258"/>
        <v>2</v>
      </c>
      <c r="S895" s="94" t="str">
        <f>VLOOKUP(O895,'Lookup Values'!$I$2:$L$8,4,TRUE)</f>
        <v>Dead of Night</v>
      </c>
      <c r="T895" t="s">
        <v>107</v>
      </c>
      <c r="U895" t="s">
        <v>108</v>
      </c>
      <c r="V895" t="str">
        <f t="shared" si="259"/>
        <v>Health: Insurance Premium</v>
      </c>
      <c r="W895" t="s">
        <v>106</v>
      </c>
      <c r="X895" t="s">
        <v>91</v>
      </c>
      <c r="Y895" s="1">
        <v>215</v>
      </c>
      <c r="Z895" s="1" t="str">
        <f t="shared" si="260"/>
        <v>Health: $215.00</v>
      </c>
      <c r="AA895" s="1">
        <f>IF(Y895="","",ROUND(Y895*'Lookup Values'!$A$2,2))</f>
        <v>19.079999999999998</v>
      </c>
      <c r="AB895" s="12" t="str">
        <f t="shared" si="261"/>
        <v>Expense</v>
      </c>
      <c r="AC895" s="2" t="s">
        <v>871</v>
      </c>
      <c r="AD895" s="3">
        <f t="shared" si="262"/>
        <v>40540</v>
      </c>
      <c r="AE895" s="93" t="str">
        <f t="shared" si="263"/>
        <v>NO</v>
      </c>
      <c r="AF895" s="2" t="str">
        <f t="shared" si="264"/>
        <v>NO</v>
      </c>
      <c r="AG895" t="str">
        <f t="shared" si="265"/>
        <v>Late Transaction</v>
      </c>
    </row>
    <row r="896" spans="1:33" x14ac:dyDescent="0.25">
      <c r="A896" s="2">
        <v>895</v>
      </c>
      <c r="B896" s="3" t="str">
        <f t="shared" si="247"/>
        <v>070422-FO-BAN</v>
      </c>
      <c r="C896" s="3">
        <v>39194</v>
      </c>
      <c r="D896" s="3">
        <f t="shared" si="249"/>
        <v>39206</v>
      </c>
      <c r="E896" s="3">
        <f t="shared" si="250"/>
        <v>39255</v>
      </c>
      <c r="F896" s="3">
        <f t="shared" si="251"/>
        <v>39202</v>
      </c>
      <c r="G896" s="76">
        <f t="shared" si="252"/>
        <v>2007</v>
      </c>
      <c r="H896" s="76">
        <f t="shared" si="253"/>
        <v>4</v>
      </c>
      <c r="I896" s="76" t="str">
        <f>VLOOKUP(H896,'Lookup Values'!$C$2:$D$13,2,FALSE)</f>
        <v>APR</v>
      </c>
      <c r="J896" s="76">
        <f t="shared" si="254"/>
        <v>22</v>
      </c>
      <c r="K896" s="76">
        <f t="shared" si="255"/>
        <v>1</v>
      </c>
      <c r="L896" s="76" t="str">
        <f>VLOOKUP(K896,'Lookup Values'!$F$2:$G$8,2,FALSE)</f>
        <v>Sunday</v>
      </c>
      <c r="M896" s="3">
        <v>39197</v>
      </c>
      <c r="N896" s="78">
        <f t="shared" si="248"/>
        <v>3</v>
      </c>
      <c r="O896" s="11">
        <v>0.20327513474969805</v>
      </c>
      <c r="P896" s="94">
        <f t="shared" si="256"/>
        <v>4</v>
      </c>
      <c r="Q896" s="94">
        <f t="shared" si="257"/>
        <v>52</v>
      </c>
      <c r="R896" s="94">
        <f t="shared" si="258"/>
        <v>43</v>
      </c>
      <c r="S896" s="94" t="str">
        <f>VLOOKUP(O896,'Lookup Values'!$I$2:$L$8,4,TRUE)</f>
        <v>Early Morning</v>
      </c>
      <c r="T896" t="s">
        <v>80</v>
      </c>
      <c r="U896" t="s">
        <v>81</v>
      </c>
      <c r="V896" t="str">
        <f t="shared" si="259"/>
        <v>Food: Restaurants</v>
      </c>
      <c r="W896" t="s">
        <v>79</v>
      </c>
      <c r="X896" t="s">
        <v>91</v>
      </c>
      <c r="Y896" s="1">
        <v>107</v>
      </c>
      <c r="Z896" s="1" t="str">
        <f t="shared" si="260"/>
        <v>Food: $107.00</v>
      </c>
      <c r="AA896" s="1">
        <f>IF(Y896="","",ROUND(Y896*'Lookup Values'!$A$2,2))</f>
        <v>9.5</v>
      </c>
      <c r="AB896" s="12" t="str">
        <f t="shared" si="261"/>
        <v>Expense</v>
      </c>
      <c r="AC896" s="2" t="s">
        <v>896</v>
      </c>
      <c r="AD896" s="3">
        <f t="shared" si="262"/>
        <v>39194</v>
      </c>
      <c r="AE896" s="93" t="str">
        <f t="shared" si="263"/>
        <v>NO</v>
      </c>
      <c r="AF896" s="2" t="str">
        <f t="shared" si="264"/>
        <v>NO</v>
      </c>
      <c r="AG896" t="str">
        <f t="shared" si="265"/>
        <v>Awesome Transaction</v>
      </c>
    </row>
    <row r="897" spans="1:33" x14ac:dyDescent="0.25">
      <c r="A897" s="2">
        <v>896</v>
      </c>
      <c r="B897" s="3" t="str">
        <f t="shared" si="247"/>
        <v>100715-FO-BAN</v>
      </c>
      <c r="C897" s="3">
        <v>40374</v>
      </c>
      <c r="D897" s="3">
        <f t="shared" si="249"/>
        <v>40388</v>
      </c>
      <c r="E897" s="3">
        <f t="shared" si="250"/>
        <v>40436</v>
      </c>
      <c r="F897" s="3">
        <f t="shared" si="251"/>
        <v>40390</v>
      </c>
      <c r="G897" s="76">
        <f t="shared" si="252"/>
        <v>2010</v>
      </c>
      <c r="H897" s="76">
        <f t="shared" si="253"/>
        <v>7</v>
      </c>
      <c r="I897" s="76" t="str">
        <f>VLOOKUP(H897,'Lookup Values'!$C$2:$D$13,2,FALSE)</f>
        <v>JUL</v>
      </c>
      <c r="J897" s="76">
        <f t="shared" si="254"/>
        <v>15</v>
      </c>
      <c r="K897" s="76">
        <f t="shared" si="255"/>
        <v>5</v>
      </c>
      <c r="L897" s="76" t="str">
        <f>VLOOKUP(K897,'Lookup Values'!$F$2:$G$8,2,FALSE)</f>
        <v>Thursday</v>
      </c>
      <c r="M897" s="3">
        <v>40381</v>
      </c>
      <c r="N897" s="78">
        <f t="shared" si="248"/>
        <v>7</v>
      </c>
      <c r="O897" s="11">
        <v>0.45956419160985928</v>
      </c>
      <c r="P897" s="94">
        <f t="shared" si="256"/>
        <v>11</v>
      </c>
      <c r="Q897" s="94">
        <f t="shared" si="257"/>
        <v>1</v>
      </c>
      <c r="R897" s="94">
        <f t="shared" si="258"/>
        <v>46</v>
      </c>
      <c r="S897" s="94" t="str">
        <f>VLOOKUP(O897,'Lookup Values'!$I$2:$L$8,4,TRUE)</f>
        <v>Late Morning</v>
      </c>
      <c r="T897" t="s">
        <v>80</v>
      </c>
      <c r="U897" t="s">
        <v>81</v>
      </c>
      <c r="V897" t="str">
        <f t="shared" si="259"/>
        <v>Food: Restaurants</v>
      </c>
      <c r="W897" t="s">
        <v>79</v>
      </c>
      <c r="X897" t="s">
        <v>78</v>
      </c>
      <c r="Y897" s="1">
        <v>400</v>
      </c>
      <c r="Z897" s="1" t="str">
        <f t="shared" si="260"/>
        <v>Food: $400.00</v>
      </c>
      <c r="AA897" s="1">
        <f>IF(Y897="","",ROUND(Y897*'Lookup Values'!$A$2,2))</f>
        <v>35.5</v>
      </c>
      <c r="AB897" s="12" t="str">
        <f t="shared" si="261"/>
        <v>Expense</v>
      </c>
      <c r="AC897" s="2" t="s">
        <v>897</v>
      </c>
      <c r="AD897" s="3">
        <f t="shared" si="262"/>
        <v>40374</v>
      </c>
      <c r="AE897" s="93" t="str">
        <f t="shared" si="263"/>
        <v>NO</v>
      </c>
      <c r="AF897" s="2" t="str">
        <f t="shared" si="264"/>
        <v>NO</v>
      </c>
      <c r="AG897" t="str">
        <f t="shared" si="265"/>
        <v>Late Transaction</v>
      </c>
    </row>
    <row r="898" spans="1:33" x14ac:dyDescent="0.25">
      <c r="A898" s="2">
        <v>897</v>
      </c>
      <c r="B898" s="3" t="str">
        <f t="shared" ref="B898:B961" si="266">TEXT(C898,"yymmdd") &amp; "-" &amp; UPPER(LEFT(T898,2)) &amp; "-" &amp; UPPER(LEFT(W898,3))</f>
        <v>070719-IN-AUN</v>
      </c>
      <c r="C898" s="3">
        <v>39282</v>
      </c>
      <c r="D898" s="3">
        <f t="shared" si="249"/>
        <v>39296</v>
      </c>
      <c r="E898" s="3">
        <f t="shared" si="250"/>
        <v>39344</v>
      </c>
      <c r="F898" s="3">
        <f t="shared" si="251"/>
        <v>39294</v>
      </c>
      <c r="G898" s="76">
        <f t="shared" si="252"/>
        <v>2007</v>
      </c>
      <c r="H898" s="76">
        <f t="shared" si="253"/>
        <v>7</v>
      </c>
      <c r="I898" s="76" t="str">
        <f>VLOOKUP(H898,'Lookup Values'!$C$2:$D$13,2,FALSE)</f>
        <v>JUL</v>
      </c>
      <c r="J898" s="76">
        <f t="shared" si="254"/>
        <v>19</v>
      </c>
      <c r="K898" s="76">
        <f t="shared" si="255"/>
        <v>5</v>
      </c>
      <c r="L898" s="76" t="str">
        <f>VLOOKUP(K898,'Lookup Values'!$F$2:$G$8,2,FALSE)</f>
        <v>Thursday</v>
      </c>
      <c r="M898" s="3">
        <v>39292</v>
      </c>
      <c r="N898" s="78">
        <f t="shared" ref="N898:N961" si="267">M898-C898</f>
        <v>10</v>
      </c>
      <c r="O898" s="11">
        <v>0.25011909659985931</v>
      </c>
      <c r="P898" s="94">
        <f t="shared" si="256"/>
        <v>6</v>
      </c>
      <c r="Q898" s="94">
        <f t="shared" si="257"/>
        <v>0</v>
      </c>
      <c r="R898" s="94">
        <f t="shared" si="258"/>
        <v>10</v>
      </c>
      <c r="S898" s="94" t="str">
        <f>VLOOKUP(O898,'Lookup Values'!$I$2:$L$8,4,TRUE)</f>
        <v>Early Morning</v>
      </c>
      <c r="T898" t="s">
        <v>158</v>
      </c>
      <c r="U898" t="s">
        <v>161</v>
      </c>
      <c r="V898" t="str">
        <f t="shared" si="259"/>
        <v>Income: Gift Received</v>
      </c>
      <c r="W898" t="s">
        <v>164</v>
      </c>
      <c r="X898" t="s">
        <v>91</v>
      </c>
      <c r="Y898" s="1">
        <v>306</v>
      </c>
      <c r="Z898" s="1" t="str">
        <f t="shared" si="260"/>
        <v>Income: $306.00</v>
      </c>
      <c r="AA898" s="1">
        <f>IF(Y898="","",ROUND(Y898*'Lookup Values'!$A$2,2))</f>
        <v>27.16</v>
      </c>
      <c r="AB898" s="12" t="str">
        <f t="shared" si="261"/>
        <v>Income</v>
      </c>
      <c r="AC898" s="2" t="s">
        <v>898</v>
      </c>
      <c r="AD898" s="3">
        <f t="shared" si="262"/>
        <v>39282</v>
      </c>
      <c r="AE898" s="93" t="str">
        <f t="shared" si="263"/>
        <v>NO</v>
      </c>
      <c r="AF898" s="2" t="str">
        <f t="shared" si="264"/>
        <v>NO</v>
      </c>
      <c r="AG898" t="str">
        <f t="shared" si="265"/>
        <v>Late Transaction</v>
      </c>
    </row>
    <row r="899" spans="1:33" x14ac:dyDescent="0.25">
      <c r="A899" s="2">
        <v>898</v>
      </c>
      <c r="B899" s="3" t="str">
        <f t="shared" si="266"/>
        <v>070412-FO-TRA</v>
      </c>
      <c r="C899" s="3">
        <v>39184</v>
      </c>
      <c r="D899" s="3">
        <f t="shared" ref="D899:D962" si="268">WORKDAY(C899,10)</f>
        <v>39198</v>
      </c>
      <c r="E899" s="3">
        <f t="shared" ref="E899:E962" si="269">EDATE(C899,2)</f>
        <v>39245</v>
      </c>
      <c r="F899" s="3">
        <f t="shared" ref="F899:F962" si="270">EOMONTH(C899,0)</f>
        <v>39202</v>
      </c>
      <c r="G899" s="76">
        <f t="shared" ref="G899:G962" si="271">YEAR(C899)</f>
        <v>2007</v>
      </c>
      <c r="H899" s="76">
        <f t="shared" ref="H899:H962" si="272">MONTH(C899)</f>
        <v>4</v>
      </c>
      <c r="I899" s="76" t="str">
        <f>VLOOKUP(H899,'Lookup Values'!$C$2:$D$13,2,FALSE)</f>
        <v>APR</v>
      </c>
      <c r="J899" s="76">
        <f t="shared" ref="J899:J962" si="273">DAY(C899)</f>
        <v>12</v>
      </c>
      <c r="K899" s="76">
        <f t="shared" ref="K899:K962" si="274">WEEKDAY(C899)</f>
        <v>5</v>
      </c>
      <c r="L899" s="76" t="str">
        <f>VLOOKUP(K899,'Lookup Values'!$F$2:$G$8,2,FALSE)</f>
        <v>Thursday</v>
      </c>
      <c r="M899" s="3">
        <v>39185</v>
      </c>
      <c r="N899" s="78">
        <f t="shared" si="267"/>
        <v>1</v>
      </c>
      <c r="O899" s="11">
        <v>0.37518935630381067</v>
      </c>
      <c r="P899" s="94">
        <f t="shared" ref="P899:P962" si="275">HOUR(O899)</f>
        <v>9</v>
      </c>
      <c r="Q899" s="94">
        <f t="shared" ref="Q899:Q962" si="276">MINUTE(O899)</f>
        <v>0</v>
      </c>
      <c r="R899" s="94">
        <f t="shared" ref="R899:R962" si="277">SECOND(O899)</f>
        <v>16</v>
      </c>
      <c r="S899" s="94" t="str">
        <f>VLOOKUP(O899,'Lookup Values'!$I$2:$L$8,4,TRUE)</f>
        <v>Morning</v>
      </c>
      <c r="T899" t="s">
        <v>80</v>
      </c>
      <c r="U899" t="s">
        <v>93</v>
      </c>
      <c r="V899" t="str">
        <f t="shared" ref="V899:V962" si="278">T899 &amp; ": " &amp; U899</f>
        <v>Food: Groceries</v>
      </c>
      <c r="W899" t="s">
        <v>92</v>
      </c>
      <c r="X899" t="s">
        <v>78</v>
      </c>
      <c r="Y899" s="1">
        <v>494</v>
      </c>
      <c r="Z899" s="1" t="str">
        <f t="shared" ref="Z899:Z962" si="279">T899 &amp; ": " &amp; TEXT(Y899,"$#,###.00")</f>
        <v>Food: $494.00</v>
      </c>
      <c r="AA899" s="1">
        <f>IF(Y899="","",ROUND(Y899*'Lookup Values'!$A$2,2))</f>
        <v>43.84</v>
      </c>
      <c r="AB899" s="12" t="str">
        <f t="shared" ref="AB899:AB962" si="280">IF(T899="Income","Income","Expense")</f>
        <v>Expense</v>
      </c>
      <c r="AC899" s="2" t="s">
        <v>899</v>
      </c>
      <c r="AD899" s="3">
        <f t="shared" ref="AD899:AD962" si="281">VALUE(SUBSTITUTE(AC899,".","/"))</f>
        <v>39184</v>
      </c>
      <c r="AE899" s="93" t="str">
        <f t="shared" ref="AE899:AE962" si="282">IF(OR(T899="Transportation",U899="Professional Development",U899="Electronics"),"YES","NO")</f>
        <v>NO</v>
      </c>
      <c r="AF899" s="2" t="str">
        <f t="shared" ref="AF899:AF962" si="283">IF(AND(AE899="YES",Y899&gt;=400),"YES","NO")</f>
        <v>NO</v>
      </c>
      <c r="AG899" t="str">
        <f t="shared" ref="AG899:AG962" si="284">IF(AND(AND(G899&gt;=2007,G899&lt;=2009),OR(W899&lt;&gt;"MTA",W899&lt;&gt;"Fandango"),OR(T899="Food",T899="Shopping",T899="Entertainment")),"Awesome Transaction",IF(AND(G899&lt;=2010,U899&lt;&gt;"Alcohol"),"Late Transaction",IF(G899=2006,"Early Transaction","CRAP Transaction")))</f>
        <v>Awesome Transaction</v>
      </c>
    </row>
    <row r="900" spans="1:33" x14ac:dyDescent="0.25">
      <c r="A900" s="2">
        <v>899</v>
      </c>
      <c r="B900" s="3" t="str">
        <f t="shared" si="266"/>
        <v>100707-SH-EXP</v>
      </c>
      <c r="C900" s="3">
        <v>40366</v>
      </c>
      <c r="D900" s="3">
        <f t="shared" si="268"/>
        <v>40380</v>
      </c>
      <c r="E900" s="3">
        <f t="shared" si="269"/>
        <v>40428</v>
      </c>
      <c r="F900" s="3">
        <f t="shared" si="270"/>
        <v>40390</v>
      </c>
      <c r="G900" s="76">
        <f t="shared" si="271"/>
        <v>2010</v>
      </c>
      <c r="H900" s="76">
        <f t="shared" si="272"/>
        <v>7</v>
      </c>
      <c r="I900" s="76" t="str">
        <f>VLOOKUP(H900,'Lookup Values'!$C$2:$D$13,2,FALSE)</f>
        <v>JUL</v>
      </c>
      <c r="J900" s="76">
        <f t="shared" si="273"/>
        <v>7</v>
      </c>
      <c r="K900" s="76">
        <f t="shared" si="274"/>
        <v>4</v>
      </c>
      <c r="L900" s="76" t="str">
        <f>VLOOKUP(K900,'Lookup Values'!$F$2:$G$8,2,FALSE)</f>
        <v>Wednesday</v>
      </c>
      <c r="M900" s="3">
        <v>40376</v>
      </c>
      <c r="N900" s="78">
        <f t="shared" si="267"/>
        <v>10</v>
      </c>
      <c r="O900" s="11">
        <v>0.29327906768685341</v>
      </c>
      <c r="P900" s="94">
        <f t="shared" si="275"/>
        <v>7</v>
      </c>
      <c r="Q900" s="94">
        <f t="shared" si="276"/>
        <v>2</v>
      </c>
      <c r="R900" s="94">
        <f t="shared" si="277"/>
        <v>19</v>
      </c>
      <c r="S900" s="94" t="str">
        <f>VLOOKUP(O900,'Lookup Values'!$I$2:$L$8,4,TRUE)</f>
        <v>Morning</v>
      </c>
      <c r="T900" t="s">
        <v>83</v>
      </c>
      <c r="U900" t="s">
        <v>103</v>
      </c>
      <c r="V900" t="str">
        <f t="shared" si="278"/>
        <v>Shopping: Clothing</v>
      </c>
      <c r="W900" t="s">
        <v>102</v>
      </c>
      <c r="X900" t="s">
        <v>91</v>
      </c>
      <c r="Y900" s="1">
        <v>322</v>
      </c>
      <c r="Z900" s="1" t="str">
        <f t="shared" si="279"/>
        <v>Shopping: $322.00</v>
      </c>
      <c r="AA900" s="1">
        <f>IF(Y900="","",ROUND(Y900*'Lookup Values'!$A$2,2))</f>
        <v>28.58</v>
      </c>
      <c r="AB900" s="12" t="str">
        <f t="shared" si="280"/>
        <v>Expense</v>
      </c>
      <c r="AC900" s="2" t="s">
        <v>900</v>
      </c>
      <c r="AD900" s="3">
        <f t="shared" si="281"/>
        <v>40366</v>
      </c>
      <c r="AE900" s="93" t="str">
        <f t="shared" si="282"/>
        <v>NO</v>
      </c>
      <c r="AF900" s="2" t="str">
        <f t="shared" si="283"/>
        <v>NO</v>
      </c>
      <c r="AG900" t="str">
        <f t="shared" si="284"/>
        <v>Late Transaction</v>
      </c>
    </row>
    <row r="901" spans="1:33" x14ac:dyDescent="0.25">
      <c r="A901" s="2">
        <v>900</v>
      </c>
      <c r="B901" s="3" t="str">
        <f t="shared" si="266"/>
        <v>070804-FO-BAN</v>
      </c>
      <c r="C901" s="3">
        <v>39298</v>
      </c>
      <c r="D901" s="3">
        <f t="shared" si="268"/>
        <v>39311</v>
      </c>
      <c r="E901" s="3">
        <f t="shared" si="269"/>
        <v>39359</v>
      </c>
      <c r="F901" s="3">
        <f t="shared" si="270"/>
        <v>39325</v>
      </c>
      <c r="G901" s="76">
        <f t="shared" si="271"/>
        <v>2007</v>
      </c>
      <c r="H901" s="76">
        <f t="shared" si="272"/>
        <v>8</v>
      </c>
      <c r="I901" s="76" t="str">
        <f>VLOOKUP(H901,'Lookup Values'!$C$2:$D$13,2,FALSE)</f>
        <v>AUG</v>
      </c>
      <c r="J901" s="76">
        <f t="shared" si="273"/>
        <v>4</v>
      </c>
      <c r="K901" s="76">
        <f t="shared" si="274"/>
        <v>7</v>
      </c>
      <c r="L901" s="76" t="str">
        <f>VLOOKUP(K901,'Lookup Values'!$F$2:$G$8,2,FALSE)</f>
        <v>Saturday</v>
      </c>
      <c r="M901" s="3">
        <v>39305</v>
      </c>
      <c r="N901" s="78">
        <f t="shared" si="267"/>
        <v>7</v>
      </c>
      <c r="O901" s="11">
        <v>0.27339629327456494</v>
      </c>
      <c r="P901" s="94">
        <f t="shared" si="275"/>
        <v>6</v>
      </c>
      <c r="Q901" s="94">
        <f t="shared" si="276"/>
        <v>33</v>
      </c>
      <c r="R901" s="94">
        <f t="shared" si="277"/>
        <v>41</v>
      </c>
      <c r="S901" s="94" t="str">
        <f>VLOOKUP(O901,'Lookup Values'!$I$2:$L$8,4,TRUE)</f>
        <v>Early Morning</v>
      </c>
      <c r="T901" t="s">
        <v>80</v>
      </c>
      <c r="U901" t="s">
        <v>81</v>
      </c>
      <c r="V901" t="str">
        <f t="shared" si="278"/>
        <v>Food: Restaurants</v>
      </c>
      <c r="W901" t="s">
        <v>79</v>
      </c>
      <c r="X901" t="s">
        <v>78</v>
      </c>
      <c r="Y901" s="1">
        <v>390</v>
      </c>
      <c r="Z901" s="1" t="str">
        <f t="shared" si="279"/>
        <v>Food: $390.00</v>
      </c>
      <c r="AA901" s="1">
        <f>IF(Y901="","",ROUND(Y901*'Lookup Values'!$A$2,2))</f>
        <v>34.61</v>
      </c>
      <c r="AB901" s="12" t="str">
        <f t="shared" si="280"/>
        <v>Expense</v>
      </c>
      <c r="AC901" s="2" t="s">
        <v>663</v>
      </c>
      <c r="AD901" s="3">
        <f t="shared" si="281"/>
        <v>39298</v>
      </c>
      <c r="AE901" s="93" t="str">
        <f t="shared" si="282"/>
        <v>NO</v>
      </c>
      <c r="AF901" s="2" t="str">
        <f t="shared" si="283"/>
        <v>NO</v>
      </c>
      <c r="AG901" t="str">
        <f t="shared" si="284"/>
        <v>Awesome Transaction</v>
      </c>
    </row>
    <row r="902" spans="1:33" x14ac:dyDescent="0.25">
      <c r="A902" s="2">
        <v>901</v>
      </c>
      <c r="B902" s="3" t="str">
        <f t="shared" si="266"/>
        <v>081122-IN-AUN</v>
      </c>
      <c r="C902" s="3">
        <v>39774</v>
      </c>
      <c r="D902" s="3">
        <f t="shared" si="268"/>
        <v>39787</v>
      </c>
      <c r="E902" s="3">
        <f t="shared" si="269"/>
        <v>39835</v>
      </c>
      <c r="F902" s="3">
        <f t="shared" si="270"/>
        <v>39782</v>
      </c>
      <c r="G902" s="76">
        <f t="shared" si="271"/>
        <v>2008</v>
      </c>
      <c r="H902" s="76">
        <f t="shared" si="272"/>
        <v>11</v>
      </c>
      <c r="I902" s="76" t="str">
        <f>VLOOKUP(H902,'Lookup Values'!$C$2:$D$13,2,FALSE)</f>
        <v>NOV</v>
      </c>
      <c r="J902" s="76">
        <f t="shared" si="273"/>
        <v>22</v>
      </c>
      <c r="K902" s="76">
        <f t="shared" si="274"/>
        <v>7</v>
      </c>
      <c r="L902" s="76" t="str">
        <f>VLOOKUP(K902,'Lookup Values'!$F$2:$G$8,2,FALSE)</f>
        <v>Saturday</v>
      </c>
      <c r="M902" s="3">
        <v>39784</v>
      </c>
      <c r="N902" s="78">
        <f t="shared" si="267"/>
        <v>10</v>
      </c>
      <c r="O902" s="11">
        <v>0.81417527807519574</v>
      </c>
      <c r="P902" s="94">
        <f t="shared" si="275"/>
        <v>19</v>
      </c>
      <c r="Q902" s="94">
        <f t="shared" si="276"/>
        <v>32</v>
      </c>
      <c r="R902" s="94">
        <f t="shared" si="277"/>
        <v>25</v>
      </c>
      <c r="S902" s="94" t="str">
        <f>VLOOKUP(O902,'Lookup Values'!$I$2:$L$8,4,TRUE)</f>
        <v>Evening</v>
      </c>
      <c r="T902" t="s">
        <v>158</v>
      </c>
      <c r="U902" t="s">
        <v>161</v>
      </c>
      <c r="V902" t="str">
        <f t="shared" si="278"/>
        <v>Income: Gift Received</v>
      </c>
      <c r="W902" t="s">
        <v>164</v>
      </c>
      <c r="X902" t="s">
        <v>91</v>
      </c>
      <c r="Y902" s="1">
        <v>134</v>
      </c>
      <c r="Z902" s="1" t="str">
        <f t="shared" si="279"/>
        <v>Income: $134.00</v>
      </c>
      <c r="AA902" s="1">
        <f>IF(Y902="","",ROUND(Y902*'Lookup Values'!$A$2,2))</f>
        <v>11.89</v>
      </c>
      <c r="AB902" s="12" t="str">
        <f t="shared" si="280"/>
        <v>Income</v>
      </c>
      <c r="AC902" s="2" t="s">
        <v>901</v>
      </c>
      <c r="AD902" s="3">
        <f t="shared" si="281"/>
        <v>39774</v>
      </c>
      <c r="AE902" s="93" t="str">
        <f t="shared" si="282"/>
        <v>NO</v>
      </c>
      <c r="AF902" s="2" t="str">
        <f t="shared" si="283"/>
        <v>NO</v>
      </c>
      <c r="AG902" t="str">
        <f t="shared" si="284"/>
        <v>Late Transaction</v>
      </c>
    </row>
    <row r="903" spans="1:33" x14ac:dyDescent="0.25">
      <c r="A903" s="2">
        <v>902</v>
      </c>
      <c r="B903" s="3" t="str">
        <f t="shared" si="266"/>
        <v>110219-SH-AMA</v>
      </c>
      <c r="C903" s="3">
        <v>40593</v>
      </c>
      <c r="D903" s="3">
        <f t="shared" si="268"/>
        <v>40606</v>
      </c>
      <c r="E903" s="3">
        <f t="shared" si="269"/>
        <v>40652</v>
      </c>
      <c r="F903" s="3">
        <f t="shared" si="270"/>
        <v>40602</v>
      </c>
      <c r="G903" s="76">
        <f t="shared" si="271"/>
        <v>2011</v>
      </c>
      <c r="H903" s="76">
        <f t="shared" si="272"/>
        <v>2</v>
      </c>
      <c r="I903" s="76" t="str">
        <f>VLOOKUP(H903,'Lookup Values'!$C$2:$D$13,2,FALSE)</f>
        <v>FEB</v>
      </c>
      <c r="J903" s="76">
        <f t="shared" si="273"/>
        <v>19</v>
      </c>
      <c r="K903" s="76">
        <f t="shared" si="274"/>
        <v>7</v>
      </c>
      <c r="L903" s="76" t="str">
        <f>VLOOKUP(K903,'Lookup Values'!$F$2:$G$8,2,FALSE)</f>
        <v>Saturday</v>
      </c>
      <c r="M903" s="3">
        <v>40599</v>
      </c>
      <c r="N903" s="78">
        <f t="shared" si="267"/>
        <v>6</v>
      </c>
      <c r="O903" s="11">
        <v>0.17027337108149521</v>
      </c>
      <c r="P903" s="94">
        <f t="shared" si="275"/>
        <v>4</v>
      </c>
      <c r="Q903" s="94">
        <f t="shared" si="276"/>
        <v>5</v>
      </c>
      <c r="R903" s="94">
        <f t="shared" si="277"/>
        <v>12</v>
      </c>
      <c r="S903" s="94" t="str">
        <f>VLOOKUP(O903,'Lookup Values'!$I$2:$L$8,4,TRUE)</f>
        <v>Early Morning</v>
      </c>
      <c r="T903" t="s">
        <v>83</v>
      </c>
      <c r="U903" t="s">
        <v>84</v>
      </c>
      <c r="V903" t="str">
        <f t="shared" si="278"/>
        <v>Shopping: Electronics</v>
      </c>
      <c r="W903" t="s">
        <v>82</v>
      </c>
      <c r="X903" t="s">
        <v>78</v>
      </c>
      <c r="Y903" s="1">
        <v>136</v>
      </c>
      <c r="Z903" s="1" t="str">
        <f t="shared" si="279"/>
        <v>Shopping: $136.00</v>
      </c>
      <c r="AA903" s="1">
        <f>IF(Y903="","",ROUND(Y903*'Lookup Values'!$A$2,2))</f>
        <v>12.07</v>
      </c>
      <c r="AB903" s="12" t="str">
        <f t="shared" si="280"/>
        <v>Expense</v>
      </c>
      <c r="AC903" s="2" t="s">
        <v>707</v>
      </c>
      <c r="AD903" s="3">
        <f t="shared" si="281"/>
        <v>40593</v>
      </c>
      <c r="AE903" s="93" t="str">
        <f t="shared" si="282"/>
        <v>YES</v>
      </c>
      <c r="AF903" s="2" t="str">
        <f t="shared" si="283"/>
        <v>NO</v>
      </c>
      <c r="AG903" t="str">
        <f t="shared" si="284"/>
        <v>CRAP Transaction</v>
      </c>
    </row>
    <row r="904" spans="1:33" x14ac:dyDescent="0.25">
      <c r="A904" s="2">
        <v>903</v>
      </c>
      <c r="B904" s="3" t="str">
        <f t="shared" si="266"/>
        <v>120307-IN-LEG</v>
      </c>
      <c r="C904" s="3">
        <v>40975</v>
      </c>
      <c r="D904" s="3">
        <f t="shared" si="268"/>
        <v>40989</v>
      </c>
      <c r="E904" s="3">
        <f t="shared" si="269"/>
        <v>41036</v>
      </c>
      <c r="F904" s="3">
        <f t="shared" si="270"/>
        <v>40999</v>
      </c>
      <c r="G904" s="76">
        <f t="shared" si="271"/>
        <v>2012</v>
      </c>
      <c r="H904" s="76">
        <f t="shared" si="272"/>
        <v>3</v>
      </c>
      <c r="I904" s="76" t="str">
        <f>VLOOKUP(H904,'Lookup Values'!$C$2:$D$13,2,FALSE)</f>
        <v>MAR</v>
      </c>
      <c r="J904" s="76">
        <f t="shared" si="273"/>
        <v>7</v>
      </c>
      <c r="K904" s="76">
        <f t="shared" si="274"/>
        <v>4</v>
      </c>
      <c r="L904" s="76" t="str">
        <f>VLOOKUP(K904,'Lookup Values'!$F$2:$G$8,2,FALSE)</f>
        <v>Wednesday</v>
      </c>
      <c r="M904" s="3">
        <v>40979</v>
      </c>
      <c r="N904" s="78">
        <f t="shared" si="267"/>
        <v>4</v>
      </c>
      <c r="O904" s="11">
        <v>0.25117920507583691</v>
      </c>
      <c r="P904" s="94">
        <f t="shared" si="275"/>
        <v>6</v>
      </c>
      <c r="Q904" s="94">
        <f t="shared" si="276"/>
        <v>1</v>
      </c>
      <c r="R904" s="94">
        <f t="shared" si="277"/>
        <v>42</v>
      </c>
      <c r="S904" s="94" t="str">
        <f>VLOOKUP(O904,'Lookup Values'!$I$2:$L$8,4,TRUE)</f>
        <v>Early Morning</v>
      </c>
      <c r="T904" t="s">
        <v>158</v>
      </c>
      <c r="U904" t="s">
        <v>160</v>
      </c>
      <c r="V904" t="str">
        <f t="shared" si="278"/>
        <v>Income: Freelance Project</v>
      </c>
      <c r="W904" t="s">
        <v>163</v>
      </c>
      <c r="X904" t="s">
        <v>91</v>
      </c>
      <c r="Y904" s="1">
        <v>315</v>
      </c>
      <c r="Z904" s="1" t="str">
        <f t="shared" si="279"/>
        <v>Income: $315.00</v>
      </c>
      <c r="AA904" s="1">
        <f>IF(Y904="","",ROUND(Y904*'Lookup Values'!$A$2,2))</f>
        <v>27.96</v>
      </c>
      <c r="AB904" s="12" t="str">
        <f t="shared" si="280"/>
        <v>Income</v>
      </c>
      <c r="AC904" s="2" t="s">
        <v>902</v>
      </c>
      <c r="AD904" s="3">
        <f t="shared" si="281"/>
        <v>40975</v>
      </c>
      <c r="AE904" s="93" t="str">
        <f t="shared" si="282"/>
        <v>NO</v>
      </c>
      <c r="AF904" s="2" t="str">
        <f t="shared" si="283"/>
        <v>NO</v>
      </c>
      <c r="AG904" t="str">
        <f t="shared" si="284"/>
        <v>CRAP Transaction</v>
      </c>
    </row>
    <row r="905" spans="1:33" x14ac:dyDescent="0.25">
      <c r="A905" s="2">
        <v>904</v>
      </c>
      <c r="B905" s="3" t="str">
        <f t="shared" si="266"/>
        <v>090723-IN-EZE</v>
      </c>
      <c r="C905" s="3">
        <v>40017</v>
      </c>
      <c r="D905" s="3">
        <f t="shared" si="268"/>
        <v>40031</v>
      </c>
      <c r="E905" s="3">
        <f t="shared" si="269"/>
        <v>40079</v>
      </c>
      <c r="F905" s="3">
        <f t="shared" si="270"/>
        <v>40025</v>
      </c>
      <c r="G905" s="76">
        <f t="shared" si="271"/>
        <v>2009</v>
      </c>
      <c r="H905" s="76">
        <f t="shared" si="272"/>
        <v>7</v>
      </c>
      <c r="I905" s="76" t="str">
        <f>VLOOKUP(H905,'Lookup Values'!$C$2:$D$13,2,FALSE)</f>
        <v>JUL</v>
      </c>
      <c r="J905" s="76">
        <f t="shared" si="273"/>
        <v>23</v>
      </c>
      <c r="K905" s="76">
        <f t="shared" si="274"/>
        <v>5</v>
      </c>
      <c r="L905" s="76" t="str">
        <f>VLOOKUP(K905,'Lookup Values'!$F$2:$G$8,2,FALSE)</f>
        <v>Thursday</v>
      </c>
      <c r="M905" s="3">
        <v>40023</v>
      </c>
      <c r="N905" s="78">
        <f t="shared" si="267"/>
        <v>6</v>
      </c>
      <c r="O905" s="11">
        <v>0.98457001354092988</v>
      </c>
      <c r="P905" s="94">
        <f t="shared" si="275"/>
        <v>23</v>
      </c>
      <c r="Q905" s="94">
        <f t="shared" si="276"/>
        <v>37</v>
      </c>
      <c r="R905" s="94">
        <f t="shared" si="277"/>
        <v>47</v>
      </c>
      <c r="S905" s="94" t="str">
        <f>VLOOKUP(O905,'Lookup Values'!$I$2:$L$8,4,TRUE)</f>
        <v>Late Evening</v>
      </c>
      <c r="T905" t="s">
        <v>158</v>
      </c>
      <c r="U905" t="s">
        <v>159</v>
      </c>
      <c r="V905" t="str">
        <f t="shared" si="278"/>
        <v>Income: Salary</v>
      </c>
      <c r="W905" t="s">
        <v>162</v>
      </c>
      <c r="X905" t="s">
        <v>78</v>
      </c>
      <c r="Y905" s="1">
        <v>158</v>
      </c>
      <c r="Z905" s="1" t="str">
        <f t="shared" si="279"/>
        <v>Income: $158.00</v>
      </c>
      <c r="AA905" s="1">
        <f>IF(Y905="","",ROUND(Y905*'Lookup Values'!$A$2,2))</f>
        <v>14.02</v>
      </c>
      <c r="AB905" s="12" t="str">
        <f t="shared" si="280"/>
        <v>Income</v>
      </c>
      <c r="AC905" s="2" t="s">
        <v>903</v>
      </c>
      <c r="AD905" s="3">
        <f t="shared" si="281"/>
        <v>40017</v>
      </c>
      <c r="AE905" s="93" t="str">
        <f t="shared" si="282"/>
        <v>NO</v>
      </c>
      <c r="AF905" s="2" t="str">
        <f t="shared" si="283"/>
        <v>NO</v>
      </c>
      <c r="AG905" t="str">
        <f t="shared" si="284"/>
        <v>Late Transaction</v>
      </c>
    </row>
    <row r="906" spans="1:33" x14ac:dyDescent="0.25">
      <c r="A906" s="2">
        <v>905</v>
      </c>
      <c r="B906" s="3" t="str">
        <f t="shared" si="266"/>
        <v>110916-ED-SKI</v>
      </c>
      <c r="C906" s="3">
        <v>40802</v>
      </c>
      <c r="D906" s="3">
        <f t="shared" si="268"/>
        <v>40816</v>
      </c>
      <c r="E906" s="3">
        <f t="shared" si="269"/>
        <v>40863</v>
      </c>
      <c r="F906" s="3">
        <f t="shared" si="270"/>
        <v>40816</v>
      </c>
      <c r="G906" s="76">
        <f t="shared" si="271"/>
        <v>2011</v>
      </c>
      <c r="H906" s="76">
        <f t="shared" si="272"/>
        <v>9</v>
      </c>
      <c r="I906" s="76" t="str">
        <f>VLOOKUP(H906,'Lookup Values'!$C$2:$D$13,2,FALSE)</f>
        <v>SEP</v>
      </c>
      <c r="J906" s="76">
        <f t="shared" si="273"/>
        <v>16</v>
      </c>
      <c r="K906" s="76">
        <f t="shared" si="274"/>
        <v>6</v>
      </c>
      <c r="L906" s="76" t="str">
        <f>VLOOKUP(K906,'Lookup Values'!$F$2:$G$8,2,FALSE)</f>
        <v>Friday</v>
      </c>
      <c r="M906" s="3">
        <v>40805</v>
      </c>
      <c r="N906" s="78">
        <f t="shared" si="267"/>
        <v>3</v>
      </c>
      <c r="O906" s="11">
        <v>0.43829120722959314</v>
      </c>
      <c r="P906" s="94">
        <f t="shared" si="275"/>
        <v>10</v>
      </c>
      <c r="Q906" s="94">
        <f t="shared" si="276"/>
        <v>31</v>
      </c>
      <c r="R906" s="94">
        <f t="shared" si="277"/>
        <v>8</v>
      </c>
      <c r="S906" s="94" t="str">
        <f>VLOOKUP(O906,'Lookup Values'!$I$2:$L$8,4,TRUE)</f>
        <v>Late Morning</v>
      </c>
      <c r="T906" t="s">
        <v>86</v>
      </c>
      <c r="U906" t="s">
        <v>98</v>
      </c>
      <c r="V906" t="str">
        <f t="shared" si="278"/>
        <v>Education: Professional Development</v>
      </c>
      <c r="W906" t="s">
        <v>97</v>
      </c>
      <c r="X906" t="s">
        <v>78</v>
      </c>
      <c r="Y906" s="1">
        <v>64</v>
      </c>
      <c r="Z906" s="1" t="str">
        <f t="shared" si="279"/>
        <v>Education: $64.00</v>
      </c>
      <c r="AA906" s="1">
        <f>IF(Y906="","",ROUND(Y906*'Lookup Values'!$A$2,2))</f>
        <v>5.68</v>
      </c>
      <c r="AB906" s="12" t="str">
        <f t="shared" si="280"/>
        <v>Expense</v>
      </c>
      <c r="AC906" s="2" t="s">
        <v>904</v>
      </c>
      <c r="AD906" s="3">
        <f t="shared" si="281"/>
        <v>40802</v>
      </c>
      <c r="AE906" s="93" t="str">
        <f t="shared" si="282"/>
        <v>YES</v>
      </c>
      <c r="AF906" s="2" t="str">
        <f t="shared" si="283"/>
        <v>NO</v>
      </c>
      <c r="AG906" t="str">
        <f t="shared" si="284"/>
        <v>CRAP Transaction</v>
      </c>
    </row>
    <row r="907" spans="1:33" x14ac:dyDescent="0.25">
      <c r="A907" s="2">
        <v>906</v>
      </c>
      <c r="B907" s="3" t="str">
        <f t="shared" si="266"/>
        <v>100624-EN-FAN</v>
      </c>
      <c r="C907" s="3">
        <v>40353</v>
      </c>
      <c r="D907" s="3">
        <f t="shared" si="268"/>
        <v>40367</v>
      </c>
      <c r="E907" s="3">
        <f t="shared" si="269"/>
        <v>40414</v>
      </c>
      <c r="F907" s="3">
        <f t="shared" si="270"/>
        <v>40359</v>
      </c>
      <c r="G907" s="76">
        <f t="shared" si="271"/>
        <v>2010</v>
      </c>
      <c r="H907" s="76">
        <f t="shared" si="272"/>
        <v>6</v>
      </c>
      <c r="I907" s="76" t="str">
        <f>VLOOKUP(H907,'Lookup Values'!$C$2:$D$13,2,FALSE)</f>
        <v>JUN</v>
      </c>
      <c r="J907" s="76">
        <f t="shared" si="273"/>
        <v>24</v>
      </c>
      <c r="K907" s="76">
        <f t="shared" si="274"/>
        <v>5</v>
      </c>
      <c r="L907" s="76" t="str">
        <f>VLOOKUP(K907,'Lookup Values'!$F$2:$G$8,2,FALSE)</f>
        <v>Thursday</v>
      </c>
      <c r="M907" s="3">
        <v>40355</v>
      </c>
      <c r="N907" s="78">
        <f t="shared" si="267"/>
        <v>2</v>
      </c>
      <c r="O907" s="11">
        <v>0.93160953371002253</v>
      </c>
      <c r="P907" s="94">
        <f t="shared" si="275"/>
        <v>22</v>
      </c>
      <c r="Q907" s="94">
        <f t="shared" si="276"/>
        <v>21</v>
      </c>
      <c r="R907" s="94">
        <f t="shared" si="277"/>
        <v>31</v>
      </c>
      <c r="S907" s="94" t="str">
        <f>VLOOKUP(O907,'Lookup Values'!$I$2:$L$8,4,TRUE)</f>
        <v>Late Evening</v>
      </c>
      <c r="T907" t="s">
        <v>76</v>
      </c>
      <c r="U907" t="s">
        <v>90</v>
      </c>
      <c r="V907" t="str">
        <f t="shared" si="278"/>
        <v>Entertainment: Movies</v>
      </c>
      <c r="W907" t="s">
        <v>89</v>
      </c>
      <c r="X907" t="s">
        <v>78</v>
      </c>
      <c r="Y907" s="1">
        <v>262</v>
      </c>
      <c r="Z907" s="1" t="str">
        <f t="shared" si="279"/>
        <v>Entertainment: $262.00</v>
      </c>
      <c r="AA907" s="1">
        <f>IF(Y907="","",ROUND(Y907*'Lookup Values'!$A$2,2))</f>
        <v>23.25</v>
      </c>
      <c r="AB907" s="12" t="str">
        <f t="shared" si="280"/>
        <v>Expense</v>
      </c>
      <c r="AC907" s="2" t="s">
        <v>757</v>
      </c>
      <c r="AD907" s="3">
        <f t="shared" si="281"/>
        <v>40353</v>
      </c>
      <c r="AE907" s="93" t="str">
        <f t="shared" si="282"/>
        <v>NO</v>
      </c>
      <c r="AF907" s="2" t="str">
        <f t="shared" si="283"/>
        <v>NO</v>
      </c>
      <c r="AG907" t="str">
        <f t="shared" si="284"/>
        <v>Late Transaction</v>
      </c>
    </row>
    <row r="908" spans="1:33" x14ac:dyDescent="0.25">
      <c r="A908" s="2">
        <v>907</v>
      </c>
      <c r="B908" s="3" t="str">
        <f t="shared" si="266"/>
        <v>100202-ED-SKI</v>
      </c>
      <c r="C908" s="3">
        <v>40211</v>
      </c>
      <c r="D908" s="3">
        <f t="shared" si="268"/>
        <v>40225</v>
      </c>
      <c r="E908" s="3">
        <f t="shared" si="269"/>
        <v>40270</v>
      </c>
      <c r="F908" s="3">
        <f t="shared" si="270"/>
        <v>40237</v>
      </c>
      <c r="G908" s="76">
        <f t="shared" si="271"/>
        <v>2010</v>
      </c>
      <c r="H908" s="76">
        <f t="shared" si="272"/>
        <v>2</v>
      </c>
      <c r="I908" s="76" t="str">
        <f>VLOOKUP(H908,'Lookup Values'!$C$2:$D$13,2,FALSE)</f>
        <v>FEB</v>
      </c>
      <c r="J908" s="76">
        <f t="shared" si="273"/>
        <v>2</v>
      </c>
      <c r="K908" s="76">
        <f t="shared" si="274"/>
        <v>3</v>
      </c>
      <c r="L908" s="76" t="str">
        <f>VLOOKUP(K908,'Lookup Values'!$F$2:$G$8,2,FALSE)</f>
        <v>Tuesday</v>
      </c>
      <c r="M908" s="3">
        <v>40219</v>
      </c>
      <c r="N908" s="78">
        <f t="shared" si="267"/>
        <v>8</v>
      </c>
      <c r="O908" s="11">
        <v>0.74706948238702475</v>
      </c>
      <c r="P908" s="94">
        <f t="shared" si="275"/>
        <v>17</v>
      </c>
      <c r="Q908" s="94">
        <f t="shared" si="276"/>
        <v>55</v>
      </c>
      <c r="R908" s="94">
        <f t="shared" si="277"/>
        <v>47</v>
      </c>
      <c r="S908" s="94" t="str">
        <f>VLOOKUP(O908,'Lookup Values'!$I$2:$L$8,4,TRUE)</f>
        <v>Evening</v>
      </c>
      <c r="T908" t="s">
        <v>86</v>
      </c>
      <c r="U908" t="s">
        <v>98</v>
      </c>
      <c r="V908" t="str">
        <f t="shared" si="278"/>
        <v>Education: Professional Development</v>
      </c>
      <c r="W908" t="s">
        <v>97</v>
      </c>
      <c r="X908" t="s">
        <v>91</v>
      </c>
      <c r="Y908" s="1">
        <v>434</v>
      </c>
      <c r="Z908" s="1" t="str">
        <f t="shared" si="279"/>
        <v>Education: $434.00</v>
      </c>
      <c r="AA908" s="1">
        <f>IF(Y908="","",ROUND(Y908*'Lookup Values'!$A$2,2))</f>
        <v>38.520000000000003</v>
      </c>
      <c r="AB908" s="12" t="str">
        <f t="shared" si="280"/>
        <v>Expense</v>
      </c>
      <c r="AC908" s="2" t="s">
        <v>905</v>
      </c>
      <c r="AD908" s="3">
        <f t="shared" si="281"/>
        <v>40211</v>
      </c>
      <c r="AE908" s="93" t="str">
        <f t="shared" si="282"/>
        <v>YES</v>
      </c>
      <c r="AF908" s="2" t="str">
        <f t="shared" si="283"/>
        <v>YES</v>
      </c>
      <c r="AG908" t="str">
        <f t="shared" si="284"/>
        <v>Late Transaction</v>
      </c>
    </row>
    <row r="909" spans="1:33" x14ac:dyDescent="0.25">
      <c r="A909" s="2">
        <v>908</v>
      </c>
      <c r="B909" s="3" t="str">
        <f t="shared" si="266"/>
        <v>100116-FO-TRA</v>
      </c>
      <c r="C909" s="3">
        <v>40194</v>
      </c>
      <c r="D909" s="3">
        <f t="shared" si="268"/>
        <v>40207</v>
      </c>
      <c r="E909" s="3">
        <f t="shared" si="269"/>
        <v>40253</v>
      </c>
      <c r="F909" s="3">
        <f t="shared" si="270"/>
        <v>40209</v>
      </c>
      <c r="G909" s="76">
        <f t="shared" si="271"/>
        <v>2010</v>
      </c>
      <c r="H909" s="76">
        <f t="shared" si="272"/>
        <v>1</v>
      </c>
      <c r="I909" s="76" t="str">
        <f>VLOOKUP(H909,'Lookup Values'!$C$2:$D$13,2,FALSE)</f>
        <v>JAN</v>
      </c>
      <c r="J909" s="76">
        <f t="shared" si="273"/>
        <v>16</v>
      </c>
      <c r="K909" s="76">
        <f t="shared" si="274"/>
        <v>7</v>
      </c>
      <c r="L909" s="76" t="str">
        <f>VLOOKUP(K909,'Lookup Values'!$F$2:$G$8,2,FALSE)</f>
        <v>Saturday</v>
      </c>
      <c r="M909" s="3">
        <v>40200</v>
      </c>
      <c r="N909" s="78">
        <f t="shared" si="267"/>
        <v>6</v>
      </c>
      <c r="O909" s="11">
        <v>0.50677294064153788</v>
      </c>
      <c r="P909" s="94">
        <f t="shared" si="275"/>
        <v>12</v>
      </c>
      <c r="Q909" s="94">
        <f t="shared" si="276"/>
        <v>9</v>
      </c>
      <c r="R909" s="94">
        <f t="shared" si="277"/>
        <v>45</v>
      </c>
      <c r="S909" s="94" t="str">
        <f>VLOOKUP(O909,'Lookup Values'!$I$2:$L$8,4,TRUE)</f>
        <v>Afternoon</v>
      </c>
      <c r="T909" t="s">
        <v>80</v>
      </c>
      <c r="U909" t="s">
        <v>93</v>
      </c>
      <c r="V909" t="str">
        <f t="shared" si="278"/>
        <v>Food: Groceries</v>
      </c>
      <c r="W909" t="s">
        <v>92</v>
      </c>
      <c r="X909" t="s">
        <v>91</v>
      </c>
      <c r="Y909" s="1">
        <v>48</v>
      </c>
      <c r="Z909" s="1" t="str">
        <f t="shared" si="279"/>
        <v>Food: $48.00</v>
      </c>
      <c r="AA909" s="1">
        <f>IF(Y909="","",ROUND(Y909*'Lookup Values'!$A$2,2))</f>
        <v>4.26</v>
      </c>
      <c r="AB909" s="12" t="str">
        <f t="shared" si="280"/>
        <v>Expense</v>
      </c>
      <c r="AC909" s="2" t="s">
        <v>906</v>
      </c>
      <c r="AD909" s="3">
        <f t="shared" si="281"/>
        <v>40194</v>
      </c>
      <c r="AE909" s="93" t="str">
        <f t="shared" si="282"/>
        <v>NO</v>
      </c>
      <c r="AF909" s="2" t="str">
        <f t="shared" si="283"/>
        <v>NO</v>
      </c>
      <c r="AG909" t="str">
        <f t="shared" si="284"/>
        <v>Late Transaction</v>
      </c>
    </row>
    <row r="910" spans="1:33" x14ac:dyDescent="0.25">
      <c r="A910" s="2">
        <v>909</v>
      </c>
      <c r="B910" s="3" t="str">
        <f t="shared" si="266"/>
        <v>080523-IN-LEG</v>
      </c>
      <c r="C910" s="3">
        <v>39591</v>
      </c>
      <c r="D910" s="3">
        <f t="shared" si="268"/>
        <v>39605</v>
      </c>
      <c r="E910" s="3">
        <f t="shared" si="269"/>
        <v>39652</v>
      </c>
      <c r="F910" s="3">
        <f t="shared" si="270"/>
        <v>39599</v>
      </c>
      <c r="G910" s="76">
        <f t="shared" si="271"/>
        <v>2008</v>
      </c>
      <c r="H910" s="76">
        <f t="shared" si="272"/>
        <v>5</v>
      </c>
      <c r="I910" s="76" t="str">
        <f>VLOOKUP(H910,'Lookup Values'!$C$2:$D$13,2,FALSE)</f>
        <v>MAY</v>
      </c>
      <c r="J910" s="76">
        <f t="shared" si="273"/>
        <v>23</v>
      </c>
      <c r="K910" s="76">
        <f t="shared" si="274"/>
        <v>6</v>
      </c>
      <c r="L910" s="76" t="str">
        <f>VLOOKUP(K910,'Lookup Values'!$F$2:$G$8,2,FALSE)</f>
        <v>Friday</v>
      </c>
      <c r="M910" s="3">
        <v>39594</v>
      </c>
      <c r="N910" s="78">
        <f t="shared" si="267"/>
        <v>3</v>
      </c>
      <c r="O910" s="11">
        <v>0.49652940592672856</v>
      </c>
      <c r="P910" s="94">
        <f t="shared" si="275"/>
        <v>11</v>
      </c>
      <c r="Q910" s="94">
        <f t="shared" si="276"/>
        <v>55</v>
      </c>
      <c r="R910" s="94">
        <f t="shared" si="277"/>
        <v>0</v>
      </c>
      <c r="S910" s="94" t="str">
        <f>VLOOKUP(O910,'Lookup Values'!$I$2:$L$8,4,TRUE)</f>
        <v>Late Morning</v>
      </c>
      <c r="T910" t="s">
        <v>158</v>
      </c>
      <c r="U910" t="s">
        <v>160</v>
      </c>
      <c r="V910" t="str">
        <f t="shared" si="278"/>
        <v>Income: Freelance Project</v>
      </c>
      <c r="W910" t="s">
        <v>163</v>
      </c>
      <c r="X910" t="s">
        <v>78</v>
      </c>
      <c r="Y910" s="1">
        <v>198</v>
      </c>
      <c r="Z910" s="1" t="str">
        <f t="shared" si="279"/>
        <v>Income: $198.00</v>
      </c>
      <c r="AA910" s="1">
        <f>IF(Y910="","",ROUND(Y910*'Lookup Values'!$A$2,2))</f>
        <v>17.57</v>
      </c>
      <c r="AB910" s="12" t="str">
        <f t="shared" si="280"/>
        <v>Income</v>
      </c>
      <c r="AC910" s="2" t="s">
        <v>907</v>
      </c>
      <c r="AD910" s="3">
        <f t="shared" si="281"/>
        <v>39591</v>
      </c>
      <c r="AE910" s="93" t="str">
        <f t="shared" si="282"/>
        <v>NO</v>
      </c>
      <c r="AF910" s="2" t="str">
        <f t="shared" si="283"/>
        <v>NO</v>
      </c>
      <c r="AG910" t="str">
        <f t="shared" si="284"/>
        <v>Late Transaction</v>
      </c>
    </row>
    <row r="911" spans="1:33" x14ac:dyDescent="0.25">
      <c r="A911" s="2">
        <v>910</v>
      </c>
      <c r="B911" s="3" t="str">
        <f t="shared" si="266"/>
        <v>090129-EN-MOE</v>
      </c>
      <c r="C911" s="3">
        <v>39842</v>
      </c>
      <c r="D911" s="3">
        <f t="shared" si="268"/>
        <v>39856</v>
      </c>
      <c r="E911" s="3">
        <f t="shared" si="269"/>
        <v>39901</v>
      </c>
      <c r="F911" s="3">
        <f t="shared" si="270"/>
        <v>39844</v>
      </c>
      <c r="G911" s="76">
        <f t="shared" si="271"/>
        <v>2009</v>
      </c>
      <c r="H911" s="76">
        <f t="shared" si="272"/>
        <v>1</v>
      </c>
      <c r="I911" s="76" t="str">
        <f>VLOOKUP(H911,'Lookup Values'!$C$2:$D$13,2,FALSE)</f>
        <v>JAN</v>
      </c>
      <c r="J911" s="76">
        <f t="shared" si="273"/>
        <v>29</v>
      </c>
      <c r="K911" s="76">
        <f t="shared" si="274"/>
        <v>5</v>
      </c>
      <c r="L911" s="76" t="str">
        <f>VLOOKUP(K911,'Lookup Values'!$F$2:$G$8,2,FALSE)</f>
        <v>Thursday</v>
      </c>
      <c r="M911" s="3">
        <v>39844</v>
      </c>
      <c r="N911" s="78">
        <f t="shared" si="267"/>
        <v>2</v>
      </c>
      <c r="O911" s="11">
        <v>0.30175510297993557</v>
      </c>
      <c r="P911" s="94">
        <f t="shared" si="275"/>
        <v>7</v>
      </c>
      <c r="Q911" s="94">
        <f t="shared" si="276"/>
        <v>14</v>
      </c>
      <c r="R911" s="94">
        <f t="shared" si="277"/>
        <v>32</v>
      </c>
      <c r="S911" s="94" t="str">
        <f>VLOOKUP(O911,'Lookup Values'!$I$2:$L$8,4,TRUE)</f>
        <v>Morning</v>
      </c>
      <c r="T911" t="s">
        <v>76</v>
      </c>
      <c r="U911" t="s">
        <v>77</v>
      </c>
      <c r="V911" t="str">
        <f t="shared" si="278"/>
        <v>Entertainment: Alcohol</v>
      </c>
      <c r="W911" t="s">
        <v>75</v>
      </c>
      <c r="X911" t="s">
        <v>91</v>
      </c>
      <c r="Y911" s="1">
        <v>259</v>
      </c>
      <c r="Z911" s="1" t="str">
        <f t="shared" si="279"/>
        <v>Entertainment: $259.00</v>
      </c>
      <c r="AA911" s="1">
        <f>IF(Y911="","",ROUND(Y911*'Lookup Values'!$A$2,2))</f>
        <v>22.99</v>
      </c>
      <c r="AB911" s="12" t="str">
        <f t="shared" si="280"/>
        <v>Expense</v>
      </c>
      <c r="AC911" s="2" t="s">
        <v>908</v>
      </c>
      <c r="AD911" s="3">
        <f t="shared" si="281"/>
        <v>39842</v>
      </c>
      <c r="AE911" s="93" t="str">
        <f t="shared" si="282"/>
        <v>NO</v>
      </c>
      <c r="AF911" s="2" t="str">
        <f t="shared" si="283"/>
        <v>NO</v>
      </c>
      <c r="AG911" t="str">
        <f t="shared" si="284"/>
        <v>Awesome Transaction</v>
      </c>
    </row>
    <row r="912" spans="1:33" x14ac:dyDescent="0.25">
      <c r="A912" s="2">
        <v>911</v>
      </c>
      <c r="B912" s="3" t="str">
        <f t="shared" si="266"/>
        <v>120108-SH-AMA</v>
      </c>
      <c r="C912" s="3">
        <v>40916</v>
      </c>
      <c r="D912" s="3">
        <f t="shared" si="268"/>
        <v>40928</v>
      </c>
      <c r="E912" s="3">
        <f t="shared" si="269"/>
        <v>40976</v>
      </c>
      <c r="F912" s="3">
        <f t="shared" si="270"/>
        <v>40939</v>
      </c>
      <c r="G912" s="76">
        <f t="shared" si="271"/>
        <v>2012</v>
      </c>
      <c r="H912" s="76">
        <f t="shared" si="272"/>
        <v>1</v>
      </c>
      <c r="I912" s="76" t="str">
        <f>VLOOKUP(H912,'Lookup Values'!$C$2:$D$13,2,FALSE)</f>
        <v>JAN</v>
      </c>
      <c r="J912" s="76">
        <f t="shared" si="273"/>
        <v>8</v>
      </c>
      <c r="K912" s="76">
        <f t="shared" si="274"/>
        <v>1</v>
      </c>
      <c r="L912" s="76" t="str">
        <f>VLOOKUP(K912,'Lookup Values'!$F$2:$G$8,2,FALSE)</f>
        <v>Sunday</v>
      </c>
      <c r="M912" s="3">
        <v>40921</v>
      </c>
      <c r="N912" s="78">
        <f t="shared" si="267"/>
        <v>5</v>
      </c>
      <c r="O912" s="11">
        <v>0.90160600009426461</v>
      </c>
      <c r="P912" s="94">
        <f t="shared" si="275"/>
        <v>21</v>
      </c>
      <c r="Q912" s="94">
        <f t="shared" si="276"/>
        <v>38</v>
      </c>
      <c r="R912" s="94">
        <f t="shared" si="277"/>
        <v>19</v>
      </c>
      <c r="S912" s="94" t="str">
        <f>VLOOKUP(O912,'Lookup Values'!$I$2:$L$8,4,TRUE)</f>
        <v>Late Evening</v>
      </c>
      <c r="T912" t="s">
        <v>83</v>
      </c>
      <c r="U912" t="s">
        <v>84</v>
      </c>
      <c r="V912" t="str">
        <f t="shared" si="278"/>
        <v>Shopping: Electronics</v>
      </c>
      <c r="W912" t="s">
        <v>82</v>
      </c>
      <c r="X912" t="s">
        <v>78</v>
      </c>
      <c r="Y912" s="1">
        <v>242</v>
      </c>
      <c r="Z912" s="1" t="str">
        <f t="shared" si="279"/>
        <v>Shopping: $242.00</v>
      </c>
      <c r="AA912" s="1">
        <f>IF(Y912="","",ROUND(Y912*'Lookup Values'!$A$2,2))</f>
        <v>21.48</v>
      </c>
      <c r="AB912" s="12" t="str">
        <f t="shared" si="280"/>
        <v>Expense</v>
      </c>
      <c r="AC912" s="2" t="s">
        <v>909</v>
      </c>
      <c r="AD912" s="3">
        <f t="shared" si="281"/>
        <v>40916</v>
      </c>
      <c r="AE912" s="93" t="str">
        <f t="shared" si="282"/>
        <v>YES</v>
      </c>
      <c r="AF912" s="2" t="str">
        <f t="shared" si="283"/>
        <v>NO</v>
      </c>
      <c r="AG912" t="str">
        <f t="shared" si="284"/>
        <v>CRAP Transaction</v>
      </c>
    </row>
    <row r="913" spans="1:33" x14ac:dyDescent="0.25">
      <c r="A913" s="2">
        <v>912</v>
      </c>
      <c r="B913" s="3" t="str">
        <f t="shared" si="266"/>
        <v>080701-ED-ANT</v>
      </c>
      <c r="C913" s="3">
        <v>39630</v>
      </c>
      <c r="D913" s="3">
        <f t="shared" si="268"/>
        <v>39644</v>
      </c>
      <c r="E913" s="3">
        <f t="shared" si="269"/>
        <v>39692</v>
      </c>
      <c r="F913" s="3">
        <f t="shared" si="270"/>
        <v>39660</v>
      </c>
      <c r="G913" s="76">
        <f t="shared" si="271"/>
        <v>2008</v>
      </c>
      <c r="H913" s="76">
        <f t="shared" si="272"/>
        <v>7</v>
      </c>
      <c r="I913" s="76" t="str">
        <f>VLOOKUP(H913,'Lookup Values'!$C$2:$D$13,2,FALSE)</f>
        <v>JUL</v>
      </c>
      <c r="J913" s="76">
        <f t="shared" si="273"/>
        <v>1</v>
      </c>
      <c r="K913" s="76">
        <f t="shared" si="274"/>
        <v>3</v>
      </c>
      <c r="L913" s="76" t="str">
        <f>VLOOKUP(K913,'Lookup Values'!$F$2:$G$8,2,FALSE)</f>
        <v>Tuesday</v>
      </c>
      <c r="M913" s="3">
        <v>39638</v>
      </c>
      <c r="N913" s="78">
        <f t="shared" si="267"/>
        <v>8</v>
      </c>
      <c r="O913" s="11">
        <v>0.97343473425403737</v>
      </c>
      <c r="P913" s="94">
        <f t="shared" si="275"/>
        <v>23</v>
      </c>
      <c r="Q913" s="94">
        <f t="shared" si="276"/>
        <v>21</v>
      </c>
      <c r="R913" s="94">
        <f t="shared" si="277"/>
        <v>45</v>
      </c>
      <c r="S913" s="94" t="str">
        <f>VLOOKUP(O913,'Lookup Values'!$I$2:$L$8,4,TRUE)</f>
        <v>Late Evening</v>
      </c>
      <c r="T913" t="s">
        <v>86</v>
      </c>
      <c r="U913" t="s">
        <v>87</v>
      </c>
      <c r="V913" t="str">
        <f t="shared" si="278"/>
        <v>Education: Tango Lessons</v>
      </c>
      <c r="W913" t="s">
        <v>85</v>
      </c>
      <c r="X913" t="s">
        <v>78</v>
      </c>
      <c r="Y913" s="1">
        <v>267</v>
      </c>
      <c r="Z913" s="1" t="str">
        <f t="shared" si="279"/>
        <v>Education: $267.00</v>
      </c>
      <c r="AA913" s="1">
        <f>IF(Y913="","",ROUND(Y913*'Lookup Values'!$A$2,2))</f>
        <v>23.7</v>
      </c>
      <c r="AB913" s="12" t="str">
        <f t="shared" si="280"/>
        <v>Expense</v>
      </c>
      <c r="AC913" s="2" t="s">
        <v>811</v>
      </c>
      <c r="AD913" s="3">
        <f t="shared" si="281"/>
        <v>39630</v>
      </c>
      <c r="AE913" s="93" t="str">
        <f t="shared" si="282"/>
        <v>NO</v>
      </c>
      <c r="AF913" s="2" t="str">
        <f t="shared" si="283"/>
        <v>NO</v>
      </c>
      <c r="AG913" t="str">
        <f t="shared" si="284"/>
        <v>Late Transaction</v>
      </c>
    </row>
    <row r="914" spans="1:33" x14ac:dyDescent="0.25">
      <c r="A914" s="2">
        <v>913</v>
      </c>
      <c r="B914" s="3" t="str">
        <f t="shared" si="266"/>
        <v>101023-SH-EXP</v>
      </c>
      <c r="C914" s="3">
        <v>40474</v>
      </c>
      <c r="D914" s="3">
        <f t="shared" si="268"/>
        <v>40487</v>
      </c>
      <c r="E914" s="3">
        <f t="shared" si="269"/>
        <v>40535</v>
      </c>
      <c r="F914" s="3">
        <f t="shared" si="270"/>
        <v>40482</v>
      </c>
      <c r="G914" s="76">
        <f t="shared" si="271"/>
        <v>2010</v>
      </c>
      <c r="H914" s="76">
        <f t="shared" si="272"/>
        <v>10</v>
      </c>
      <c r="I914" s="76" t="str">
        <f>VLOOKUP(H914,'Lookup Values'!$C$2:$D$13,2,FALSE)</f>
        <v>OCT</v>
      </c>
      <c r="J914" s="76">
        <f t="shared" si="273"/>
        <v>23</v>
      </c>
      <c r="K914" s="76">
        <f t="shared" si="274"/>
        <v>7</v>
      </c>
      <c r="L914" s="76" t="str">
        <f>VLOOKUP(K914,'Lookup Values'!$F$2:$G$8,2,FALSE)</f>
        <v>Saturday</v>
      </c>
      <c r="M914" s="3">
        <v>40478</v>
      </c>
      <c r="N914" s="78">
        <f t="shared" si="267"/>
        <v>4</v>
      </c>
      <c r="O914" s="11">
        <v>0.33677768312795409</v>
      </c>
      <c r="P914" s="94">
        <f t="shared" si="275"/>
        <v>8</v>
      </c>
      <c r="Q914" s="94">
        <f t="shared" si="276"/>
        <v>4</v>
      </c>
      <c r="R914" s="94">
        <f t="shared" si="277"/>
        <v>58</v>
      </c>
      <c r="S914" s="94" t="str">
        <f>VLOOKUP(O914,'Lookup Values'!$I$2:$L$8,4,TRUE)</f>
        <v>Morning</v>
      </c>
      <c r="T914" t="s">
        <v>83</v>
      </c>
      <c r="U914" t="s">
        <v>103</v>
      </c>
      <c r="V914" t="str">
        <f t="shared" si="278"/>
        <v>Shopping: Clothing</v>
      </c>
      <c r="W914" t="s">
        <v>102</v>
      </c>
      <c r="X914" t="s">
        <v>88</v>
      </c>
      <c r="Y914" s="1">
        <v>200</v>
      </c>
      <c r="Z914" s="1" t="str">
        <f t="shared" si="279"/>
        <v>Shopping: $200.00</v>
      </c>
      <c r="AA914" s="1">
        <f>IF(Y914="","",ROUND(Y914*'Lookup Values'!$A$2,2))</f>
        <v>17.75</v>
      </c>
      <c r="AB914" s="12" t="str">
        <f t="shared" si="280"/>
        <v>Expense</v>
      </c>
      <c r="AC914" s="2" t="s">
        <v>785</v>
      </c>
      <c r="AD914" s="3">
        <f t="shared" si="281"/>
        <v>40474</v>
      </c>
      <c r="AE914" s="93" t="str">
        <f t="shared" si="282"/>
        <v>NO</v>
      </c>
      <c r="AF914" s="2" t="str">
        <f t="shared" si="283"/>
        <v>NO</v>
      </c>
      <c r="AG914" t="str">
        <f t="shared" si="284"/>
        <v>Late Transaction</v>
      </c>
    </row>
    <row r="915" spans="1:33" x14ac:dyDescent="0.25">
      <c r="A915" s="2">
        <v>914</v>
      </c>
      <c r="B915" s="3" t="str">
        <f t="shared" si="266"/>
        <v>080214-IN-EZE</v>
      </c>
      <c r="C915" s="3">
        <v>39492</v>
      </c>
      <c r="D915" s="3">
        <f t="shared" si="268"/>
        <v>39506</v>
      </c>
      <c r="E915" s="3">
        <f t="shared" si="269"/>
        <v>39552</v>
      </c>
      <c r="F915" s="3">
        <f t="shared" si="270"/>
        <v>39507</v>
      </c>
      <c r="G915" s="76">
        <f t="shared" si="271"/>
        <v>2008</v>
      </c>
      <c r="H915" s="76">
        <f t="shared" si="272"/>
        <v>2</v>
      </c>
      <c r="I915" s="76" t="str">
        <f>VLOOKUP(H915,'Lookup Values'!$C$2:$D$13,2,FALSE)</f>
        <v>FEB</v>
      </c>
      <c r="J915" s="76">
        <f t="shared" si="273"/>
        <v>14</v>
      </c>
      <c r="K915" s="76">
        <f t="shared" si="274"/>
        <v>5</v>
      </c>
      <c r="L915" s="76" t="str">
        <f>VLOOKUP(K915,'Lookup Values'!$F$2:$G$8,2,FALSE)</f>
        <v>Thursday</v>
      </c>
      <c r="M915" s="3">
        <v>39500</v>
      </c>
      <c r="N915" s="78">
        <f t="shared" si="267"/>
        <v>8</v>
      </c>
      <c r="O915" s="11">
        <v>0.15466255612268609</v>
      </c>
      <c r="P915" s="94">
        <f t="shared" si="275"/>
        <v>3</v>
      </c>
      <c r="Q915" s="94">
        <f t="shared" si="276"/>
        <v>42</v>
      </c>
      <c r="R915" s="94">
        <f t="shared" si="277"/>
        <v>43</v>
      </c>
      <c r="S915" s="94" t="str">
        <f>VLOOKUP(O915,'Lookup Values'!$I$2:$L$8,4,TRUE)</f>
        <v>Dead of Night</v>
      </c>
      <c r="T915" t="s">
        <v>158</v>
      </c>
      <c r="U915" t="s">
        <v>159</v>
      </c>
      <c r="V915" t="str">
        <f t="shared" si="278"/>
        <v>Income: Salary</v>
      </c>
      <c r="W915" t="s">
        <v>162</v>
      </c>
      <c r="X915" t="s">
        <v>91</v>
      </c>
      <c r="Y915" s="1">
        <v>174</v>
      </c>
      <c r="Z915" s="1" t="str">
        <f t="shared" si="279"/>
        <v>Income: $174.00</v>
      </c>
      <c r="AA915" s="1">
        <f>IF(Y915="","",ROUND(Y915*'Lookup Values'!$A$2,2))</f>
        <v>15.44</v>
      </c>
      <c r="AB915" s="12" t="str">
        <f t="shared" si="280"/>
        <v>Income</v>
      </c>
      <c r="AC915" s="2" t="s">
        <v>575</v>
      </c>
      <c r="AD915" s="3">
        <f t="shared" si="281"/>
        <v>39492</v>
      </c>
      <c r="AE915" s="93" t="str">
        <f t="shared" si="282"/>
        <v>NO</v>
      </c>
      <c r="AF915" s="2" t="str">
        <f t="shared" si="283"/>
        <v>NO</v>
      </c>
      <c r="AG915" t="str">
        <f t="shared" si="284"/>
        <v>Late Transaction</v>
      </c>
    </row>
    <row r="916" spans="1:33" x14ac:dyDescent="0.25">
      <c r="A916" s="2">
        <v>915</v>
      </c>
      <c r="B916" s="3" t="str">
        <f t="shared" si="266"/>
        <v>090819-HE-FRE</v>
      </c>
      <c r="C916" s="3">
        <v>40044</v>
      </c>
      <c r="D916" s="3">
        <f t="shared" si="268"/>
        <v>40058</v>
      </c>
      <c r="E916" s="3">
        <f t="shared" si="269"/>
        <v>40105</v>
      </c>
      <c r="F916" s="3">
        <f t="shared" si="270"/>
        <v>40056</v>
      </c>
      <c r="G916" s="76">
        <f t="shared" si="271"/>
        <v>2009</v>
      </c>
      <c r="H916" s="76">
        <f t="shared" si="272"/>
        <v>8</v>
      </c>
      <c r="I916" s="76" t="str">
        <f>VLOOKUP(H916,'Lookup Values'!$C$2:$D$13,2,FALSE)</f>
        <v>AUG</v>
      </c>
      <c r="J916" s="76">
        <f t="shared" si="273"/>
        <v>19</v>
      </c>
      <c r="K916" s="76">
        <f t="shared" si="274"/>
        <v>4</v>
      </c>
      <c r="L916" s="76" t="str">
        <f>VLOOKUP(K916,'Lookup Values'!$F$2:$G$8,2,FALSE)</f>
        <v>Wednesday</v>
      </c>
      <c r="M916" s="3">
        <v>40051</v>
      </c>
      <c r="N916" s="78">
        <f t="shared" si="267"/>
        <v>7</v>
      </c>
      <c r="O916" s="11">
        <v>0.57348404370631201</v>
      </c>
      <c r="P916" s="94">
        <f t="shared" si="275"/>
        <v>13</v>
      </c>
      <c r="Q916" s="94">
        <f t="shared" si="276"/>
        <v>45</v>
      </c>
      <c r="R916" s="94">
        <f t="shared" si="277"/>
        <v>49</v>
      </c>
      <c r="S916" s="94" t="str">
        <f>VLOOKUP(O916,'Lookup Values'!$I$2:$L$8,4,TRUE)</f>
        <v>Afternoon</v>
      </c>
      <c r="T916" t="s">
        <v>107</v>
      </c>
      <c r="U916" t="s">
        <v>108</v>
      </c>
      <c r="V916" t="str">
        <f t="shared" si="278"/>
        <v>Health: Insurance Premium</v>
      </c>
      <c r="W916" t="s">
        <v>106</v>
      </c>
      <c r="X916" t="s">
        <v>78</v>
      </c>
      <c r="Y916" s="1">
        <v>492</v>
      </c>
      <c r="Z916" s="1" t="str">
        <f t="shared" si="279"/>
        <v>Health: $492.00</v>
      </c>
      <c r="AA916" s="1">
        <f>IF(Y916="","",ROUND(Y916*'Lookup Values'!$A$2,2))</f>
        <v>43.67</v>
      </c>
      <c r="AB916" s="12" t="str">
        <f t="shared" si="280"/>
        <v>Expense</v>
      </c>
      <c r="AC916" s="2" t="s">
        <v>200</v>
      </c>
      <c r="AD916" s="3">
        <f t="shared" si="281"/>
        <v>40044</v>
      </c>
      <c r="AE916" s="93" t="str">
        <f t="shared" si="282"/>
        <v>NO</v>
      </c>
      <c r="AF916" s="2" t="str">
        <f t="shared" si="283"/>
        <v>NO</v>
      </c>
      <c r="AG916" t="str">
        <f t="shared" si="284"/>
        <v>Late Transaction</v>
      </c>
    </row>
    <row r="917" spans="1:33" x14ac:dyDescent="0.25">
      <c r="A917" s="2">
        <v>916</v>
      </c>
      <c r="B917" s="3" t="str">
        <f t="shared" si="266"/>
        <v>090410-TR-MTA</v>
      </c>
      <c r="C917" s="3">
        <v>39913</v>
      </c>
      <c r="D917" s="3">
        <f t="shared" si="268"/>
        <v>39927</v>
      </c>
      <c r="E917" s="3">
        <f t="shared" si="269"/>
        <v>39974</v>
      </c>
      <c r="F917" s="3">
        <f t="shared" si="270"/>
        <v>39933</v>
      </c>
      <c r="G917" s="76">
        <f t="shared" si="271"/>
        <v>2009</v>
      </c>
      <c r="H917" s="76">
        <f t="shared" si="272"/>
        <v>4</v>
      </c>
      <c r="I917" s="76" t="str">
        <f>VLOOKUP(H917,'Lookup Values'!$C$2:$D$13,2,FALSE)</f>
        <v>APR</v>
      </c>
      <c r="J917" s="76">
        <f t="shared" si="273"/>
        <v>10</v>
      </c>
      <c r="K917" s="76">
        <f t="shared" si="274"/>
        <v>6</v>
      </c>
      <c r="L917" s="76" t="str">
        <f>VLOOKUP(K917,'Lookup Values'!$F$2:$G$8,2,FALSE)</f>
        <v>Friday</v>
      </c>
      <c r="M917" s="3">
        <v>39920</v>
      </c>
      <c r="N917" s="78">
        <f t="shared" si="267"/>
        <v>7</v>
      </c>
      <c r="O917" s="11">
        <v>0.81094421316983678</v>
      </c>
      <c r="P917" s="94">
        <f t="shared" si="275"/>
        <v>19</v>
      </c>
      <c r="Q917" s="94">
        <f t="shared" si="276"/>
        <v>27</v>
      </c>
      <c r="R917" s="94">
        <f t="shared" si="277"/>
        <v>46</v>
      </c>
      <c r="S917" s="94" t="str">
        <f>VLOOKUP(O917,'Lookup Values'!$I$2:$L$8,4,TRUE)</f>
        <v>Evening</v>
      </c>
      <c r="T917" t="s">
        <v>95</v>
      </c>
      <c r="U917" t="s">
        <v>96</v>
      </c>
      <c r="V917" t="str">
        <f t="shared" si="278"/>
        <v>Transportation: Subway</v>
      </c>
      <c r="W917" t="s">
        <v>94</v>
      </c>
      <c r="X917" t="s">
        <v>88</v>
      </c>
      <c r="Y917" s="1">
        <v>166</v>
      </c>
      <c r="Z917" s="1" t="str">
        <f t="shared" si="279"/>
        <v>Transportation: $166.00</v>
      </c>
      <c r="AA917" s="1">
        <f>IF(Y917="","",ROUND(Y917*'Lookup Values'!$A$2,2))</f>
        <v>14.73</v>
      </c>
      <c r="AB917" s="12" t="str">
        <f t="shared" si="280"/>
        <v>Expense</v>
      </c>
      <c r="AC917" s="2" t="s">
        <v>910</v>
      </c>
      <c r="AD917" s="3">
        <f t="shared" si="281"/>
        <v>39913</v>
      </c>
      <c r="AE917" s="93" t="str">
        <f t="shared" si="282"/>
        <v>YES</v>
      </c>
      <c r="AF917" s="2" t="str">
        <f t="shared" si="283"/>
        <v>NO</v>
      </c>
      <c r="AG917" t="str">
        <f t="shared" si="284"/>
        <v>Late Transaction</v>
      </c>
    </row>
    <row r="918" spans="1:33" x14ac:dyDescent="0.25">
      <c r="A918" s="2">
        <v>917</v>
      </c>
      <c r="B918" s="3" t="str">
        <f t="shared" si="266"/>
        <v>090419-IN-LEG</v>
      </c>
      <c r="C918" s="3">
        <v>39922</v>
      </c>
      <c r="D918" s="3">
        <f t="shared" si="268"/>
        <v>39934</v>
      </c>
      <c r="E918" s="3">
        <f t="shared" si="269"/>
        <v>39983</v>
      </c>
      <c r="F918" s="3">
        <f t="shared" si="270"/>
        <v>39933</v>
      </c>
      <c r="G918" s="76">
        <f t="shared" si="271"/>
        <v>2009</v>
      </c>
      <c r="H918" s="76">
        <f t="shared" si="272"/>
        <v>4</v>
      </c>
      <c r="I918" s="76" t="str">
        <f>VLOOKUP(H918,'Lookup Values'!$C$2:$D$13,2,FALSE)</f>
        <v>APR</v>
      </c>
      <c r="J918" s="76">
        <f t="shared" si="273"/>
        <v>19</v>
      </c>
      <c r="K918" s="76">
        <f t="shared" si="274"/>
        <v>1</v>
      </c>
      <c r="L918" s="76" t="str">
        <f>VLOOKUP(K918,'Lookup Values'!$F$2:$G$8,2,FALSE)</f>
        <v>Sunday</v>
      </c>
      <c r="M918" s="3">
        <v>39926</v>
      </c>
      <c r="N918" s="78">
        <f t="shared" si="267"/>
        <v>4</v>
      </c>
      <c r="O918" s="11">
        <v>0.85332375070887334</v>
      </c>
      <c r="P918" s="94">
        <f t="shared" si="275"/>
        <v>20</v>
      </c>
      <c r="Q918" s="94">
        <f t="shared" si="276"/>
        <v>28</v>
      </c>
      <c r="R918" s="94">
        <f t="shared" si="277"/>
        <v>47</v>
      </c>
      <c r="S918" s="94" t="str">
        <f>VLOOKUP(O918,'Lookup Values'!$I$2:$L$8,4,TRUE)</f>
        <v>Evening</v>
      </c>
      <c r="T918" t="s">
        <v>158</v>
      </c>
      <c r="U918" t="s">
        <v>160</v>
      </c>
      <c r="V918" t="str">
        <f t="shared" si="278"/>
        <v>Income: Freelance Project</v>
      </c>
      <c r="W918" t="s">
        <v>163</v>
      </c>
      <c r="X918" t="s">
        <v>91</v>
      </c>
      <c r="Y918" s="1">
        <v>156</v>
      </c>
      <c r="Z918" s="1" t="str">
        <f t="shared" si="279"/>
        <v>Income: $156.00</v>
      </c>
      <c r="AA918" s="1">
        <f>IF(Y918="","",ROUND(Y918*'Lookup Values'!$A$2,2))</f>
        <v>13.85</v>
      </c>
      <c r="AB918" s="12" t="str">
        <f t="shared" si="280"/>
        <v>Income</v>
      </c>
      <c r="AC918" s="2" t="s">
        <v>911</v>
      </c>
      <c r="AD918" s="3">
        <f t="shared" si="281"/>
        <v>39922</v>
      </c>
      <c r="AE918" s="93" t="str">
        <f t="shared" si="282"/>
        <v>NO</v>
      </c>
      <c r="AF918" s="2" t="str">
        <f t="shared" si="283"/>
        <v>NO</v>
      </c>
      <c r="AG918" t="str">
        <f t="shared" si="284"/>
        <v>Late Transaction</v>
      </c>
    </row>
    <row r="919" spans="1:33" x14ac:dyDescent="0.25">
      <c r="A919" s="2">
        <v>918</v>
      </c>
      <c r="B919" s="3" t="str">
        <f t="shared" si="266"/>
        <v>101001-BI-CON</v>
      </c>
      <c r="C919" s="3">
        <v>40452</v>
      </c>
      <c r="D919" s="3">
        <f t="shared" si="268"/>
        <v>40466</v>
      </c>
      <c r="E919" s="3">
        <f t="shared" si="269"/>
        <v>40513</v>
      </c>
      <c r="F919" s="3">
        <f t="shared" si="270"/>
        <v>40482</v>
      </c>
      <c r="G919" s="76">
        <f t="shared" si="271"/>
        <v>2010</v>
      </c>
      <c r="H919" s="76">
        <f t="shared" si="272"/>
        <v>10</v>
      </c>
      <c r="I919" s="76" t="str">
        <f>VLOOKUP(H919,'Lookup Values'!$C$2:$D$13,2,FALSE)</f>
        <v>OCT</v>
      </c>
      <c r="J919" s="76">
        <f t="shared" si="273"/>
        <v>1</v>
      </c>
      <c r="K919" s="76">
        <f t="shared" si="274"/>
        <v>6</v>
      </c>
      <c r="L919" s="76" t="str">
        <f>VLOOKUP(K919,'Lookup Values'!$F$2:$G$8,2,FALSE)</f>
        <v>Friday</v>
      </c>
      <c r="M919" s="3">
        <v>40454</v>
      </c>
      <c r="N919" s="78">
        <f t="shared" si="267"/>
        <v>2</v>
      </c>
      <c r="O919" s="11">
        <v>0.93536947703115869</v>
      </c>
      <c r="P919" s="94">
        <f t="shared" si="275"/>
        <v>22</v>
      </c>
      <c r="Q919" s="94">
        <f t="shared" si="276"/>
        <v>26</v>
      </c>
      <c r="R919" s="94">
        <f t="shared" si="277"/>
        <v>56</v>
      </c>
      <c r="S919" s="94" t="str">
        <f>VLOOKUP(O919,'Lookup Values'!$I$2:$L$8,4,TRUE)</f>
        <v>Late Evening</v>
      </c>
      <c r="T919" t="s">
        <v>110</v>
      </c>
      <c r="U919" t="s">
        <v>111</v>
      </c>
      <c r="V919" t="str">
        <f t="shared" si="278"/>
        <v>Bills: Utilities</v>
      </c>
      <c r="W919" t="s">
        <v>109</v>
      </c>
      <c r="X919" t="s">
        <v>91</v>
      </c>
      <c r="Y919" s="1">
        <v>138</v>
      </c>
      <c r="Z919" s="1" t="str">
        <f t="shared" si="279"/>
        <v>Bills: $138.00</v>
      </c>
      <c r="AA919" s="1">
        <f>IF(Y919="","",ROUND(Y919*'Lookup Values'!$A$2,2))</f>
        <v>12.25</v>
      </c>
      <c r="AB919" s="12" t="str">
        <f t="shared" si="280"/>
        <v>Expense</v>
      </c>
      <c r="AC919" s="2" t="s">
        <v>578</v>
      </c>
      <c r="AD919" s="3">
        <f t="shared" si="281"/>
        <v>40452</v>
      </c>
      <c r="AE919" s="93" t="str">
        <f t="shared" si="282"/>
        <v>NO</v>
      </c>
      <c r="AF919" s="2" t="str">
        <f t="shared" si="283"/>
        <v>NO</v>
      </c>
      <c r="AG919" t="str">
        <f t="shared" si="284"/>
        <v>Late Transaction</v>
      </c>
    </row>
    <row r="920" spans="1:33" x14ac:dyDescent="0.25">
      <c r="A920" s="2">
        <v>919</v>
      </c>
      <c r="B920" s="3" t="str">
        <f t="shared" si="266"/>
        <v>100319-HO-BED</v>
      </c>
      <c r="C920" s="3">
        <v>40256</v>
      </c>
      <c r="D920" s="3">
        <f t="shared" si="268"/>
        <v>40270</v>
      </c>
      <c r="E920" s="3">
        <f t="shared" si="269"/>
        <v>40317</v>
      </c>
      <c r="F920" s="3">
        <f t="shared" si="270"/>
        <v>40268</v>
      </c>
      <c r="G920" s="76">
        <f t="shared" si="271"/>
        <v>2010</v>
      </c>
      <c r="H920" s="76">
        <f t="shared" si="272"/>
        <v>3</v>
      </c>
      <c r="I920" s="76" t="str">
        <f>VLOOKUP(H920,'Lookup Values'!$C$2:$D$13,2,FALSE)</f>
        <v>MAR</v>
      </c>
      <c r="J920" s="76">
        <f t="shared" si="273"/>
        <v>19</v>
      </c>
      <c r="K920" s="76">
        <f t="shared" si="274"/>
        <v>6</v>
      </c>
      <c r="L920" s="76" t="str">
        <f>VLOOKUP(K920,'Lookup Values'!$F$2:$G$8,2,FALSE)</f>
        <v>Friday</v>
      </c>
      <c r="M920" s="3">
        <v>40259</v>
      </c>
      <c r="N920" s="78">
        <f t="shared" si="267"/>
        <v>3</v>
      </c>
      <c r="O920" s="11">
        <v>0.21020001025492074</v>
      </c>
      <c r="P920" s="94">
        <f t="shared" si="275"/>
        <v>5</v>
      </c>
      <c r="Q920" s="94">
        <f t="shared" si="276"/>
        <v>2</v>
      </c>
      <c r="R920" s="94">
        <f t="shared" si="277"/>
        <v>41</v>
      </c>
      <c r="S920" s="94" t="str">
        <f>VLOOKUP(O920,'Lookup Values'!$I$2:$L$8,4,TRUE)</f>
        <v>Early Morning</v>
      </c>
      <c r="T920" t="s">
        <v>100</v>
      </c>
      <c r="U920" t="s">
        <v>101</v>
      </c>
      <c r="V920" t="str">
        <f t="shared" si="278"/>
        <v>Home: Cleaning Supplies</v>
      </c>
      <c r="W920" t="s">
        <v>99</v>
      </c>
      <c r="X920" t="s">
        <v>91</v>
      </c>
      <c r="Y920" s="1">
        <v>292</v>
      </c>
      <c r="Z920" s="1" t="str">
        <f t="shared" si="279"/>
        <v>Home: $292.00</v>
      </c>
      <c r="AA920" s="1">
        <f>IF(Y920="","",ROUND(Y920*'Lookup Values'!$A$2,2))</f>
        <v>25.92</v>
      </c>
      <c r="AB920" s="12" t="str">
        <f t="shared" si="280"/>
        <v>Expense</v>
      </c>
      <c r="AC920" s="2" t="s">
        <v>750</v>
      </c>
      <c r="AD920" s="3">
        <f t="shared" si="281"/>
        <v>40256</v>
      </c>
      <c r="AE920" s="93" t="str">
        <f t="shared" si="282"/>
        <v>NO</v>
      </c>
      <c r="AF920" s="2" t="str">
        <f t="shared" si="283"/>
        <v>NO</v>
      </c>
      <c r="AG920" t="str">
        <f t="shared" si="284"/>
        <v>Late Transaction</v>
      </c>
    </row>
    <row r="921" spans="1:33" x14ac:dyDescent="0.25">
      <c r="A921" s="2">
        <v>920</v>
      </c>
      <c r="B921" s="3" t="str">
        <f t="shared" si="266"/>
        <v>090320-IN-LEG</v>
      </c>
      <c r="C921" s="3">
        <v>39892</v>
      </c>
      <c r="D921" s="3">
        <f t="shared" si="268"/>
        <v>39906</v>
      </c>
      <c r="E921" s="3">
        <f t="shared" si="269"/>
        <v>39953</v>
      </c>
      <c r="F921" s="3">
        <f t="shared" si="270"/>
        <v>39903</v>
      </c>
      <c r="G921" s="76">
        <f t="shared" si="271"/>
        <v>2009</v>
      </c>
      <c r="H921" s="76">
        <f t="shared" si="272"/>
        <v>3</v>
      </c>
      <c r="I921" s="76" t="str">
        <f>VLOOKUP(H921,'Lookup Values'!$C$2:$D$13,2,FALSE)</f>
        <v>MAR</v>
      </c>
      <c r="J921" s="76">
        <f t="shared" si="273"/>
        <v>20</v>
      </c>
      <c r="K921" s="76">
        <f t="shared" si="274"/>
        <v>6</v>
      </c>
      <c r="L921" s="76" t="str">
        <f>VLOOKUP(K921,'Lookup Values'!$F$2:$G$8,2,FALSE)</f>
        <v>Friday</v>
      </c>
      <c r="M921" s="3">
        <v>39902</v>
      </c>
      <c r="N921" s="78">
        <f t="shared" si="267"/>
        <v>10</v>
      </c>
      <c r="O921" s="11">
        <v>0.83505188889969406</v>
      </c>
      <c r="P921" s="94">
        <f t="shared" si="275"/>
        <v>20</v>
      </c>
      <c r="Q921" s="94">
        <f t="shared" si="276"/>
        <v>2</v>
      </c>
      <c r="R921" s="94">
        <f t="shared" si="277"/>
        <v>28</v>
      </c>
      <c r="S921" s="94" t="str">
        <f>VLOOKUP(O921,'Lookup Values'!$I$2:$L$8,4,TRUE)</f>
        <v>Evening</v>
      </c>
      <c r="T921" t="s">
        <v>158</v>
      </c>
      <c r="U921" t="s">
        <v>160</v>
      </c>
      <c r="V921" t="str">
        <f t="shared" si="278"/>
        <v>Income: Freelance Project</v>
      </c>
      <c r="W921" t="s">
        <v>163</v>
      </c>
      <c r="X921" t="s">
        <v>88</v>
      </c>
      <c r="Y921" s="1">
        <v>351</v>
      </c>
      <c r="Z921" s="1" t="str">
        <f t="shared" si="279"/>
        <v>Income: $351.00</v>
      </c>
      <c r="AA921" s="1">
        <f>IF(Y921="","",ROUND(Y921*'Lookup Values'!$A$2,2))</f>
        <v>31.15</v>
      </c>
      <c r="AB921" s="12" t="str">
        <f t="shared" si="280"/>
        <v>Income</v>
      </c>
      <c r="AC921" s="2" t="s">
        <v>620</v>
      </c>
      <c r="AD921" s="3">
        <f t="shared" si="281"/>
        <v>39892</v>
      </c>
      <c r="AE921" s="93" t="str">
        <f t="shared" si="282"/>
        <v>NO</v>
      </c>
      <c r="AF921" s="2" t="str">
        <f t="shared" si="283"/>
        <v>NO</v>
      </c>
      <c r="AG921" t="str">
        <f t="shared" si="284"/>
        <v>Late Transaction</v>
      </c>
    </row>
    <row r="922" spans="1:33" x14ac:dyDescent="0.25">
      <c r="A922" s="2">
        <v>921</v>
      </c>
      <c r="B922" s="3" t="str">
        <f t="shared" si="266"/>
        <v>090607-BI-CON</v>
      </c>
      <c r="C922" s="3">
        <v>39971</v>
      </c>
      <c r="D922" s="3">
        <f t="shared" si="268"/>
        <v>39983</v>
      </c>
      <c r="E922" s="3">
        <f t="shared" si="269"/>
        <v>40032</v>
      </c>
      <c r="F922" s="3">
        <f t="shared" si="270"/>
        <v>39994</v>
      </c>
      <c r="G922" s="76">
        <f t="shared" si="271"/>
        <v>2009</v>
      </c>
      <c r="H922" s="76">
        <f t="shared" si="272"/>
        <v>6</v>
      </c>
      <c r="I922" s="76" t="str">
        <f>VLOOKUP(H922,'Lookup Values'!$C$2:$D$13,2,FALSE)</f>
        <v>JUN</v>
      </c>
      <c r="J922" s="76">
        <f t="shared" si="273"/>
        <v>7</v>
      </c>
      <c r="K922" s="76">
        <f t="shared" si="274"/>
        <v>1</v>
      </c>
      <c r="L922" s="76" t="str">
        <f>VLOOKUP(K922,'Lookup Values'!$F$2:$G$8,2,FALSE)</f>
        <v>Sunday</v>
      </c>
      <c r="M922" s="3">
        <v>39979</v>
      </c>
      <c r="N922" s="78">
        <f t="shared" si="267"/>
        <v>8</v>
      </c>
      <c r="O922" s="11">
        <v>0.65440420709978553</v>
      </c>
      <c r="P922" s="94">
        <f t="shared" si="275"/>
        <v>15</v>
      </c>
      <c r="Q922" s="94">
        <f t="shared" si="276"/>
        <v>42</v>
      </c>
      <c r="R922" s="94">
        <f t="shared" si="277"/>
        <v>21</v>
      </c>
      <c r="S922" s="94" t="str">
        <f>VLOOKUP(O922,'Lookup Values'!$I$2:$L$8,4,TRUE)</f>
        <v>Afternoon</v>
      </c>
      <c r="T922" t="s">
        <v>110</v>
      </c>
      <c r="U922" t="s">
        <v>111</v>
      </c>
      <c r="V922" t="str">
        <f t="shared" si="278"/>
        <v>Bills: Utilities</v>
      </c>
      <c r="W922" t="s">
        <v>109</v>
      </c>
      <c r="X922" t="s">
        <v>78</v>
      </c>
      <c r="Y922" s="1">
        <v>36</v>
      </c>
      <c r="Z922" s="1" t="str">
        <f t="shared" si="279"/>
        <v>Bills: $36.00</v>
      </c>
      <c r="AA922" s="1">
        <f>IF(Y922="","",ROUND(Y922*'Lookup Values'!$A$2,2))</f>
        <v>3.2</v>
      </c>
      <c r="AB922" s="12" t="str">
        <f t="shared" si="280"/>
        <v>Expense</v>
      </c>
      <c r="AC922" s="2" t="s">
        <v>912</v>
      </c>
      <c r="AD922" s="3">
        <f t="shared" si="281"/>
        <v>39971</v>
      </c>
      <c r="AE922" s="93" t="str">
        <f t="shared" si="282"/>
        <v>NO</v>
      </c>
      <c r="AF922" s="2" t="str">
        <f t="shared" si="283"/>
        <v>NO</v>
      </c>
      <c r="AG922" t="str">
        <f t="shared" si="284"/>
        <v>Late Transaction</v>
      </c>
    </row>
    <row r="923" spans="1:33" x14ac:dyDescent="0.25">
      <c r="A923" s="2">
        <v>922</v>
      </c>
      <c r="B923" s="3" t="str">
        <f t="shared" si="266"/>
        <v>090501-IN-AUN</v>
      </c>
      <c r="C923" s="3">
        <v>39934</v>
      </c>
      <c r="D923" s="3">
        <f t="shared" si="268"/>
        <v>39948</v>
      </c>
      <c r="E923" s="3">
        <f t="shared" si="269"/>
        <v>39995</v>
      </c>
      <c r="F923" s="3">
        <f t="shared" si="270"/>
        <v>39964</v>
      </c>
      <c r="G923" s="76">
        <f t="shared" si="271"/>
        <v>2009</v>
      </c>
      <c r="H923" s="76">
        <f t="shared" si="272"/>
        <v>5</v>
      </c>
      <c r="I923" s="76" t="str">
        <f>VLOOKUP(H923,'Lookup Values'!$C$2:$D$13,2,FALSE)</f>
        <v>MAY</v>
      </c>
      <c r="J923" s="76">
        <f t="shared" si="273"/>
        <v>1</v>
      </c>
      <c r="K923" s="76">
        <f t="shared" si="274"/>
        <v>6</v>
      </c>
      <c r="L923" s="76" t="str">
        <f>VLOOKUP(K923,'Lookup Values'!$F$2:$G$8,2,FALSE)</f>
        <v>Friday</v>
      </c>
      <c r="M923" s="3">
        <v>39944</v>
      </c>
      <c r="N923" s="78">
        <f t="shared" si="267"/>
        <v>10</v>
      </c>
      <c r="O923" s="11">
        <v>0.24008292646028473</v>
      </c>
      <c r="P923" s="94">
        <f t="shared" si="275"/>
        <v>5</v>
      </c>
      <c r="Q923" s="94">
        <f t="shared" si="276"/>
        <v>45</v>
      </c>
      <c r="R923" s="94">
        <f t="shared" si="277"/>
        <v>43</v>
      </c>
      <c r="S923" s="94" t="str">
        <f>VLOOKUP(O923,'Lookup Values'!$I$2:$L$8,4,TRUE)</f>
        <v>Early Morning</v>
      </c>
      <c r="T923" t="s">
        <v>158</v>
      </c>
      <c r="U923" t="s">
        <v>161</v>
      </c>
      <c r="V923" t="str">
        <f t="shared" si="278"/>
        <v>Income: Gift Received</v>
      </c>
      <c r="W923" t="s">
        <v>164</v>
      </c>
      <c r="X923" t="s">
        <v>88</v>
      </c>
      <c r="Y923" s="1">
        <v>252</v>
      </c>
      <c r="Z923" s="1" t="str">
        <f t="shared" si="279"/>
        <v>Income: $252.00</v>
      </c>
      <c r="AA923" s="1">
        <f>IF(Y923="","",ROUND(Y923*'Lookup Values'!$A$2,2))</f>
        <v>22.37</v>
      </c>
      <c r="AB923" s="12" t="str">
        <f t="shared" si="280"/>
        <v>Income</v>
      </c>
      <c r="AC923" s="2" t="s">
        <v>660</v>
      </c>
      <c r="AD923" s="3">
        <f t="shared" si="281"/>
        <v>39934</v>
      </c>
      <c r="AE923" s="93" t="str">
        <f t="shared" si="282"/>
        <v>NO</v>
      </c>
      <c r="AF923" s="2" t="str">
        <f t="shared" si="283"/>
        <v>NO</v>
      </c>
      <c r="AG923" t="str">
        <f t="shared" si="284"/>
        <v>Late Transaction</v>
      </c>
    </row>
    <row r="924" spans="1:33" x14ac:dyDescent="0.25">
      <c r="A924" s="2">
        <v>923</v>
      </c>
      <c r="B924" s="3" t="str">
        <f t="shared" si="266"/>
        <v>081011-BI-CON</v>
      </c>
      <c r="C924" s="3">
        <v>39732</v>
      </c>
      <c r="D924" s="3">
        <f t="shared" si="268"/>
        <v>39745</v>
      </c>
      <c r="E924" s="3">
        <f t="shared" si="269"/>
        <v>39793</v>
      </c>
      <c r="F924" s="3">
        <f t="shared" si="270"/>
        <v>39752</v>
      </c>
      <c r="G924" s="76">
        <f t="shared" si="271"/>
        <v>2008</v>
      </c>
      <c r="H924" s="76">
        <f t="shared" si="272"/>
        <v>10</v>
      </c>
      <c r="I924" s="76" t="str">
        <f>VLOOKUP(H924,'Lookup Values'!$C$2:$D$13,2,FALSE)</f>
        <v>OCT</v>
      </c>
      <c r="J924" s="76">
        <f t="shared" si="273"/>
        <v>11</v>
      </c>
      <c r="K924" s="76">
        <f t="shared" si="274"/>
        <v>7</v>
      </c>
      <c r="L924" s="76" t="str">
        <f>VLOOKUP(K924,'Lookup Values'!$F$2:$G$8,2,FALSE)</f>
        <v>Saturday</v>
      </c>
      <c r="M924" s="3">
        <v>39735</v>
      </c>
      <c r="N924" s="78">
        <f t="shared" si="267"/>
        <v>3</v>
      </c>
      <c r="O924" s="11">
        <v>0.25707033883049923</v>
      </c>
      <c r="P924" s="94">
        <f t="shared" si="275"/>
        <v>6</v>
      </c>
      <c r="Q924" s="94">
        <f t="shared" si="276"/>
        <v>10</v>
      </c>
      <c r="R924" s="94">
        <f t="shared" si="277"/>
        <v>11</v>
      </c>
      <c r="S924" s="94" t="str">
        <f>VLOOKUP(O924,'Lookup Values'!$I$2:$L$8,4,TRUE)</f>
        <v>Early Morning</v>
      </c>
      <c r="T924" t="s">
        <v>110</v>
      </c>
      <c r="U924" t="s">
        <v>111</v>
      </c>
      <c r="V924" t="str">
        <f t="shared" si="278"/>
        <v>Bills: Utilities</v>
      </c>
      <c r="W924" t="s">
        <v>109</v>
      </c>
      <c r="X924" t="s">
        <v>88</v>
      </c>
      <c r="Y924" s="1">
        <v>499</v>
      </c>
      <c r="Z924" s="1" t="str">
        <f t="shared" si="279"/>
        <v>Bills: $499.00</v>
      </c>
      <c r="AA924" s="1">
        <f>IF(Y924="","",ROUND(Y924*'Lookup Values'!$A$2,2))</f>
        <v>44.29</v>
      </c>
      <c r="AB924" s="12" t="str">
        <f t="shared" si="280"/>
        <v>Expense</v>
      </c>
      <c r="AC924" s="2" t="s">
        <v>880</v>
      </c>
      <c r="AD924" s="3">
        <f t="shared" si="281"/>
        <v>39732</v>
      </c>
      <c r="AE924" s="93" t="str">
        <f t="shared" si="282"/>
        <v>NO</v>
      </c>
      <c r="AF924" s="2" t="str">
        <f t="shared" si="283"/>
        <v>NO</v>
      </c>
      <c r="AG924" t="str">
        <f t="shared" si="284"/>
        <v>Late Transaction</v>
      </c>
    </row>
    <row r="925" spans="1:33" x14ac:dyDescent="0.25">
      <c r="A925" s="2">
        <v>924</v>
      </c>
      <c r="B925" s="3" t="str">
        <f t="shared" si="266"/>
        <v>090809-IN-EZE</v>
      </c>
      <c r="C925" s="3">
        <v>40034</v>
      </c>
      <c r="D925" s="3">
        <f t="shared" si="268"/>
        <v>40046</v>
      </c>
      <c r="E925" s="3">
        <f t="shared" si="269"/>
        <v>40095</v>
      </c>
      <c r="F925" s="3">
        <f t="shared" si="270"/>
        <v>40056</v>
      </c>
      <c r="G925" s="76">
        <f t="shared" si="271"/>
        <v>2009</v>
      </c>
      <c r="H925" s="76">
        <f t="shared" si="272"/>
        <v>8</v>
      </c>
      <c r="I925" s="76" t="str">
        <f>VLOOKUP(H925,'Lookup Values'!$C$2:$D$13,2,FALSE)</f>
        <v>AUG</v>
      </c>
      <c r="J925" s="76">
        <f t="shared" si="273"/>
        <v>9</v>
      </c>
      <c r="K925" s="76">
        <f t="shared" si="274"/>
        <v>1</v>
      </c>
      <c r="L925" s="76" t="str">
        <f>VLOOKUP(K925,'Lookup Values'!$F$2:$G$8,2,FALSE)</f>
        <v>Sunday</v>
      </c>
      <c r="M925" s="3">
        <v>40035</v>
      </c>
      <c r="N925" s="78">
        <f t="shared" si="267"/>
        <v>1</v>
      </c>
      <c r="O925" s="11">
        <v>0.18222606945151365</v>
      </c>
      <c r="P925" s="94">
        <f t="shared" si="275"/>
        <v>4</v>
      </c>
      <c r="Q925" s="94">
        <f t="shared" si="276"/>
        <v>22</v>
      </c>
      <c r="R925" s="94">
        <f t="shared" si="277"/>
        <v>24</v>
      </c>
      <c r="S925" s="94" t="str">
        <f>VLOOKUP(O925,'Lookup Values'!$I$2:$L$8,4,TRUE)</f>
        <v>Early Morning</v>
      </c>
      <c r="T925" t="s">
        <v>158</v>
      </c>
      <c r="U925" t="s">
        <v>159</v>
      </c>
      <c r="V925" t="str">
        <f t="shared" si="278"/>
        <v>Income: Salary</v>
      </c>
      <c r="W925" t="s">
        <v>162</v>
      </c>
      <c r="X925" t="s">
        <v>91</v>
      </c>
      <c r="Y925" s="1">
        <v>496</v>
      </c>
      <c r="Z925" s="1" t="str">
        <f t="shared" si="279"/>
        <v>Income: $496.00</v>
      </c>
      <c r="AA925" s="1">
        <f>IF(Y925="","",ROUND(Y925*'Lookup Values'!$A$2,2))</f>
        <v>44.02</v>
      </c>
      <c r="AB925" s="12" t="str">
        <f t="shared" si="280"/>
        <v>Income</v>
      </c>
      <c r="AC925" s="2" t="s">
        <v>913</v>
      </c>
      <c r="AD925" s="3">
        <f t="shared" si="281"/>
        <v>40034</v>
      </c>
      <c r="AE925" s="93" t="str">
        <f t="shared" si="282"/>
        <v>NO</v>
      </c>
      <c r="AF925" s="2" t="str">
        <f t="shared" si="283"/>
        <v>NO</v>
      </c>
      <c r="AG925" t="str">
        <f t="shared" si="284"/>
        <v>Late Transaction</v>
      </c>
    </row>
    <row r="926" spans="1:33" x14ac:dyDescent="0.25">
      <c r="A926" s="2">
        <v>925</v>
      </c>
      <c r="B926" s="3" t="str">
        <f t="shared" si="266"/>
        <v>110318-IN-LEG</v>
      </c>
      <c r="C926" s="3">
        <v>40620</v>
      </c>
      <c r="D926" s="3">
        <f t="shared" si="268"/>
        <v>40634</v>
      </c>
      <c r="E926" s="3">
        <f t="shared" si="269"/>
        <v>40681</v>
      </c>
      <c r="F926" s="3">
        <f t="shared" si="270"/>
        <v>40633</v>
      </c>
      <c r="G926" s="76">
        <f t="shared" si="271"/>
        <v>2011</v>
      </c>
      <c r="H926" s="76">
        <f t="shared" si="272"/>
        <v>3</v>
      </c>
      <c r="I926" s="76" t="str">
        <f>VLOOKUP(H926,'Lookup Values'!$C$2:$D$13,2,FALSE)</f>
        <v>MAR</v>
      </c>
      <c r="J926" s="76">
        <f t="shared" si="273"/>
        <v>18</v>
      </c>
      <c r="K926" s="76">
        <f t="shared" si="274"/>
        <v>6</v>
      </c>
      <c r="L926" s="76" t="str">
        <f>VLOOKUP(K926,'Lookup Values'!$F$2:$G$8,2,FALSE)</f>
        <v>Friday</v>
      </c>
      <c r="M926" s="3">
        <v>40629</v>
      </c>
      <c r="N926" s="78">
        <f t="shared" si="267"/>
        <v>9</v>
      </c>
      <c r="O926" s="11">
        <v>0.87914739075982917</v>
      </c>
      <c r="P926" s="94">
        <f t="shared" si="275"/>
        <v>21</v>
      </c>
      <c r="Q926" s="94">
        <f t="shared" si="276"/>
        <v>5</v>
      </c>
      <c r="R926" s="94">
        <f t="shared" si="277"/>
        <v>58</v>
      </c>
      <c r="S926" s="94" t="str">
        <f>VLOOKUP(O926,'Lookup Values'!$I$2:$L$8,4,TRUE)</f>
        <v>Late Evening</v>
      </c>
      <c r="T926" t="s">
        <v>158</v>
      </c>
      <c r="U926" t="s">
        <v>160</v>
      </c>
      <c r="V926" t="str">
        <f t="shared" si="278"/>
        <v>Income: Freelance Project</v>
      </c>
      <c r="W926" t="s">
        <v>163</v>
      </c>
      <c r="X926" t="s">
        <v>88</v>
      </c>
      <c r="Y926" s="1">
        <v>329</v>
      </c>
      <c r="Z926" s="1" t="str">
        <f t="shared" si="279"/>
        <v>Income: $329.00</v>
      </c>
      <c r="AA926" s="1">
        <f>IF(Y926="","",ROUND(Y926*'Lookup Values'!$A$2,2))</f>
        <v>29.2</v>
      </c>
      <c r="AB926" s="12" t="str">
        <f t="shared" si="280"/>
        <v>Income</v>
      </c>
      <c r="AC926" s="2" t="s">
        <v>914</v>
      </c>
      <c r="AD926" s="3">
        <f t="shared" si="281"/>
        <v>40620</v>
      </c>
      <c r="AE926" s="93" t="str">
        <f t="shared" si="282"/>
        <v>NO</v>
      </c>
      <c r="AF926" s="2" t="str">
        <f t="shared" si="283"/>
        <v>NO</v>
      </c>
      <c r="AG926" t="str">
        <f t="shared" si="284"/>
        <v>CRAP Transaction</v>
      </c>
    </row>
    <row r="927" spans="1:33" x14ac:dyDescent="0.25">
      <c r="A927" s="2">
        <v>926</v>
      </c>
      <c r="B927" s="3" t="str">
        <f t="shared" si="266"/>
        <v>080229-TR-MTA</v>
      </c>
      <c r="C927" s="3">
        <v>39507</v>
      </c>
      <c r="D927" s="3">
        <f t="shared" si="268"/>
        <v>39521</v>
      </c>
      <c r="E927" s="3">
        <f t="shared" si="269"/>
        <v>39567</v>
      </c>
      <c r="F927" s="3">
        <f t="shared" si="270"/>
        <v>39507</v>
      </c>
      <c r="G927" s="76">
        <f t="shared" si="271"/>
        <v>2008</v>
      </c>
      <c r="H927" s="76">
        <f t="shared" si="272"/>
        <v>2</v>
      </c>
      <c r="I927" s="76" t="str">
        <f>VLOOKUP(H927,'Lookup Values'!$C$2:$D$13,2,FALSE)</f>
        <v>FEB</v>
      </c>
      <c r="J927" s="76">
        <f t="shared" si="273"/>
        <v>29</v>
      </c>
      <c r="K927" s="76">
        <f t="shared" si="274"/>
        <v>6</v>
      </c>
      <c r="L927" s="76" t="str">
        <f>VLOOKUP(K927,'Lookup Values'!$F$2:$G$8,2,FALSE)</f>
        <v>Friday</v>
      </c>
      <c r="M927" s="3">
        <v>39512</v>
      </c>
      <c r="N927" s="78">
        <f t="shared" si="267"/>
        <v>5</v>
      </c>
      <c r="O927" s="11">
        <v>0.68968989744151432</v>
      </c>
      <c r="P927" s="94">
        <f t="shared" si="275"/>
        <v>16</v>
      </c>
      <c r="Q927" s="94">
        <f t="shared" si="276"/>
        <v>33</v>
      </c>
      <c r="R927" s="94">
        <f t="shared" si="277"/>
        <v>9</v>
      </c>
      <c r="S927" s="94" t="str">
        <f>VLOOKUP(O927,'Lookup Values'!$I$2:$L$8,4,TRUE)</f>
        <v>Afternoon</v>
      </c>
      <c r="T927" t="s">
        <v>95</v>
      </c>
      <c r="U927" t="s">
        <v>96</v>
      </c>
      <c r="V927" t="str">
        <f t="shared" si="278"/>
        <v>Transportation: Subway</v>
      </c>
      <c r="W927" t="s">
        <v>94</v>
      </c>
      <c r="X927" t="s">
        <v>91</v>
      </c>
      <c r="Y927" s="1">
        <v>38</v>
      </c>
      <c r="Z927" s="1" t="str">
        <f t="shared" si="279"/>
        <v>Transportation: $38.00</v>
      </c>
      <c r="AA927" s="1">
        <f>IF(Y927="","",ROUND(Y927*'Lookup Values'!$A$2,2))</f>
        <v>3.37</v>
      </c>
      <c r="AB927" s="12" t="str">
        <f t="shared" si="280"/>
        <v>Expense</v>
      </c>
      <c r="AC927" s="2" t="s">
        <v>694</v>
      </c>
      <c r="AD927" s="3">
        <f t="shared" si="281"/>
        <v>39507</v>
      </c>
      <c r="AE927" s="93" t="str">
        <f t="shared" si="282"/>
        <v>YES</v>
      </c>
      <c r="AF927" s="2" t="str">
        <f t="shared" si="283"/>
        <v>NO</v>
      </c>
      <c r="AG927" t="str">
        <f t="shared" si="284"/>
        <v>Late Transaction</v>
      </c>
    </row>
    <row r="928" spans="1:33" x14ac:dyDescent="0.25">
      <c r="A928" s="2">
        <v>927</v>
      </c>
      <c r="B928" s="3" t="str">
        <f t="shared" si="266"/>
        <v>120609-BI-CON</v>
      </c>
      <c r="C928" s="3">
        <v>41069</v>
      </c>
      <c r="D928" s="3">
        <f t="shared" si="268"/>
        <v>41082</v>
      </c>
      <c r="E928" s="3">
        <f t="shared" si="269"/>
        <v>41130</v>
      </c>
      <c r="F928" s="3">
        <f t="shared" si="270"/>
        <v>41090</v>
      </c>
      <c r="G928" s="76">
        <f t="shared" si="271"/>
        <v>2012</v>
      </c>
      <c r="H928" s="76">
        <f t="shared" si="272"/>
        <v>6</v>
      </c>
      <c r="I928" s="76" t="str">
        <f>VLOOKUP(H928,'Lookup Values'!$C$2:$D$13,2,FALSE)</f>
        <v>JUN</v>
      </c>
      <c r="J928" s="76">
        <f t="shared" si="273"/>
        <v>9</v>
      </c>
      <c r="K928" s="76">
        <f t="shared" si="274"/>
        <v>7</v>
      </c>
      <c r="L928" s="76" t="str">
        <f>VLOOKUP(K928,'Lookup Values'!$F$2:$G$8,2,FALSE)</f>
        <v>Saturday</v>
      </c>
      <c r="M928" s="3">
        <v>41075</v>
      </c>
      <c r="N928" s="78">
        <f t="shared" si="267"/>
        <v>6</v>
      </c>
      <c r="O928" s="11">
        <v>5.5461932254402879E-2</v>
      </c>
      <c r="P928" s="94">
        <f t="shared" si="275"/>
        <v>1</v>
      </c>
      <c r="Q928" s="94">
        <f t="shared" si="276"/>
        <v>19</v>
      </c>
      <c r="R928" s="94">
        <f t="shared" si="277"/>
        <v>52</v>
      </c>
      <c r="S928" s="94" t="str">
        <f>VLOOKUP(O928,'Lookup Values'!$I$2:$L$8,4,TRUE)</f>
        <v>Dead of Night</v>
      </c>
      <c r="T928" t="s">
        <v>110</v>
      </c>
      <c r="U928" t="s">
        <v>111</v>
      </c>
      <c r="V928" t="str">
        <f t="shared" si="278"/>
        <v>Bills: Utilities</v>
      </c>
      <c r="W928" t="s">
        <v>109</v>
      </c>
      <c r="X928" t="s">
        <v>88</v>
      </c>
      <c r="Y928" s="1">
        <v>465</v>
      </c>
      <c r="Z928" s="1" t="str">
        <f t="shared" si="279"/>
        <v>Bills: $465.00</v>
      </c>
      <c r="AA928" s="1">
        <f>IF(Y928="","",ROUND(Y928*'Lookup Values'!$A$2,2))</f>
        <v>41.27</v>
      </c>
      <c r="AB928" s="12" t="str">
        <f t="shared" si="280"/>
        <v>Expense</v>
      </c>
      <c r="AC928" s="2" t="s">
        <v>915</v>
      </c>
      <c r="AD928" s="3">
        <f t="shared" si="281"/>
        <v>41069</v>
      </c>
      <c r="AE928" s="93" t="str">
        <f t="shared" si="282"/>
        <v>NO</v>
      </c>
      <c r="AF928" s="2" t="str">
        <f t="shared" si="283"/>
        <v>NO</v>
      </c>
      <c r="AG928" t="str">
        <f t="shared" si="284"/>
        <v>CRAP Transaction</v>
      </c>
    </row>
    <row r="929" spans="1:33" x14ac:dyDescent="0.25">
      <c r="A929" s="2">
        <v>928</v>
      </c>
      <c r="B929" s="3" t="str">
        <f t="shared" si="266"/>
        <v>081112-TR-MTA</v>
      </c>
      <c r="C929" s="3">
        <v>39764</v>
      </c>
      <c r="D929" s="3">
        <f t="shared" si="268"/>
        <v>39778</v>
      </c>
      <c r="E929" s="3">
        <f t="shared" si="269"/>
        <v>39825</v>
      </c>
      <c r="F929" s="3">
        <f t="shared" si="270"/>
        <v>39782</v>
      </c>
      <c r="G929" s="76">
        <f t="shared" si="271"/>
        <v>2008</v>
      </c>
      <c r="H929" s="76">
        <f t="shared" si="272"/>
        <v>11</v>
      </c>
      <c r="I929" s="76" t="str">
        <f>VLOOKUP(H929,'Lookup Values'!$C$2:$D$13,2,FALSE)</f>
        <v>NOV</v>
      </c>
      <c r="J929" s="76">
        <f t="shared" si="273"/>
        <v>12</v>
      </c>
      <c r="K929" s="76">
        <f t="shared" si="274"/>
        <v>4</v>
      </c>
      <c r="L929" s="76" t="str">
        <f>VLOOKUP(K929,'Lookup Values'!$F$2:$G$8,2,FALSE)</f>
        <v>Wednesday</v>
      </c>
      <c r="M929" s="3">
        <v>39771</v>
      </c>
      <c r="N929" s="78">
        <f t="shared" si="267"/>
        <v>7</v>
      </c>
      <c r="O929" s="11">
        <v>0.26915632659310662</v>
      </c>
      <c r="P929" s="94">
        <f t="shared" si="275"/>
        <v>6</v>
      </c>
      <c r="Q929" s="94">
        <f t="shared" si="276"/>
        <v>27</v>
      </c>
      <c r="R929" s="94">
        <f t="shared" si="277"/>
        <v>35</v>
      </c>
      <c r="S929" s="94" t="str">
        <f>VLOOKUP(O929,'Lookup Values'!$I$2:$L$8,4,TRUE)</f>
        <v>Early Morning</v>
      </c>
      <c r="T929" t="s">
        <v>95</v>
      </c>
      <c r="U929" t="s">
        <v>96</v>
      </c>
      <c r="V929" t="str">
        <f t="shared" si="278"/>
        <v>Transportation: Subway</v>
      </c>
      <c r="W929" t="s">
        <v>94</v>
      </c>
      <c r="X929" t="s">
        <v>88</v>
      </c>
      <c r="Y929" s="1">
        <v>216</v>
      </c>
      <c r="Z929" s="1" t="str">
        <f t="shared" si="279"/>
        <v>Transportation: $216.00</v>
      </c>
      <c r="AA929" s="1">
        <f>IF(Y929="","",ROUND(Y929*'Lookup Values'!$A$2,2))</f>
        <v>19.170000000000002</v>
      </c>
      <c r="AB929" s="12" t="str">
        <f t="shared" si="280"/>
        <v>Expense</v>
      </c>
      <c r="AC929" s="2" t="s">
        <v>916</v>
      </c>
      <c r="AD929" s="3">
        <f t="shared" si="281"/>
        <v>39764</v>
      </c>
      <c r="AE929" s="93" t="str">
        <f t="shared" si="282"/>
        <v>YES</v>
      </c>
      <c r="AF929" s="2" t="str">
        <f t="shared" si="283"/>
        <v>NO</v>
      </c>
      <c r="AG929" t="str">
        <f t="shared" si="284"/>
        <v>Late Transaction</v>
      </c>
    </row>
    <row r="930" spans="1:33" x14ac:dyDescent="0.25">
      <c r="A930" s="2">
        <v>929</v>
      </c>
      <c r="B930" s="3" t="str">
        <f t="shared" si="266"/>
        <v>070407-TR-MTA</v>
      </c>
      <c r="C930" s="3">
        <v>39179</v>
      </c>
      <c r="D930" s="3">
        <f t="shared" si="268"/>
        <v>39192</v>
      </c>
      <c r="E930" s="3">
        <f t="shared" si="269"/>
        <v>39240</v>
      </c>
      <c r="F930" s="3">
        <f t="shared" si="270"/>
        <v>39202</v>
      </c>
      <c r="G930" s="76">
        <f t="shared" si="271"/>
        <v>2007</v>
      </c>
      <c r="H930" s="76">
        <f t="shared" si="272"/>
        <v>4</v>
      </c>
      <c r="I930" s="76" t="str">
        <f>VLOOKUP(H930,'Lookup Values'!$C$2:$D$13,2,FALSE)</f>
        <v>APR</v>
      </c>
      <c r="J930" s="76">
        <f t="shared" si="273"/>
        <v>7</v>
      </c>
      <c r="K930" s="76">
        <f t="shared" si="274"/>
        <v>7</v>
      </c>
      <c r="L930" s="76" t="str">
        <f>VLOOKUP(K930,'Lookup Values'!$F$2:$G$8,2,FALSE)</f>
        <v>Saturday</v>
      </c>
      <c r="M930" s="3">
        <v>39185</v>
      </c>
      <c r="N930" s="78">
        <f t="shared" si="267"/>
        <v>6</v>
      </c>
      <c r="O930" s="11">
        <v>9.3097587535379001E-2</v>
      </c>
      <c r="P930" s="94">
        <f t="shared" si="275"/>
        <v>2</v>
      </c>
      <c r="Q930" s="94">
        <f t="shared" si="276"/>
        <v>14</v>
      </c>
      <c r="R930" s="94">
        <f t="shared" si="277"/>
        <v>4</v>
      </c>
      <c r="S930" s="94" t="str">
        <f>VLOOKUP(O930,'Lookup Values'!$I$2:$L$8,4,TRUE)</f>
        <v>Dead of Night</v>
      </c>
      <c r="T930" t="s">
        <v>95</v>
      </c>
      <c r="U930" t="s">
        <v>96</v>
      </c>
      <c r="V930" t="str">
        <f t="shared" si="278"/>
        <v>Transportation: Subway</v>
      </c>
      <c r="W930" t="s">
        <v>94</v>
      </c>
      <c r="X930" t="s">
        <v>91</v>
      </c>
      <c r="Y930" s="1">
        <v>399</v>
      </c>
      <c r="Z930" s="1" t="str">
        <f t="shared" si="279"/>
        <v>Transportation: $399.00</v>
      </c>
      <c r="AA930" s="1">
        <f>IF(Y930="","",ROUND(Y930*'Lookup Values'!$A$2,2))</f>
        <v>35.409999999999997</v>
      </c>
      <c r="AB930" s="12" t="str">
        <f t="shared" si="280"/>
        <v>Expense</v>
      </c>
      <c r="AC930" s="2" t="s">
        <v>779</v>
      </c>
      <c r="AD930" s="3">
        <f t="shared" si="281"/>
        <v>39179</v>
      </c>
      <c r="AE930" s="93" t="str">
        <f t="shared" si="282"/>
        <v>YES</v>
      </c>
      <c r="AF930" s="2" t="str">
        <f t="shared" si="283"/>
        <v>NO</v>
      </c>
      <c r="AG930" t="str">
        <f t="shared" si="284"/>
        <v>Late Transaction</v>
      </c>
    </row>
    <row r="931" spans="1:33" x14ac:dyDescent="0.25">
      <c r="A931" s="2">
        <v>930</v>
      </c>
      <c r="B931" s="3" t="str">
        <f t="shared" si="266"/>
        <v>120423-SH-EXP</v>
      </c>
      <c r="C931" s="3">
        <v>41022</v>
      </c>
      <c r="D931" s="3">
        <f t="shared" si="268"/>
        <v>41036</v>
      </c>
      <c r="E931" s="3">
        <f t="shared" si="269"/>
        <v>41083</v>
      </c>
      <c r="F931" s="3">
        <f t="shared" si="270"/>
        <v>41029</v>
      </c>
      <c r="G931" s="76">
        <f t="shared" si="271"/>
        <v>2012</v>
      </c>
      <c r="H931" s="76">
        <f t="shared" si="272"/>
        <v>4</v>
      </c>
      <c r="I931" s="76" t="str">
        <f>VLOOKUP(H931,'Lookup Values'!$C$2:$D$13,2,FALSE)</f>
        <v>APR</v>
      </c>
      <c r="J931" s="76">
        <f t="shared" si="273"/>
        <v>23</v>
      </c>
      <c r="K931" s="76">
        <f t="shared" si="274"/>
        <v>2</v>
      </c>
      <c r="L931" s="76" t="str">
        <f>VLOOKUP(K931,'Lookup Values'!$F$2:$G$8,2,FALSE)</f>
        <v>Monday</v>
      </c>
      <c r="M931" s="3">
        <v>41032</v>
      </c>
      <c r="N931" s="78">
        <f t="shared" si="267"/>
        <v>10</v>
      </c>
      <c r="O931" s="11">
        <v>0.55880516135070224</v>
      </c>
      <c r="P931" s="94">
        <f t="shared" si="275"/>
        <v>13</v>
      </c>
      <c r="Q931" s="94">
        <f t="shared" si="276"/>
        <v>24</v>
      </c>
      <c r="R931" s="94">
        <f t="shared" si="277"/>
        <v>41</v>
      </c>
      <c r="S931" s="94" t="str">
        <f>VLOOKUP(O931,'Lookup Values'!$I$2:$L$8,4,TRUE)</f>
        <v>Afternoon</v>
      </c>
      <c r="T931" t="s">
        <v>83</v>
      </c>
      <c r="U931" t="s">
        <v>103</v>
      </c>
      <c r="V931" t="str">
        <f t="shared" si="278"/>
        <v>Shopping: Clothing</v>
      </c>
      <c r="W931" t="s">
        <v>102</v>
      </c>
      <c r="X931" t="s">
        <v>91</v>
      </c>
      <c r="Y931" s="1">
        <v>40</v>
      </c>
      <c r="Z931" s="1" t="str">
        <f t="shared" si="279"/>
        <v>Shopping: $40.00</v>
      </c>
      <c r="AA931" s="1">
        <f>IF(Y931="","",ROUND(Y931*'Lookup Values'!$A$2,2))</f>
        <v>3.55</v>
      </c>
      <c r="AB931" s="12" t="str">
        <f t="shared" si="280"/>
        <v>Expense</v>
      </c>
      <c r="AC931" s="2" t="s">
        <v>807</v>
      </c>
      <c r="AD931" s="3">
        <f t="shared" si="281"/>
        <v>41022</v>
      </c>
      <c r="AE931" s="93" t="str">
        <f t="shared" si="282"/>
        <v>NO</v>
      </c>
      <c r="AF931" s="2" t="str">
        <f t="shared" si="283"/>
        <v>NO</v>
      </c>
      <c r="AG931" t="str">
        <f t="shared" si="284"/>
        <v>CRAP Transaction</v>
      </c>
    </row>
    <row r="932" spans="1:33" x14ac:dyDescent="0.25">
      <c r="A932" s="2">
        <v>931</v>
      </c>
      <c r="B932" s="3" t="str">
        <f t="shared" si="266"/>
        <v>100811-IN-AUN</v>
      </c>
      <c r="C932" s="3">
        <v>40401</v>
      </c>
      <c r="D932" s="3">
        <f t="shared" si="268"/>
        <v>40415</v>
      </c>
      <c r="E932" s="3">
        <f t="shared" si="269"/>
        <v>40462</v>
      </c>
      <c r="F932" s="3">
        <f t="shared" si="270"/>
        <v>40421</v>
      </c>
      <c r="G932" s="76">
        <f t="shared" si="271"/>
        <v>2010</v>
      </c>
      <c r="H932" s="76">
        <f t="shared" si="272"/>
        <v>8</v>
      </c>
      <c r="I932" s="76" t="str">
        <f>VLOOKUP(H932,'Lookup Values'!$C$2:$D$13,2,FALSE)</f>
        <v>AUG</v>
      </c>
      <c r="J932" s="76">
        <f t="shared" si="273"/>
        <v>11</v>
      </c>
      <c r="K932" s="76">
        <f t="shared" si="274"/>
        <v>4</v>
      </c>
      <c r="L932" s="76" t="str">
        <f>VLOOKUP(K932,'Lookup Values'!$F$2:$G$8,2,FALSE)</f>
        <v>Wednesday</v>
      </c>
      <c r="M932" s="3">
        <v>40411</v>
      </c>
      <c r="N932" s="78">
        <f t="shared" si="267"/>
        <v>10</v>
      </c>
      <c r="O932" s="11">
        <v>0.91345870931171447</v>
      </c>
      <c r="P932" s="94">
        <f t="shared" si="275"/>
        <v>21</v>
      </c>
      <c r="Q932" s="94">
        <f t="shared" si="276"/>
        <v>55</v>
      </c>
      <c r="R932" s="94">
        <f t="shared" si="277"/>
        <v>23</v>
      </c>
      <c r="S932" s="94" t="str">
        <f>VLOOKUP(O932,'Lookup Values'!$I$2:$L$8,4,TRUE)</f>
        <v>Late Evening</v>
      </c>
      <c r="T932" t="s">
        <v>158</v>
      </c>
      <c r="U932" t="s">
        <v>161</v>
      </c>
      <c r="V932" t="str">
        <f t="shared" si="278"/>
        <v>Income: Gift Received</v>
      </c>
      <c r="W932" t="s">
        <v>164</v>
      </c>
      <c r="X932" t="s">
        <v>91</v>
      </c>
      <c r="Y932" s="1">
        <v>75</v>
      </c>
      <c r="Z932" s="1" t="str">
        <f t="shared" si="279"/>
        <v>Income: $75.00</v>
      </c>
      <c r="AA932" s="1">
        <f>IF(Y932="","",ROUND(Y932*'Lookup Values'!$A$2,2))</f>
        <v>6.66</v>
      </c>
      <c r="AB932" s="12" t="str">
        <f t="shared" si="280"/>
        <v>Income</v>
      </c>
      <c r="AC932" s="2" t="s">
        <v>917</v>
      </c>
      <c r="AD932" s="3">
        <f t="shared" si="281"/>
        <v>40401</v>
      </c>
      <c r="AE932" s="93" t="str">
        <f t="shared" si="282"/>
        <v>NO</v>
      </c>
      <c r="AF932" s="2" t="str">
        <f t="shared" si="283"/>
        <v>NO</v>
      </c>
      <c r="AG932" t="str">
        <f t="shared" si="284"/>
        <v>Late Transaction</v>
      </c>
    </row>
    <row r="933" spans="1:33" x14ac:dyDescent="0.25">
      <c r="A933" s="2">
        <v>932</v>
      </c>
      <c r="B933" s="3" t="str">
        <f t="shared" si="266"/>
        <v>110906-BI-CON</v>
      </c>
      <c r="C933" s="3">
        <v>40792</v>
      </c>
      <c r="D933" s="3">
        <f t="shared" si="268"/>
        <v>40806</v>
      </c>
      <c r="E933" s="3">
        <f t="shared" si="269"/>
        <v>40853</v>
      </c>
      <c r="F933" s="3">
        <f t="shared" si="270"/>
        <v>40816</v>
      </c>
      <c r="G933" s="76">
        <f t="shared" si="271"/>
        <v>2011</v>
      </c>
      <c r="H933" s="76">
        <f t="shared" si="272"/>
        <v>9</v>
      </c>
      <c r="I933" s="76" t="str">
        <f>VLOOKUP(H933,'Lookup Values'!$C$2:$D$13,2,FALSE)</f>
        <v>SEP</v>
      </c>
      <c r="J933" s="76">
        <f t="shared" si="273"/>
        <v>6</v>
      </c>
      <c r="K933" s="76">
        <f t="shared" si="274"/>
        <v>3</v>
      </c>
      <c r="L933" s="76" t="str">
        <f>VLOOKUP(K933,'Lookup Values'!$F$2:$G$8,2,FALSE)</f>
        <v>Tuesday</v>
      </c>
      <c r="M933" s="3">
        <v>40796</v>
      </c>
      <c r="N933" s="78">
        <f t="shared" si="267"/>
        <v>4</v>
      </c>
      <c r="O933" s="11">
        <v>0.11136738647914335</v>
      </c>
      <c r="P933" s="94">
        <f t="shared" si="275"/>
        <v>2</v>
      </c>
      <c r="Q933" s="94">
        <f t="shared" si="276"/>
        <v>40</v>
      </c>
      <c r="R933" s="94">
        <f t="shared" si="277"/>
        <v>22</v>
      </c>
      <c r="S933" s="94" t="str">
        <f>VLOOKUP(O933,'Lookup Values'!$I$2:$L$8,4,TRUE)</f>
        <v>Dead of Night</v>
      </c>
      <c r="T933" t="s">
        <v>110</v>
      </c>
      <c r="U933" t="s">
        <v>111</v>
      </c>
      <c r="V933" t="str">
        <f t="shared" si="278"/>
        <v>Bills: Utilities</v>
      </c>
      <c r="W933" t="s">
        <v>109</v>
      </c>
      <c r="X933" t="s">
        <v>88</v>
      </c>
      <c r="Y933" s="1">
        <v>159</v>
      </c>
      <c r="Z933" s="1" t="str">
        <f t="shared" si="279"/>
        <v>Bills: $159.00</v>
      </c>
      <c r="AA933" s="1">
        <f>IF(Y933="","",ROUND(Y933*'Lookup Values'!$A$2,2))</f>
        <v>14.11</v>
      </c>
      <c r="AB933" s="12" t="str">
        <f t="shared" si="280"/>
        <v>Expense</v>
      </c>
      <c r="AC933" s="2" t="s">
        <v>825</v>
      </c>
      <c r="AD933" s="3">
        <f t="shared" si="281"/>
        <v>40792</v>
      </c>
      <c r="AE933" s="93" t="str">
        <f t="shared" si="282"/>
        <v>NO</v>
      </c>
      <c r="AF933" s="2" t="str">
        <f t="shared" si="283"/>
        <v>NO</v>
      </c>
      <c r="AG933" t="str">
        <f t="shared" si="284"/>
        <v>CRAP Transaction</v>
      </c>
    </row>
    <row r="934" spans="1:33" x14ac:dyDescent="0.25">
      <c r="A934" s="2">
        <v>933</v>
      </c>
      <c r="B934" s="3" t="str">
        <f t="shared" si="266"/>
        <v>091201-ED-ANT</v>
      </c>
      <c r="C934" s="3">
        <v>40148</v>
      </c>
      <c r="D934" s="3">
        <f t="shared" si="268"/>
        <v>40162</v>
      </c>
      <c r="E934" s="3">
        <f t="shared" si="269"/>
        <v>40210</v>
      </c>
      <c r="F934" s="3">
        <f t="shared" si="270"/>
        <v>40178</v>
      </c>
      <c r="G934" s="76">
        <f t="shared" si="271"/>
        <v>2009</v>
      </c>
      <c r="H934" s="76">
        <f t="shared" si="272"/>
        <v>12</v>
      </c>
      <c r="I934" s="76" t="str">
        <f>VLOOKUP(H934,'Lookup Values'!$C$2:$D$13,2,FALSE)</f>
        <v>DEC</v>
      </c>
      <c r="J934" s="76">
        <f t="shared" si="273"/>
        <v>1</v>
      </c>
      <c r="K934" s="76">
        <f t="shared" si="274"/>
        <v>3</v>
      </c>
      <c r="L934" s="76" t="str">
        <f>VLOOKUP(K934,'Lookup Values'!$F$2:$G$8,2,FALSE)</f>
        <v>Tuesday</v>
      </c>
      <c r="M934" s="3">
        <v>40154</v>
      </c>
      <c r="N934" s="78">
        <f t="shared" si="267"/>
        <v>6</v>
      </c>
      <c r="O934" s="11">
        <v>0.70495944217858841</v>
      </c>
      <c r="P934" s="94">
        <f t="shared" si="275"/>
        <v>16</v>
      </c>
      <c r="Q934" s="94">
        <f t="shared" si="276"/>
        <v>55</v>
      </c>
      <c r="R934" s="94">
        <f t="shared" si="277"/>
        <v>8</v>
      </c>
      <c r="S934" s="94" t="str">
        <f>VLOOKUP(O934,'Lookup Values'!$I$2:$L$8,4,TRUE)</f>
        <v>Afternoon</v>
      </c>
      <c r="T934" t="s">
        <v>86</v>
      </c>
      <c r="U934" t="s">
        <v>87</v>
      </c>
      <c r="V934" t="str">
        <f t="shared" si="278"/>
        <v>Education: Tango Lessons</v>
      </c>
      <c r="W934" t="s">
        <v>85</v>
      </c>
      <c r="X934" t="s">
        <v>78</v>
      </c>
      <c r="Y934" s="1">
        <v>431</v>
      </c>
      <c r="Z934" s="1" t="str">
        <f t="shared" si="279"/>
        <v>Education: $431.00</v>
      </c>
      <c r="AA934" s="1">
        <f>IF(Y934="","",ROUND(Y934*'Lookup Values'!$A$2,2))</f>
        <v>38.25</v>
      </c>
      <c r="AB934" s="12" t="str">
        <f t="shared" si="280"/>
        <v>Expense</v>
      </c>
      <c r="AC934" s="2" t="s">
        <v>918</v>
      </c>
      <c r="AD934" s="3">
        <f t="shared" si="281"/>
        <v>40148</v>
      </c>
      <c r="AE934" s="93" t="str">
        <f t="shared" si="282"/>
        <v>NO</v>
      </c>
      <c r="AF934" s="2" t="str">
        <f t="shared" si="283"/>
        <v>NO</v>
      </c>
      <c r="AG934" t="str">
        <f t="shared" si="284"/>
        <v>Late Transaction</v>
      </c>
    </row>
    <row r="935" spans="1:33" x14ac:dyDescent="0.25">
      <c r="A935" s="2">
        <v>934</v>
      </c>
      <c r="B935" s="3" t="str">
        <f t="shared" si="266"/>
        <v>110827-ED-ANT</v>
      </c>
      <c r="C935" s="3">
        <v>40782</v>
      </c>
      <c r="D935" s="3">
        <f t="shared" si="268"/>
        <v>40795</v>
      </c>
      <c r="E935" s="3">
        <f t="shared" si="269"/>
        <v>40843</v>
      </c>
      <c r="F935" s="3">
        <f t="shared" si="270"/>
        <v>40786</v>
      </c>
      <c r="G935" s="76">
        <f t="shared" si="271"/>
        <v>2011</v>
      </c>
      <c r="H935" s="76">
        <f t="shared" si="272"/>
        <v>8</v>
      </c>
      <c r="I935" s="76" t="str">
        <f>VLOOKUP(H935,'Lookup Values'!$C$2:$D$13,2,FALSE)</f>
        <v>AUG</v>
      </c>
      <c r="J935" s="76">
        <f t="shared" si="273"/>
        <v>27</v>
      </c>
      <c r="K935" s="76">
        <f t="shared" si="274"/>
        <v>7</v>
      </c>
      <c r="L935" s="76" t="str">
        <f>VLOOKUP(K935,'Lookup Values'!$F$2:$G$8,2,FALSE)</f>
        <v>Saturday</v>
      </c>
      <c r="M935" s="3">
        <v>40787</v>
      </c>
      <c r="N935" s="78">
        <f t="shared" si="267"/>
        <v>5</v>
      </c>
      <c r="O935" s="11">
        <v>0.58572418982164387</v>
      </c>
      <c r="P935" s="94">
        <f t="shared" si="275"/>
        <v>14</v>
      </c>
      <c r="Q935" s="94">
        <f t="shared" si="276"/>
        <v>3</v>
      </c>
      <c r="R935" s="94">
        <f t="shared" si="277"/>
        <v>27</v>
      </c>
      <c r="S935" s="94" t="str">
        <f>VLOOKUP(O935,'Lookup Values'!$I$2:$L$8,4,TRUE)</f>
        <v>Afternoon</v>
      </c>
      <c r="T935" t="s">
        <v>86</v>
      </c>
      <c r="U935" t="s">
        <v>87</v>
      </c>
      <c r="V935" t="str">
        <f t="shared" si="278"/>
        <v>Education: Tango Lessons</v>
      </c>
      <c r="W935" t="s">
        <v>85</v>
      </c>
      <c r="X935" t="s">
        <v>88</v>
      </c>
      <c r="Y935" s="1">
        <v>380</v>
      </c>
      <c r="Z935" s="1" t="str">
        <f t="shared" si="279"/>
        <v>Education: $380.00</v>
      </c>
      <c r="AA935" s="1">
        <f>IF(Y935="","",ROUND(Y935*'Lookup Values'!$A$2,2))</f>
        <v>33.729999999999997</v>
      </c>
      <c r="AB935" s="12" t="str">
        <f t="shared" si="280"/>
        <v>Expense</v>
      </c>
      <c r="AC935" s="2" t="s">
        <v>919</v>
      </c>
      <c r="AD935" s="3">
        <f t="shared" si="281"/>
        <v>40782</v>
      </c>
      <c r="AE935" s="93" t="str">
        <f t="shared" si="282"/>
        <v>NO</v>
      </c>
      <c r="AF935" s="2" t="str">
        <f t="shared" si="283"/>
        <v>NO</v>
      </c>
      <c r="AG935" t="str">
        <f t="shared" si="284"/>
        <v>CRAP Transaction</v>
      </c>
    </row>
    <row r="936" spans="1:33" x14ac:dyDescent="0.25">
      <c r="A936" s="2">
        <v>935</v>
      </c>
      <c r="B936" s="3" t="str">
        <f t="shared" si="266"/>
        <v>090506-TR-MTA</v>
      </c>
      <c r="C936" s="3">
        <v>39939</v>
      </c>
      <c r="D936" s="3">
        <f t="shared" si="268"/>
        <v>39953</v>
      </c>
      <c r="E936" s="3">
        <f t="shared" si="269"/>
        <v>40000</v>
      </c>
      <c r="F936" s="3">
        <f t="shared" si="270"/>
        <v>39964</v>
      </c>
      <c r="G936" s="76">
        <f t="shared" si="271"/>
        <v>2009</v>
      </c>
      <c r="H936" s="76">
        <f t="shared" si="272"/>
        <v>5</v>
      </c>
      <c r="I936" s="76" t="str">
        <f>VLOOKUP(H936,'Lookup Values'!$C$2:$D$13,2,FALSE)</f>
        <v>MAY</v>
      </c>
      <c r="J936" s="76">
        <f t="shared" si="273"/>
        <v>6</v>
      </c>
      <c r="K936" s="76">
        <f t="shared" si="274"/>
        <v>4</v>
      </c>
      <c r="L936" s="76" t="str">
        <f>VLOOKUP(K936,'Lookup Values'!$F$2:$G$8,2,FALSE)</f>
        <v>Wednesday</v>
      </c>
      <c r="M936" s="3">
        <v>39949</v>
      </c>
      <c r="N936" s="78">
        <f t="shared" si="267"/>
        <v>10</v>
      </c>
      <c r="O936" s="11">
        <v>0.81320333852502391</v>
      </c>
      <c r="P936" s="94">
        <f t="shared" si="275"/>
        <v>19</v>
      </c>
      <c r="Q936" s="94">
        <f t="shared" si="276"/>
        <v>31</v>
      </c>
      <c r="R936" s="94">
        <f t="shared" si="277"/>
        <v>1</v>
      </c>
      <c r="S936" s="94" t="str">
        <f>VLOOKUP(O936,'Lookup Values'!$I$2:$L$8,4,TRUE)</f>
        <v>Evening</v>
      </c>
      <c r="T936" t="s">
        <v>95</v>
      </c>
      <c r="U936" t="s">
        <v>96</v>
      </c>
      <c r="V936" t="str">
        <f t="shared" si="278"/>
        <v>Transportation: Subway</v>
      </c>
      <c r="W936" t="s">
        <v>94</v>
      </c>
      <c r="X936" t="s">
        <v>88</v>
      </c>
      <c r="Y936" s="1">
        <v>37</v>
      </c>
      <c r="Z936" s="1" t="str">
        <f t="shared" si="279"/>
        <v>Transportation: $37.00</v>
      </c>
      <c r="AA936" s="1">
        <f>IF(Y936="","",ROUND(Y936*'Lookup Values'!$A$2,2))</f>
        <v>3.28</v>
      </c>
      <c r="AB936" s="12" t="str">
        <f t="shared" si="280"/>
        <v>Expense</v>
      </c>
      <c r="AC936" s="2" t="s">
        <v>920</v>
      </c>
      <c r="AD936" s="3">
        <f t="shared" si="281"/>
        <v>39939</v>
      </c>
      <c r="AE936" s="93" t="str">
        <f t="shared" si="282"/>
        <v>YES</v>
      </c>
      <c r="AF936" s="2" t="str">
        <f t="shared" si="283"/>
        <v>NO</v>
      </c>
      <c r="AG936" t="str">
        <f t="shared" si="284"/>
        <v>Late Transaction</v>
      </c>
    </row>
    <row r="937" spans="1:33" x14ac:dyDescent="0.25">
      <c r="A937" s="2">
        <v>936</v>
      </c>
      <c r="B937" s="3" t="str">
        <f t="shared" si="266"/>
        <v>070603-EN-MOE</v>
      </c>
      <c r="C937" s="3">
        <v>39236</v>
      </c>
      <c r="D937" s="3">
        <f t="shared" si="268"/>
        <v>39248</v>
      </c>
      <c r="E937" s="3">
        <f t="shared" si="269"/>
        <v>39297</v>
      </c>
      <c r="F937" s="3">
        <f t="shared" si="270"/>
        <v>39263</v>
      </c>
      <c r="G937" s="76">
        <f t="shared" si="271"/>
        <v>2007</v>
      </c>
      <c r="H937" s="76">
        <f t="shared" si="272"/>
        <v>6</v>
      </c>
      <c r="I937" s="76" t="str">
        <f>VLOOKUP(H937,'Lookup Values'!$C$2:$D$13,2,FALSE)</f>
        <v>JUN</v>
      </c>
      <c r="J937" s="76">
        <f t="shared" si="273"/>
        <v>3</v>
      </c>
      <c r="K937" s="76">
        <f t="shared" si="274"/>
        <v>1</v>
      </c>
      <c r="L937" s="76" t="str">
        <f>VLOOKUP(K937,'Lookup Values'!$F$2:$G$8,2,FALSE)</f>
        <v>Sunday</v>
      </c>
      <c r="M937" s="3">
        <v>39243</v>
      </c>
      <c r="N937" s="78">
        <f t="shared" si="267"/>
        <v>7</v>
      </c>
      <c r="O937" s="11">
        <v>0.81904931254900037</v>
      </c>
      <c r="P937" s="94">
        <f t="shared" si="275"/>
        <v>19</v>
      </c>
      <c r="Q937" s="94">
        <f t="shared" si="276"/>
        <v>39</v>
      </c>
      <c r="R937" s="94">
        <f t="shared" si="277"/>
        <v>26</v>
      </c>
      <c r="S937" s="94" t="str">
        <f>VLOOKUP(O937,'Lookup Values'!$I$2:$L$8,4,TRUE)</f>
        <v>Evening</v>
      </c>
      <c r="T937" t="s">
        <v>76</v>
      </c>
      <c r="U937" t="s">
        <v>77</v>
      </c>
      <c r="V937" t="str">
        <f t="shared" si="278"/>
        <v>Entertainment: Alcohol</v>
      </c>
      <c r="W937" t="s">
        <v>75</v>
      </c>
      <c r="X937" t="s">
        <v>78</v>
      </c>
      <c r="Y937" s="1">
        <v>41</v>
      </c>
      <c r="Z937" s="1" t="str">
        <f t="shared" si="279"/>
        <v>Entertainment: $41.00</v>
      </c>
      <c r="AA937" s="1">
        <f>IF(Y937="","",ROUND(Y937*'Lookup Values'!$A$2,2))</f>
        <v>3.64</v>
      </c>
      <c r="AB937" s="12" t="str">
        <f t="shared" si="280"/>
        <v>Expense</v>
      </c>
      <c r="AC937" s="2" t="s">
        <v>921</v>
      </c>
      <c r="AD937" s="3">
        <f t="shared" si="281"/>
        <v>39236</v>
      </c>
      <c r="AE937" s="93" t="str">
        <f t="shared" si="282"/>
        <v>NO</v>
      </c>
      <c r="AF937" s="2" t="str">
        <f t="shared" si="283"/>
        <v>NO</v>
      </c>
      <c r="AG937" t="str">
        <f t="shared" si="284"/>
        <v>Awesome Transaction</v>
      </c>
    </row>
    <row r="938" spans="1:33" x14ac:dyDescent="0.25">
      <c r="A938" s="2">
        <v>937</v>
      </c>
      <c r="B938" s="3" t="str">
        <f t="shared" si="266"/>
        <v>080601-IN-LEG</v>
      </c>
      <c r="C938" s="3">
        <v>39600</v>
      </c>
      <c r="D938" s="3">
        <f t="shared" si="268"/>
        <v>39612</v>
      </c>
      <c r="E938" s="3">
        <f t="shared" si="269"/>
        <v>39661</v>
      </c>
      <c r="F938" s="3">
        <f t="shared" si="270"/>
        <v>39629</v>
      </c>
      <c r="G938" s="76">
        <f t="shared" si="271"/>
        <v>2008</v>
      </c>
      <c r="H938" s="76">
        <f t="shared" si="272"/>
        <v>6</v>
      </c>
      <c r="I938" s="76" t="str">
        <f>VLOOKUP(H938,'Lookup Values'!$C$2:$D$13,2,FALSE)</f>
        <v>JUN</v>
      </c>
      <c r="J938" s="76">
        <f t="shared" si="273"/>
        <v>1</v>
      </c>
      <c r="K938" s="76">
        <f t="shared" si="274"/>
        <v>1</v>
      </c>
      <c r="L938" s="76" t="str">
        <f>VLOOKUP(K938,'Lookup Values'!$F$2:$G$8,2,FALSE)</f>
        <v>Sunday</v>
      </c>
      <c r="M938" s="3">
        <v>39605</v>
      </c>
      <c r="N938" s="78">
        <f t="shared" si="267"/>
        <v>5</v>
      </c>
      <c r="O938" s="11">
        <v>0.9131156753084082</v>
      </c>
      <c r="P938" s="94">
        <f t="shared" si="275"/>
        <v>21</v>
      </c>
      <c r="Q938" s="94">
        <f t="shared" si="276"/>
        <v>54</v>
      </c>
      <c r="R938" s="94">
        <f t="shared" si="277"/>
        <v>53</v>
      </c>
      <c r="S938" s="94" t="str">
        <f>VLOOKUP(O938,'Lookup Values'!$I$2:$L$8,4,TRUE)</f>
        <v>Late Evening</v>
      </c>
      <c r="T938" t="s">
        <v>158</v>
      </c>
      <c r="U938" t="s">
        <v>160</v>
      </c>
      <c r="V938" t="str">
        <f t="shared" si="278"/>
        <v>Income: Freelance Project</v>
      </c>
      <c r="W938" t="s">
        <v>163</v>
      </c>
      <c r="X938" t="s">
        <v>78</v>
      </c>
      <c r="Y938" s="1">
        <v>5</v>
      </c>
      <c r="Z938" s="1" t="str">
        <f t="shared" si="279"/>
        <v>Income: $5.00</v>
      </c>
      <c r="AA938" s="1">
        <f>IF(Y938="","",ROUND(Y938*'Lookup Values'!$A$2,2))</f>
        <v>0.44</v>
      </c>
      <c r="AB938" s="12" t="str">
        <f t="shared" si="280"/>
        <v>Income</v>
      </c>
      <c r="AC938" s="2" t="s">
        <v>922</v>
      </c>
      <c r="AD938" s="3">
        <f t="shared" si="281"/>
        <v>39600</v>
      </c>
      <c r="AE938" s="93" t="str">
        <f t="shared" si="282"/>
        <v>NO</v>
      </c>
      <c r="AF938" s="2" t="str">
        <f t="shared" si="283"/>
        <v>NO</v>
      </c>
      <c r="AG938" t="str">
        <f t="shared" si="284"/>
        <v>Late Transaction</v>
      </c>
    </row>
    <row r="939" spans="1:33" x14ac:dyDescent="0.25">
      <c r="A939" s="2">
        <v>938</v>
      </c>
      <c r="B939" s="3" t="str">
        <f t="shared" si="266"/>
        <v>070905-TR-MTA</v>
      </c>
      <c r="C939" s="3">
        <v>39330</v>
      </c>
      <c r="D939" s="3">
        <f t="shared" si="268"/>
        <v>39344</v>
      </c>
      <c r="E939" s="3">
        <f t="shared" si="269"/>
        <v>39391</v>
      </c>
      <c r="F939" s="3">
        <f t="shared" si="270"/>
        <v>39355</v>
      </c>
      <c r="G939" s="76">
        <f t="shared" si="271"/>
        <v>2007</v>
      </c>
      <c r="H939" s="76">
        <f t="shared" si="272"/>
        <v>9</v>
      </c>
      <c r="I939" s="76" t="str">
        <f>VLOOKUP(H939,'Lookup Values'!$C$2:$D$13,2,FALSE)</f>
        <v>SEP</v>
      </c>
      <c r="J939" s="76">
        <f t="shared" si="273"/>
        <v>5</v>
      </c>
      <c r="K939" s="76">
        <f t="shared" si="274"/>
        <v>4</v>
      </c>
      <c r="L939" s="76" t="str">
        <f>VLOOKUP(K939,'Lookup Values'!$F$2:$G$8,2,FALSE)</f>
        <v>Wednesday</v>
      </c>
      <c r="M939" s="3">
        <v>39337</v>
      </c>
      <c r="N939" s="78">
        <f t="shared" si="267"/>
        <v>7</v>
      </c>
      <c r="O939" s="11">
        <v>0.20574826307608873</v>
      </c>
      <c r="P939" s="94">
        <f t="shared" si="275"/>
        <v>4</v>
      </c>
      <c r="Q939" s="94">
        <f t="shared" si="276"/>
        <v>56</v>
      </c>
      <c r="R939" s="94">
        <f t="shared" si="277"/>
        <v>17</v>
      </c>
      <c r="S939" s="94" t="str">
        <f>VLOOKUP(O939,'Lookup Values'!$I$2:$L$8,4,TRUE)</f>
        <v>Early Morning</v>
      </c>
      <c r="T939" t="s">
        <v>95</v>
      </c>
      <c r="U939" t="s">
        <v>96</v>
      </c>
      <c r="V939" t="str">
        <f t="shared" si="278"/>
        <v>Transportation: Subway</v>
      </c>
      <c r="W939" t="s">
        <v>94</v>
      </c>
      <c r="X939" t="s">
        <v>78</v>
      </c>
      <c r="Y939" s="1">
        <v>348</v>
      </c>
      <c r="Z939" s="1" t="str">
        <f t="shared" si="279"/>
        <v>Transportation: $348.00</v>
      </c>
      <c r="AA939" s="1">
        <f>IF(Y939="","",ROUND(Y939*'Lookup Values'!$A$2,2))</f>
        <v>30.89</v>
      </c>
      <c r="AB939" s="12" t="str">
        <f t="shared" si="280"/>
        <v>Expense</v>
      </c>
      <c r="AC939" s="2" t="s">
        <v>633</v>
      </c>
      <c r="AD939" s="3">
        <f t="shared" si="281"/>
        <v>39330</v>
      </c>
      <c r="AE939" s="93" t="str">
        <f t="shared" si="282"/>
        <v>YES</v>
      </c>
      <c r="AF939" s="2" t="str">
        <f t="shared" si="283"/>
        <v>NO</v>
      </c>
      <c r="AG939" t="str">
        <f t="shared" si="284"/>
        <v>Late Transaction</v>
      </c>
    </row>
    <row r="940" spans="1:33" x14ac:dyDescent="0.25">
      <c r="A940" s="2">
        <v>939</v>
      </c>
      <c r="B940" s="3" t="str">
        <f t="shared" si="266"/>
        <v>120204-HO-BED</v>
      </c>
      <c r="C940" s="3">
        <v>40943</v>
      </c>
      <c r="D940" s="3">
        <f t="shared" si="268"/>
        <v>40956</v>
      </c>
      <c r="E940" s="3">
        <f t="shared" si="269"/>
        <v>41003</v>
      </c>
      <c r="F940" s="3">
        <f t="shared" si="270"/>
        <v>40968</v>
      </c>
      <c r="G940" s="76">
        <f t="shared" si="271"/>
        <v>2012</v>
      </c>
      <c r="H940" s="76">
        <f t="shared" si="272"/>
        <v>2</v>
      </c>
      <c r="I940" s="76" t="str">
        <f>VLOOKUP(H940,'Lookup Values'!$C$2:$D$13,2,FALSE)</f>
        <v>FEB</v>
      </c>
      <c r="J940" s="76">
        <f t="shared" si="273"/>
        <v>4</v>
      </c>
      <c r="K940" s="76">
        <f t="shared" si="274"/>
        <v>7</v>
      </c>
      <c r="L940" s="76" t="str">
        <f>VLOOKUP(K940,'Lookup Values'!$F$2:$G$8,2,FALSE)</f>
        <v>Saturday</v>
      </c>
      <c r="M940" s="3">
        <v>40953</v>
      </c>
      <c r="N940" s="78">
        <f t="shared" si="267"/>
        <v>10</v>
      </c>
      <c r="O940" s="11">
        <v>0.65039101752954442</v>
      </c>
      <c r="P940" s="94">
        <f t="shared" si="275"/>
        <v>15</v>
      </c>
      <c r="Q940" s="94">
        <f t="shared" si="276"/>
        <v>36</v>
      </c>
      <c r="R940" s="94">
        <f t="shared" si="277"/>
        <v>34</v>
      </c>
      <c r="S940" s="94" t="str">
        <f>VLOOKUP(O940,'Lookup Values'!$I$2:$L$8,4,TRUE)</f>
        <v>Afternoon</v>
      </c>
      <c r="T940" t="s">
        <v>100</v>
      </c>
      <c r="U940" t="s">
        <v>101</v>
      </c>
      <c r="V940" t="str">
        <f t="shared" si="278"/>
        <v>Home: Cleaning Supplies</v>
      </c>
      <c r="W940" t="s">
        <v>99</v>
      </c>
      <c r="X940" t="s">
        <v>88</v>
      </c>
      <c r="Y940" s="1">
        <v>498</v>
      </c>
      <c r="Z940" s="1" t="str">
        <f t="shared" si="279"/>
        <v>Home: $498.00</v>
      </c>
      <c r="AA940" s="1">
        <f>IF(Y940="","",ROUND(Y940*'Lookup Values'!$A$2,2))</f>
        <v>44.2</v>
      </c>
      <c r="AB940" s="12" t="str">
        <f t="shared" si="280"/>
        <v>Expense</v>
      </c>
      <c r="AC940" s="2" t="s">
        <v>266</v>
      </c>
      <c r="AD940" s="3">
        <f t="shared" si="281"/>
        <v>40943</v>
      </c>
      <c r="AE940" s="93" t="str">
        <f t="shared" si="282"/>
        <v>NO</v>
      </c>
      <c r="AF940" s="2" t="str">
        <f t="shared" si="283"/>
        <v>NO</v>
      </c>
      <c r="AG940" t="str">
        <f t="shared" si="284"/>
        <v>CRAP Transaction</v>
      </c>
    </row>
    <row r="941" spans="1:33" x14ac:dyDescent="0.25">
      <c r="A941" s="2">
        <v>940</v>
      </c>
      <c r="B941" s="3" t="str">
        <f t="shared" si="266"/>
        <v>100813-ED-SKI</v>
      </c>
      <c r="C941" s="3">
        <v>40403</v>
      </c>
      <c r="D941" s="3">
        <f t="shared" si="268"/>
        <v>40417</v>
      </c>
      <c r="E941" s="3">
        <f t="shared" si="269"/>
        <v>40464</v>
      </c>
      <c r="F941" s="3">
        <f t="shared" si="270"/>
        <v>40421</v>
      </c>
      <c r="G941" s="76">
        <f t="shared" si="271"/>
        <v>2010</v>
      </c>
      <c r="H941" s="76">
        <f t="shared" si="272"/>
        <v>8</v>
      </c>
      <c r="I941" s="76" t="str">
        <f>VLOOKUP(H941,'Lookup Values'!$C$2:$D$13,2,FALSE)</f>
        <v>AUG</v>
      </c>
      <c r="J941" s="76">
        <f t="shared" si="273"/>
        <v>13</v>
      </c>
      <c r="K941" s="76">
        <f t="shared" si="274"/>
        <v>6</v>
      </c>
      <c r="L941" s="76" t="str">
        <f>VLOOKUP(K941,'Lookup Values'!$F$2:$G$8,2,FALSE)</f>
        <v>Friday</v>
      </c>
      <c r="M941" s="3">
        <v>40407</v>
      </c>
      <c r="N941" s="78">
        <f t="shared" si="267"/>
        <v>4</v>
      </c>
      <c r="O941" s="11">
        <v>0.48725527455771156</v>
      </c>
      <c r="P941" s="94">
        <f t="shared" si="275"/>
        <v>11</v>
      </c>
      <c r="Q941" s="94">
        <f t="shared" si="276"/>
        <v>41</v>
      </c>
      <c r="R941" s="94">
        <f t="shared" si="277"/>
        <v>39</v>
      </c>
      <c r="S941" s="94" t="str">
        <f>VLOOKUP(O941,'Lookup Values'!$I$2:$L$8,4,TRUE)</f>
        <v>Late Morning</v>
      </c>
      <c r="T941" t="s">
        <v>86</v>
      </c>
      <c r="U941" t="s">
        <v>98</v>
      </c>
      <c r="V941" t="str">
        <f t="shared" si="278"/>
        <v>Education: Professional Development</v>
      </c>
      <c r="W941" t="s">
        <v>97</v>
      </c>
      <c r="X941" t="s">
        <v>78</v>
      </c>
      <c r="Y941" s="1">
        <v>448</v>
      </c>
      <c r="Z941" s="1" t="str">
        <f t="shared" si="279"/>
        <v>Education: $448.00</v>
      </c>
      <c r="AA941" s="1">
        <f>IF(Y941="","",ROUND(Y941*'Lookup Values'!$A$2,2))</f>
        <v>39.76</v>
      </c>
      <c r="AB941" s="12" t="str">
        <f t="shared" si="280"/>
        <v>Expense</v>
      </c>
      <c r="AC941" s="2" t="s">
        <v>441</v>
      </c>
      <c r="AD941" s="3">
        <f t="shared" si="281"/>
        <v>40403</v>
      </c>
      <c r="AE941" s="93" t="str">
        <f t="shared" si="282"/>
        <v>YES</v>
      </c>
      <c r="AF941" s="2" t="str">
        <f t="shared" si="283"/>
        <v>YES</v>
      </c>
      <c r="AG941" t="str">
        <f t="shared" si="284"/>
        <v>Late Transaction</v>
      </c>
    </row>
    <row r="942" spans="1:33" x14ac:dyDescent="0.25">
      <c r="A942" s="2">
        <v>941</v>
      </c>
      <c r="B942" s="3" t="str">
        <f t="shared" si="266"/>
        <v>111114-IN-LEG</v>
      </c>
      <c r="C942" s="3">
        <v>40861</v>
      </c>
      <c r="D942" s="3">
        <f t="shared" si="268"/>
        <v>40875</v>
      </c>
      <c r="E942" s="3">
        <f t="shared" si="269"/>
        <v>40922</v>
      </c>
      <c r="F942" s="3">
        <f t="shared" si="270"/>
        <v>40877</v>
      </c>
      <c r="G942" s="76">
        <f t="shared" si="271"/>
        <v>2011</v>
      </c>
      <c r="H942" s="76">
        <f t="shared" si="272"/>
        <v>11</v>
      </c>
      <c r="I942" s="76" t="str">
        <f>VLOOKUP(H942,'Lookup Values'!$C$2:$D$13,2,FALSE)</f>
        <v>NOV</v>
      </c>
      <c r="J942" s="76">
        <f t="shared" si="273"/>
        <v>14</v>
      </c>
      <c r="K942" s="76">
        <f t="shared" si="274"/>
        <v>2</v>
      </c>
      <c r="L942" s="76" t="str">
        <f>VLOOKUP(K942,'Lookup Values'!$F$2:$G$8,2,FALSE)</f>
        <v>Monday</v>
      </c>
      <c r="M942" s="3">
        <v>40868</v>
      </c>
      <c r="N942" s="78">
        <f t="shared" si="267"/>
        <v>7</v>
      </c>
      <c r="O942" s="11">
        <v>0.94586227124039413</v>
      </c>
      <c r="P942" s="94">
        <f t="shared" si="275"/>
        <v>22</v>
      </c>
      <c r="Q942" s="94">
        <f t="shared" si="276"/>
        <v>42</v>
      </c>
      <c r="R942" s="94">
        <f t="shared" si="277"/>
        <v>3</v>
      </c>
      <c r="S942" s="94" t="str">
        <f>VLOOKUP(O942,'Lookup Values'!$I$2:$L$8,4,TRUE)</f>
        <v>Late Evening</v>
      </c>
      <c r="T942" t="s">
        <v>158</v>
      </c>
      <c r="U942" t="s">
        <v>160</v>
      </c>
      <c r="V942" t="str">
        <f t="shared" si="278"/>
        <v>Income: Freelance Project</v>
      </c>
      <c r="W942" t="s">
        <v>163</v>
      </c>
      <c r="X942" t="s">
        <v>91</v>
      </c>
      <c r="Y942" s="1">
        <v>465</v>
      </c>
      <c r="Z942" s="1" t="str">
        <f t="shared" si="279"/>
        <v>Income: $465.00</v>
      </c>
      <c r="AA942" s="1">
        <f>IF(Y942="","",ROUND(Y942*'Lookup Values'!$A$2,2))</f>
        <v>41.27</v>
      </c>
      <c r="AB942" s="12" t="str">
        <f t="shared" si="280"/>
        <v>Income</v>
      </c>
      <c r="AC942" s="2" t="s">
        <v>923</v>
      </c>
      <c r="AD942" s="3">
        <f t="shared" si="281"/>
        <v>40861</v>
      </c>
      <c r="AE942" s="93" t="str">
        <f t="shared" si="282"/>
        <v>NO</v>
      </c>
      <c r="AF942" s="2" t="str">
        <f t="shared" si="283"/>
        <v>NO</v>
      </c>
      <c r="AG942" t="str">
        <f t="shared" si="284"/>
        <v>CRAP Transaction</v>
      </c>
    </row>
    <row r="943" spans="1:33" x14ac:dyDescent="0.25">
      <c r="A943" s="2">
        <v>942</v>
      </c>
      <c r="B943" s="3" t="str">
        <f t="shared" si="266"/>
        <v>070807-HE-FRE</v>
      </c>
      <c r="C943" s="3">
        <v>39301</v>
      </c>
      <c r="D943" s="3">
        <f t="shared" si="268"/>
        <v>39315</v>
      </c>
      <c r="E943" s="3">
        <f t="shared" si="269"/>
        <v>39362</v>
      </c>
      <c r="F943" s="3">
        <f t="shared" si="270"/>
        <v>39325</v>
      </c>
      <c r="G943" s="76">
        <f t="shared" si="271"/>
        <v>2007</v>
      </c>
      <c r="H943" s="76">
        <f t="shared" si="272"/>
        <v>8</v>
      </c>
      <c r="I943" s="76" t="str">
        <f>VLOOKUP(H943,'Lookup Values'!$C$2:$D$13,2,FALSE)</f>
        <v>AUG</v>
      </c>
      <c r="J943" s="76">
        <f t="shared" si="273"/>
        <v>7</v>
      </c>
      <c r="K943" s="76">
        <f t="shared" si="274"/>
        <v>3</v>
      </c>
      <c r="L943" s="76" t="str">
        <f>VLOOKUP(K943,'Lookup Values'!$F$2:$G$8,2,FALSE)</f>
        <v>Tuesday</v>
      </c>
      <c r="M943" s="3">
        <v>39305</v>
      </c>
      <c r="N943" s="78">
        <f t="shared" si="267"/>
        <v>4</v>
      </c>
      <c r="O943" s="11">
        <v>0.70416976116848773</v>
      </c>
      <c r="P943" s="94">
        <f t="shared" si="275"/>
        <v>16</v>
      </c>
      <c r="Q943" s="94">
        <f t="shared" si="276"/>
        <v>54</v>
      </c>
      <c r="R943" s="94">
        <f t="shared" si="277"/>
        <v>0</v>
      </c>
      <c r="S943" s="94" t="str">
        <f>VLOOKUP(O943,'Lookup Values'!$I$2:$L$8,4,TRUE)</f>
        <v>Afternoon</v>
      </c>
      <c r="T943" t="s">
        <v>107</v>
      </c>
      <c r="U943" t="s">
        <v>108</v>
      </c>
      <c r="V943" t="str">
        <f t="shared" si="278"/>
        <v>Health: Insurance Premium</v>
      </c>
      <c r="W943" t="s">
        <v>106</v>
      </c>
      <c r="X943" t="s">
        <v>88</v>
      </c>
      <c r="Y943" s="1">
        <v>296</v>
      </c>
      <c r="Z943" s="1" t="str">
        <f t="shared" si="279"/>
        <v>Health: $296.00</v>
      </c>
      <c r="AA943" s="1">
        <f>IF(Y943="","",ROUND(Y943*'Lookup Values'!$A$2,2))</f>
        <v>26.27</v>
      </c>
      <c r="AB943" s="12" t="str">
        <f t="shared" si="280"/>
        <v>Expense</v>
      </c>
      <c r="AC943" s="2" t="s">
        <v>870</v>
      </c>
      <c r="AD943" s="3">
        <f t="shared" si="281"/>
        <v>39301</v>
      </c>
      <c r="AE943" s="93" t="str">
        <f t="shared" si="282"/>
        <v>NO</v>
      </c>
      <c r="AF943" s="2" t="str">
        <f t="shared" si="283"/>
        <v>NO</v>
      </c>
      <c r="AG943" t="str">
        <f t="shared" si="284"/>
        <v>Late Transaction</v>
      </c>
    </row>
    <row r="944" spans="1:33" x14ac:dyDescent="0.25">
      <c r="A944" s="2">
        <v>943</v>
      </c>
      <c r="B944" s="3" t="str">
        <f t="shared" si="266"/>
        <v>120910-TR-MTA</v>
      </c>
      <c r="C944" s="3">
        <v>41162</v>
      </c>
      <c r="D944" s="3">
        <f t="shared" si="268"/>
        <v>41176</v>
      </c>
      <c r="E944" s="3">
        <f t="shared" si="269"/>
        <v>41223</v>
      </c>
      <c r="F944" s="3">
        <f t="shared" si="270"/>
        <v>41182</v>
      </c>
      <c r="G944" s="76">
        <f t="shared" si="271"/>
        <v>2012</v>
      </c>
      <c r="H944" s="76">
        <f t="shared" si="272"/>
        <v>9</v>
      </c>
      <c r="I944" s="76" t="str">
        <f>VLOOKUP(H944,'Lookup Values'!$C$2:$D$13,2,FALSE)</f>
        <v>SEP</v>
      </c>
      <c r="J944" s="76">
        <f t="shared" si="273"/>
        <v>10</v>
      </c>
      <c r="K944" s="76">
        <f t="shared" si="274"/>
        <v>2</v>
      </c>
      <c r="L944" s="76" t="str">
        <f>VLOOKUP(K944,'Lookup Values'!$F$2:$G$8,2,FALSE)</f>
        <v>Monday</v>
      </c>
      <c r="M944" s="3">
        <v>41169</v>
      </c>
      <c r="N944" s="78">
        <f t="shared" si="267"/>
        <v>7</v>
      </c>
      <c r="O944" s="11">
        <v>0.23031149918395333</v>
      </c>
      <c r="P944" s="94">
        <f t="shared" si="275"/>
        <v>5</v>
      </c>
      <c r="Q944" s="94">
        <f t="shared" si="276"/>
        <v>31</v>
      </c>
      <c r="R944" s="94">
        <f t="shared" si="277"/>
        <v>39</v>
      </c>
      <c r="S944" s="94" t="str">
        <f>VLOOKUP(O944,'Lookup Values'!$I$2:$L$8,4,TRUE)</f>
        <v>Early Morning</v>
      </c>
      <c r="T944" t="s">
        <v>95</v>
      </c>
      <c r="U944" t="s">
        <v>96</v>
      </c>
      <c r="V944" t="str">
        <f t="shared" si="278"/>
        <v>Transportation: Subway</v>
      </c>
      <c r="W944" t="s">
        <v>94</v>
      </c>
      <c r="X944" t="s">
        <v>88</v>
      </c>
      <c r="Y944" s="1">
        <v>207</v>
      </c>
      <c r="Z944" s="1" t="str">
        <f t="shared" si="279"/>
        <v>Transportation: $207.00</v>
      </c>
      <c r="AA944" s="1">
        <f>IF(Y944="","",ROUND(Y944*'Lookup Values'!$A$2,2))</f>
        <v>18.37</v>
      </c>
      <c r="AB944" s="12" t="str">
        <f t="shared" si="280"/>
        <v>Expense</v>
      </c>
      <c r="AC944" s="2" t="s">
        <v>924</v>
      </c>
      <c r="AD944" s="3">
        <f t="shared" si="281"/>
        <v>41162</v>
      </c>
      <c r="AE944" s="93" t="str">
        <f t="shared" si="282"/>
        <v>YES</v>
      </c>
      <c r="AF944" s="2" t="str">
        <f t="shared" si="283"/>
        <v>NO</v>
      </c>
      <c r="AG944" t="str">
        <f t="shared" si="284"/>
        <v>CRAP Transaction</v>
      </c>
    </row>
    <row r="945" spans="1:33" x14ac:dyDescent="0.25">
      <c r="A945" s="2">
        <v>944</v>
      </c>
      <c r="B945" s="3" t="str">
        <f t="shared" si="266"/>
        <v>080617-FO-CIT</v>
      </c>
      <c r="C945" s="3">
        <v>39616</v>
      </c>
      <c r="D945" s="3">
        <f t="shared" si="268"/>
        <v>39630</v>
      </c>
      <c r="E945" s="3">
        <f t="shared" si="269"/>
        <v>39677</v>
      </c>
      <c r="F945" s="3">
        <f t="shared" si="270"/>
        <v>39629</v>
      </c>
      <c r="G945" s="76">
        <f t="shared" si="271"/>
        <v>2008</v>
      </c>
      <c r="H945" s="76">
        <f t="shared" si="272"/>
        <v>6</v>
      </c>
      <c r="I945" s="76" t="str">
        <f>VLOOKUP(H945,'Lookup Values'!$C$2:$D$13,2,FALSE)</f>
        <v>JUN</v>
      </c>
      <c r="J945" s="76">
        <f t="shared" si="273"/>
        <v>17</v>
      </c>
      <c r="K945" s="76">
        <f t="shared" si="274"/>
        <v>3</v>
      </c>
      <c r="L945" s="76" t="str">
        <f>VLOOKUP(K945,'Lookup Values'!$F$2:$G$8,2,FALSE)</f>
        <v>Tuesday</v>
      </c>
      <c r="M945" s="3">
        <v>39621</v>
      </c>
      <c r="N945" s="78">
        <f t="shared" si="267"/>
        <v>5</v>
      </c>
      <c r="O945" s="11">
        <v>0.70686633001543631</v>
      </c>
      <c r="P945" s="94">
        <f t="shared" si="275"/>
        <v>16</v>
      </c>
      <c r="Q945" s="94">
        <f t="shared" si="276"/>
        <v>57</v>
      </c>
      <c r="R945" s="94">
        <f t="shared" si="277"/>
        <v>53</v>
      </c>
      <c r="S945" s="94" t="str">
        <f>VLOOKUP(O945,'Lookup Values'!$I$2:$L$8,4,TRUE)</f>
        <v>Afternoon</v>
      </c>
      <c r="T945" t="s">
        <v>80</v>
      </c>
      <c r="U945" t="s">
        <v>105</v>
      </c>
      <c r="V945" t="str">
        <f t="shared" si="278"/>
        <v>Food: Coffee</v>
      </c>
      <c r="W945" t="s">
        <v>104</v>
      </c>
      <c r="X945" t="s">
        <v>88</v>
      </c>
      <c r="Y945" s="1">
        <v>212</v>
      </c>
      <c r="Z945" s="1" t="str">
        <f t="shared" si="279"/>
        <v>Food: $212.00</v>
      </c>
      <c r="AA945" s="1">
        <f>IF(Y945="","",ROUND(Y945*'Lookup Values'!$A$2,2))</f>
        <v>18.82</v>
      </c>
      <c r="AB945" s="12" t="str">
        <f t="shared" si="280"/>
        <v>Expense</v>
      </c>
      <c r="AC945" s="2" t="s">
        <v>189</v>
      </c>
      <c r="AD945" s="3">
        <f t="shared" si="281"/>
        <v>39616</v>
      </c>
      <c r="AE945" s="93" t="str">
        <f t="shared" si="282"/>
        <v>NO</v>
      </c>
      <c r="AF945" s="2" t="str">
        <f t="shared" si="283"/>
        <v>NO</v>
      </c>
      <c r="AG945" t="str">
        <f t="shared" si="284"/>
        <v>Awesome Transaction</v>
      </c>
    </row>
    <row r="946" spans="1:33" x14ac:dyDescent="0.25">
      <c r="A946" s="2">
        <v>945</v>
      </c>
      <c r="B946" s="3" t="str">
        <f t="shared" si="266"/>
        <v>110322-SH-EXP</v>
      </c>
      <c r="C946" s="3">
        <v>40624</v>
      </c>
      <c r="D946" s="3">
        <f t="shared" si="268"/>
        <v>40638</v>
      </c>
      <c r="E946" s="3">
        <f t="shared" si="269"/>
        <v>40685</v>
      </c>
      <c r="F946" s="3">
        <f t="shared" si="270"/>
        <v>40633</v>
      </c>
      <c r="G946" s="76">
        <f t="shared" si="271"/>
        <v>2011</v>
      </c>
      <c r="H946" s="76">
        <f t="shared" si="272"/>
        <v>3</v>
      </c>
      <c r="I946" s="76" t="str">
        <f>VLOOKUP(H946,'Lookup Values'!$C$2:$D$13,2,FALSE)</f>
        <v>MAR</v>
      </c>
      <c r="J946" s="76">
        <f t="shared" si="273"/>
        <v>22</v>
      </c>
      <c r="K946" s="76">
        <f t="shared" si="274"/>
        <v>3</v>
      </c>
      <c r="L946" s="76" t="str">
        <f>VLOOKUP(K946,'Lookup Values'!$F$2:$G$8,2,FALSE)</f>
        <v>Tuesday</v>
      </c>
      <c r="M946" s="3">
        <v>40627</v>
      </c>
      <c r="N946" s="78">
        <f t="shared" si="267"/>
        <v>3</v>
      </c>
      <c r="O946" s="11">
        <v>0.5862434818965</v>
      </c>
      <c r="P946" s="94">
        <f t="shared" si="275"/>
        <v>14</v>
      </c>
      <c r="Q946" s="94">
        <f t="shared" si="276"/>
        <v>4</v>
      </c>
      <c r="R946" s="94">
        <f t="shared" si="277"/>
        <v>11</v>
      </c>
      <c r="S946" s="94" t="str">
        <f>VLOOKUP(O946,'Lookup Values'!$I$2:$L$8,4,TRUE)</f>
        <v>Afternoon</v>
      </c>
      <c r="T946" t="s">
        <v>83</v>
      </c>
      <c r="U946" t="s">
        <v>103</v>
      </c>
      <c r="V946" t="str">
        <f t="shared" si="278"/>
        <v>Shopping: Clothing</v>
      </c>
      <c r="W946" t="s">
        <v>102</v>
      </c>
      <c r="X946" t="s">
        <v>78</v>
      </c>
      <c r="Y946" s="1">
        <v>339</v>
      </c>
      <c r="Z946" s="1" t="str">
        <f t="shared" si="279"/>
        <v>Shopping: $339.00</v>
      </c>
      <c r="AA946" s="1">
        <f>IF(Y946="","",ROUND(Y946*'Lookup Values'!$A$2,2))</f>
        <v>30.09</v>
      </c>
      <c r="AB946" s="12" t="str">
        <f t="shared" si="280"/>
        <v>Expense</v>
      </c>
      <c r="AC946" s="2" t="s">
        <v>925</v>
      </c>
      <c r="AD946" s="3">
        <f t="shared" si="281"/>
        <v>40624</v>
      </c>
      <c r="AE946" s="93" t="str">
        <f t="shared" si="282"/>
        <v>NO</v>
      </c>
      <c r="AF946" s="2" t="str">
        <f t="shared" si="283"/>
        <v>NO</v>
      </c>
      <c r="AG946" t="str">
        <f t="shared" si="284"/>
        <v>CRAP Transaction</v>
      </c>
    </row>
    <row r="947" spans="1:33" x14ac:dyDescent="0.25">
      <c r="A947" s="2">
        <v>946</v>
      </c>
      <c r="B947" s="3" t="str">
        <f t="shared" si="266"/>
        <v>090507-FO-TRA</v>
      </c>
      <c r="C947" s="3">
        <v>39940</v>
      </c>
      <c r="D947" s="3">
        <f t="shared" si="268"/>
        <v>39954</v>
      </c>
      <c r="E947" s="3">
        <f t="shared" si="269"/>
        <v>40001</v>
      </c>
      <c r="F947" s="3">
        <f t="shared" si="270"/>
        <v>39964</v>
      </c>
      <c r="G947" s="76">
        <f t="shared" si="271"/>
        <v>2009</v>
      </c>
      <c r="H947" s="76">
        <f t="shared" si="272"/>
        <v>5</v>
      </c>
      <c r="I947" s="76" t="str">
        <f>VLOOKUP(H947,'Lookup Values'!$C$2:$D$13,2,FALSE)</f>
        <v>MAY</v>
      </c>
      <c r="J947" s="76">
        <f t="shared" si="273"/>
        <v>7</v>
      </c>
      <c r="K947" s="76">
        <f t="shared" si="274"/>
        <v>5</v>
      </c>
      <c r="L947" s="76" t="str">
        <f>VLOOKUP(K947,'Lookup Values'!$F$2:$G$8,2,FALSE)</f>
        <v>Thursday</v>
      </c>
      <c r="M947" s="3">
        <v>39947</v>
      </c>
      <c r="N947" s="78">
        <f t="shared" si="267"/>
        <v>7</v>
      </c>
      <c r="O947" s="11">
        <v>0.95738575354661892</v>
      </c>
      <c r="P947" s="94">
        <f t="shared" si="275"/>
        <v>22</v>
      </c>
      <c r="Q947" s="94">
        <f t="shared" si="276"/>
        <v>58</v>
      </c>
      <c r="R947" s="94">
        <f t="shared" si="277"/>
        <v>38</v>
      </c>
      <c r="S947" s="94" t="str">
        <f>VLOOKUP(O947,'Lookup Values'!$I$2:$L$8,4,TRUE)</f>
        <v>Late Evening</v>
      </c>
      <c r="T947" t="s">
        <v>80</v>
      </c>
      <c r="U947" t="s">
        <v>93</v>
      </c>
      <c r="V947" t="str">
        <f t="shared" si="278"/>
        <v>Food: Groceries</v>
      </c>
      <c r="W947" t="s">
        <v>92</v>
      </c>
      <c r="X947" t="s">
        <v>91</v>
      </c>
      <c r="Y947" s="1">
        <v>184</v>
      </c>
      <c r="Z947" s="1" t="str">
        <f t="shared" si="279"/>
        <v>Food: $184.00</v>
      </c>
      <c r="AA947" s="1">
        <f>IF(Y947="","",ROUND(Y947*'Lookup Values'!$A$2,2))</f>
        <v>16.329999999999998</v>
      </c>
      <c r="AB947" s="12" t="str">
        <f t="shared" si="280"/>
        <v>Expense</v>
      </c>
      <c r="AC947" s="2" t="s">
        <v>926</v>
      </c>
      <c r="AD947" s="3">
        <f t="shared" si="281"/>
        <v>39940</v>
      </c>
      <c r="AE947" s="93" t="str">
        <f t="shared" si="282"/>
        <v>NO</v>
      </c>
      <c r="AF947" s="2" t="str">
        <f t="shared" si="283"/>
        <v>NO</v>
      </c>
      <c r="AG947" t="str">
        <f t="shared" si="284"/>
        <v>Awesome Transaction</v>
      </c>
    </row>
    <row r="948" spans="1:33" x14ac:dyDescent="0.25">
      <c r="A948" s="2">
        <v>947</v>
      </c>
      <c r="B948" s="3" t="str">
        <f t="shared" si="266"/>
        <v>120103-ED-ANT</v>
      </c>
      <c r="C948" s="3">
        <v>40911</v>
      </c>
      <c r="D948" s="3">
        <f t="shared" si="268"/>
        <v>40925</v>
      </c>
      <c r="E948" s="3">
        <f t="shared" si="269"/>
        <v>40971</v>
      </c>
      <c r="F948" s="3">
        <f t="shared" si="270"/>
        <v>40939</v>
      </c>
      <c r="G948" s="76">
        <f t="shared" si="271"/>
        <v>2012</v>
      </c>
      <c r="H948" s="76">
        <f t="shared" si="272"/>
        <v>1</v>
      </c>
      <c r="I948" s="76" t="str">
        <f>VLOOKUP(H948,'Lookup Values'!$C$2:$D$13,2,FALSE)</f>
        <v>JAN</v>
      </c>
      <c r="J948" s="76">
        <f t="shared" si="273"/>
        <v>3</v>
      </c>
      <c r="K948" s="76">
        <f t="shared" si="274"/>
        <v>3</v>
      </c>
      <c r="L948" s="76" t="str">
        <f>VLOOKUP(K948,'Lookup Values'!$F$2:$G$8,2,FALSE)</f>
        <v>Tuesday</v>
      </c>
      <c r="M948" s="3">
        <v>40914</v>
      </c>
      <c r="N948" s="78">
        <f t="shared" si="267"/>
        <v>3</v>
      </c>
      <c r="O948" s="11">
        <v>0.70167225340325834</v>
      </c>
      <c r="P948" s="94">
        <f t="shared" si="275"/>
        <v>16</v>
      </c>
      <c r="Q948" s="94">
        <f t="shared" si="276"/>
        <v>50</v>
      </c>
      <c r="R948" s="94">
        <f t="shared" si="277"/>
        <v>24</v>
      </c>
      <c r="S948" s="94" t="str">
        <f>VLOOKUP(O948,'Lookup Values'!$I$2:$L$8,4,TRUE)</f>
        <v>Afternoon</v>
      </c>
      <c r="T948" t="s">
        <v>86</v>
      </c>
      <c r="U948" t="s">
        <v>87</v>
      </c>
      <c r="V948" t="str">
        <f t="shared" si="278"/>
        <v>Education: Tango Lessons</v>
      </c>
      <c r="W948" t="s">
        <v>85</v>
      </c>
      <c r="X948" t="s">
        <v>91</v>
      </c>
      <c r="Y948" s="1">
        <v>219</v>
      </c>
      <c r="Z948" s="1" t="str">
        <f t="shared" si="279"/>
        <v>Education: $219.00</v>
      </c>
      <c r="AA948" s="1">
        <f>IF(Y948="","",ROUND(Y948*'Lookup Values'!$A$2,2))</f>
        <v>19.440000000000001</v>
      </c>
      <c r="AB948" s="12" t="str">
        <f t="shared" si="280"/>
        <v>Expense</v>
      </c>
      <c r="AC948" s="2" t="s">
        <v>927</v>
      </c>
      <c r="AD948" s="3">
        <f t="shared" si="281"/>
        <v>40911</v>
      </c>
      <c r="AE948" s="93" t="str">
        <f t="shared" si="282"/>
        <v>NO</v>
      </c>
      <c r="AF948" s="2" t="str">
        <f t="shared" si="283"/>
        <v>NO</v>
      </c>
      <c r="AG948" t="str">
        <f t="shared" si="284"/>
        <v>CRAP Transaction</v>
      </c>
    </row>
    <row r="949" spans="1:33" x14ac:dyDescent="0.25">
      <c r="A949" s="2">
        <v>948</v>
      </c>
      <c r="B949" s="3" t="str">
        <f t="shared" si="266"/>
        <v>090917-BI-CON</v>
      </c>
      <c r="C949" s="3">
        <v>40073</v>
      </c>
      <c r="D949" s="3">
        <f t="shared" si="268"/>
        <v>40087</v>
      </c>
      <c r="E949" s="3">
        <f t="shared" si="269"/>
        <v>40134</v>
      </c>
      <c r="F949" s="3">
        <f t="shared" si="270"/>
        <v>40086</v>
      </c>
      <c r="G949" s="76">
        <f t="shared" si="271"/>
        <v>2009</v>
      </c>
      <c r="H949" s="76">
        <f t="shared" si="272"/>
        <v>9</v>
      </c>
      <c r="I949" s="76" t="str">
        <f>VLOOKUP(H949,'Lookup Values'!$C$2:$D$13,2,FALSE)</f>
        <v>SEP</v>
      </c>
      <c r="J949" s="76">
        <f t="shared" si="273"/>
        <v>17</v>
      </c>
      <c r="K949" s="76">
        <f t="shared" si="274"/>
        <v>5</v>
      </c>
      <c r="L949" s="76" t="str">
        <f>VLOOKUP(K949,'Lookup Values'!$F$2:$G$8,2,FALSE)</f>
        <v>Thursday</v>
      </c>
      <c r="M949" s="3">
        <v>40076</v>
      </c>
      <c r="N949" s="78">
        <f t="shared" si="267"/>
        <v>3</v>
      </c>
      <c r="O949" s="11">
        <v>0.91785567134005985</v>
      </c>
      <c r="P949" s="94">
        <f t="shared" si="275"/>
        <v>22</v>
      </c>
      <c r="Q949" s="94">
        <f t="shared" si="276"/>
        <v>1</v>
      </c>
      <c r="R949" s="94">
        <f t="shared" si="277"/>
        <v>43</v>
      </c>
      <c r="S949" s="94" t="str">
        <f>VLOOKUP(O949,'Lookup Values'!$I$2:$L$8,4,TRUE)</f>
        <v>Late Evening</v>
      </c>
      <c r="T949" t="s">
        <v>110</v>
      </c>
      <c r="U949" t="s">
        <v>111</v>
      </c>
      <c r="V949" t="str">
        <f t="shared" si="278"/>
        <v>Bills: Utilities</v>
      </c>
      <c r="W949" t="s">
        <v>109</v>
      </c>
      <c r="X949" t="s">
        <v>78</v>
      </c>
      <c r="Y949" s="1">
        <v>170</v>
      </c>
      <c r="Z949" s="1" t="str">
        <f t="shared" si="279"/>
        <v>Bills: $170.00</v>
      </c>
      <c r="AA949" s="1">
        <f>IF(Y949="","",ROUND(Y949*'Lookup Values'!$A$2,2))</f>
        <v>15.09</v>
      </c>
      <c r="AB949" s="12" t="str">
        <f t="shared" si="280"/>
        <v>Expense</v>
      </c>
      <c r="AC949" s="2" t="s">
        <v>534</v>
      </c>
      <c r="AD949" s="3">
        <f t="shared" si="281"/>
        <v>40073</v>
      </c>
      <c r="AE949" s="93" t="str">
        <f t="shared" si="282"/>
        <v>NO</v>
      </c>
      <c r="AF949" s="2" t="str">
        <f t="shared" si="283"/>
        <v>NO</v>
      </c>
      <c r="AG949" t="str">
        <f t="shared" si="284"/>
        <v>Late Transaction</v>
      </c>
    </row>
    <row r="950" spans="1:33" x14ac:dyDescent="0.25">
      <c r="A950" s="2">
        <v>949</v>
      </c>
      <c r="B950" s="3" t="str">
        <f t="shared" si="266"/>
        <v>080419-SH-EXP</v>
      </c>
      <c r="C950" s="3">
        <v>39557</v>
      </c>
      <c r="D950" s="3">
        <f t="shared" si="268"/>
        <v>39570</v>
      </c>
      <c r="E950" s="3">
        <f t="shared" si="269"/>
        <v>39618</v>
      </c>
      <c r="F950" s="3">
        <f t="shared" si="270"/>
        <v>39568</v>
      </c>
      <c r="G950" s="76">
        <f t="shared" si="271"/>
        <v>2008</v>
      </c>
      <c r="H950" s="76">
        <f t="shared" si="272"/>
        <v>4</v>
      </c>
      <c r="I950" s="76" t="str">
        <f>VLOOKUP(H950,'Lookup Values'!$C$2:$D$13,2,FALSE)</f>
        <v>APR</v>
      </c>
      <c r="J950" s="76">
        <f t="shared" si="273"/>
        <v>19</v>
      </c>
      <c r="K950" s="76">
        <f t="shared" si="274"/>
        <v>7</v>
      </c>
      <c r="L950" s="76" t="str">
        <f>VLOOKUP(K950,'Lookup Values'!$F$2:$G$8,2,FALSE)</f>
        <v>Saturday</v>
      </c>
      <c r="M950" s="3">
        <v>39565</v>
      </c>
      <c r="N950" s="78">
        <f t="shared" si="267"/>
        <v>8</v>
      </c>
      <c r="O950" s="11">
        <v>0.59768147006113759</v>
      </c>
      <c r="P950" s="94">
        <f t="shared" si="275"/>
        <v>14</v>
      </c>
      <c r="Q950" s="94">
        <f t="shared" si="276"/>
        <v>20</v>
      </c>
      <c r="R950" s="94">
        <f t="shared" si="277"/>
        <v>40</v>
      </c>
      <c r="S950" s="94" t="str">
        <f>VLOOKUP(O950,'Lookup Values'!$I$2:$L$8,4,TRUE)</f>
        <v>Afternoon</v>
      </c>
      <c r="T950" t="s">
        <v>83</v>
      </c>
      <c r="U950" t="s">
        <v>103</v>
      </c>
      <c r="V950" t="str">
        <f t="shared" si="278"/>
        <v>Shopping: Clothing</v>
      </c>
      <c r="W950" t="s">
        <v>102</v>
      </c>
      <c r="X950" t="s">
        <v>91</v>
      </c>
      <c r="Y950" s="1">
        <v>161</v>
      </c>
      <c r="Z950" s="1" t="str">
        <f t="shared" si="279"/>
        <v>Shopping: $161.00</v>
      </c>
      <c r="AA950" s="1">
        <f>IF(Y950="","",ROUND(Y950*'Lookup Values'!$A$2,2))</f>
        <v>14.29</v>
      </c>
      <c r="AB950" s="12" t="str">
        <f t="shared" si="280"/>
        <v>Expense</v>
      </c>
      <c r="AC950" s="2" t="s">
        <v>372</v>
      </c>
      <c r="AD950" s="3">
        <f t="shared" si="281"/>
        <v>39557</v>
      </c>
      <c r="AE950" s="93" t="str">
        <f t="shared" si="282"/>
        <v>NO</v>
      </c>
      <c r="AF950" s="2" t="str">
        <f t="shared" si="283"/>
        <v>NO</v>
      </c>
      <c r="AG950" t="str">
        <f t="shared" si="284"/>
        <v>Awesome Transaction</v>
      </c>
    </row>
    <row r="951" spans="1:33" x14ac:dyDescent="0.25">
      <c r="A951" s="2">
        <v>950</v>
      </c>
      <c r="B951" s="3" t="str">
        <f t="shared" si="266"/>
        <v>100515-IN-AUN</v>
      </c>
      <c r="C951" s="3">
        <v>40313</v>
      </c>
      <c r="D951" s="3">
        <f t="shared" si="268"/>
        <v>40326</v>
      </c>
      <c r="E951" s="3">
        <f t="shared" si="269"/>
        <v>40374</v>
      </c>
      <c r="F951" s="3">
        <f t="shared" si="270"/>
        <v>40329</v>
      </c>
      <c r="G951" s="76">
        <f t="shared" si="271"/>
        <v>2010</v>
      </c>
      <c r="H951" s="76">
        <f t="shared" si="272"/>
        <v>5</v>
      </c>
      <c r="I951" s="76" t="str">
        <f>VLOOKUP(H951,'Lookup Values'!$C$2:$D$13,2,FALSE)</f>
        <v>MAY</v>
      </c>
      <c r="J951" s="76">
        <f t="shared" si="273"/>
        <v>15</v>
      </c>
      <c r="K951" s="76">
        <f t="shared" si="274"/>
        <v>7</v>
      </c>
      <c r="L951" s="76" t="str">
        <f>VLOOKUP(K951,'Lookup Values'!$F$2:$G$8,2,FALSE)</f>
        <v>Saturday</v>
      </c>
      <c r="M951" s="3">
        <v>40315</v>
      </c>
      <c r="N951" s="78">
        <f t="shared" si="267"/>
        <v>2</v>
      </c>
      <c r="O951" s="11">
        <v>2.6189882753541949E-2</v>
      </c>
      <c r="P951" s="94">
        <f t="shared" si="275"/>
        <v>0</v>
      </c>
      <c r="Q951" s="94">
        <f t="shared" si="276"/>
        <v>37</v>
      </c>
      <c r="R951" s="94">
        <f t="shared" si="277"/>
        <v>43</v>
      </c>
      <c r="S951" s="94" t="str">
        <f>VLOOKUP(O951,'Lookup Values'!$I$2:$L$8,4,TRUE)</f>
        <v>Dead of Night</v>
      </c>
      <c r="T951" t="s">
        <v>158</v>
      </c>
      <c r="U951" t="s">
        <v>161</v>
      </c>
      <c r="V951" t="str">
        <f t="shared" si="278"/>
        <v>Income: Gift Received</v>
      </c>
      <c r="W951" t="s">
        <v>164</v>
      </c>
      <c r="X951" t="s">
        <v>88</v>
      </c>
      <c r="Y951" s="1">
        <v>106</v>
      </c>
      <c r="Z951" s="1" t="str">
        <f t="shared" si="279"/>
        <v>Income: $106.00</v>
      </c>
      <c r="AA951" s="1">
        <f>IF(Y951="","",ROUND(Y951*'Lookup Values'!$A$2,2))</f>
        <v>9.41</v>
      </c>
      <c r="AB951" s="12" t="str">
        <f t="shared" si="280"/>
        <v>Income</v>
      </c>
      <c r="AC951" s="2" t="s">
        <v>928</v>
      </c>
      <c r="AD951" s="3">
        <f t="shared" si="281"/>
        <v>40313</v>
      </c>
      <c r="AE951" s="93" t="str">
        <f t="shared" si="282"/>
        <v>NO</v>
      </c>
      <c r="AF951" s="2" t="str">
        <f t="shared" si="283"/>
        <v>NO</v>
      </c>
      <c r="AG951" t="str">
        <f t="shared" si="284"/>
        <v>Late Transaction</v>
      </c>
    </row>
    <row r="952" spans="1:33" x14ac:dyDescent="0.25">
      <c r="A952" s="2">
        <v>951</v>
      </c>
      <c r="B952" s="3" t="str">
        <f t="shared" si="266"/>
        <v>070209-FO-TRA</v>
      </c>
      <c r="C952" s="3">
        <v>39122</v>
      </c>
      <c r="D952" s="3">
        <f t="shared" si="268"/>
        <v>39136</v>
      </c>
      <c r="E952" s="3">
        <f t="shared" si="269"/>
        <v>39181</v>
      </c>
      <c r="F952" s="3">
        <f t="shared" si="270"/>
        <v>39141</v>
      </c>
      <c r="G952" s="76">
        <f t="shared" si="271"/>
        <v>2007</v>
      </c>
      <c r="H952" s="76">
        <f t="shared" si="272"/>
        <v>2</v>
      </c>
      <c r="I952" s="76" t="str">
        <f>VLOOKUP(H952,'Lookup Values'!$C$2:$D$13,2,FALSE)</f>
        <v>FEB</v>
      </c>
      <c r="J952" s="76">
        <f t="shared" si="273"/>
        <v>9</v>
      </c>
      <c r="K952" s="76">
        <f t="shared" si="274"/>
        <v>6</v>
      </c>
      <c r="L952" s="76" t="str">
        <f>VLOOKUP(K952,'Lookup Values'!$F$2:$G$8,2,FALSE)</f>
        <v>Friday</v>
      </c>
      <c r="M952" s="3">
        <v>39131</v>
      </c>
      <c r="N952" s="78">
        <f t="shared" si="267"/>
        <v>9</v>
      </c>
      <c r="O952" s="11">
        <v>0.24854052610983168</v>
      </c>
      <c r="P952" s="94">
        <f t="shared" si="275"/>
        <v>5</v>
      </c>
      <c r="Q952" s="94">
        <f t="shared" si="276"/>
        <v>57</v>
      </c>
      <c r="R952" s="94">
        <f t="shared" si="277"/>
        <v>54</v>
      </c>
      <c r="S952" s="94" t="str">
        <f>VLOOKUP(O952,'Lookup Values'!$I$2:$L$8,4,TRUE)</f>
        <v>Early Morning</v>
      </c>
      <c r="T952" t="s">
        <v>80</v>
      </c>
      <c r="U952" t="s">
        <v>93</v>
      </c>
      <c r="V952" t="str">
        <f t="shared" si="278"/>
        <v>Food: Groceries</v>
      </c>
      <c r="W952" t="s">
        <v>92</v>
      </c>
      <c r="X952" t="s">
        <v>91</v>
      </c>
      <c r="Y952" s="1">
        <v>52</v>
      </c>
      <c r="Z952" s="1" t="str">
        <f t="shared" si="279"/>
        <v>Food: $52.00</v>
      </c>
      <c r="AA952" s="1">
        <f>IF(Y952="","",ROUND(Y952*'Lookup Values'!$A$2,2))</f>
        <v>4.62</v>
      </c>
      <c r="AB952" s="12" t="str">
        <f t="shared" si="280"/>
        <v>Expense</v>
      </c>
      <c r="AC952" s="2" t="s">
        <v>866</v>
      </c>
      <c r="AD952" s="3">
        <f t="shared" si="281"/>
        <v>39122</v>
      </c>
      <c r="AE952" s="93" t="str">
        <f t="shared" si="282"/>
        <v>NO</v>
      </c>
      <c r="AF952" s="2" t="str">
        <f t="shared" si="283"/>
        <v>NO</v>
      </c>
      <c r="AG952" t="str">
        <f t="shared" si="284"/>
        <v>Awesome Transaction</v>
      </c>
    </row>
    <row r="953" spans="1:33" x14ac:dyDescent="0.25">
      <c r="A953" s="2">
        <v>952</v>
      </c>
      <c r="B953" s="3" t="str">
        <f t="shared" si="266"/>
        <v>071126-IN-AUN</v>
      </c>
      <c r="C953" s="3">
        <v>39412</v>
      </c>
      <c r="D953" s="3">
        <f t="shared" si="268"/>
        <v>39426</v>
      </c>
      <c r="E953" s="3">
        <f t="shared" si="269"/>
        <v>39473</v>
      </c>
      <c r="F953" s="3">
        <f t="shared" si="270"/>
        <v>39416</v>
      </c>
      <c r="G953" s="76">
        <f t="shared" si="271"/>
        <v>2007</v>
      </c>
      <c r="H953" s="76">
        <f t="shared" si="272"/>
        <v>11</v>
      </c>
      <c r="I953" s="76" t="str">
        <f>VLOOKUP(H953,'Lookup Values'!$C$2:$D$13,2,FALSE)</f>
        <v>NOV</v>
      </c>
      <c r="J953" s="76">
        <f t="shared" si="273"/>
        <v>26</v>
      </c>
      <c r="K953" s="76">
        <f t="shared" si="274"/>
        <v>2</v>
      </c>
      <c r="L953" s="76" t="str">
        <f>VLOOKUP(K953,'Lookup Values'!$F$2:$G$8,2,FALSE)</f>
        <v>Monday</v>
      </c>
      <c r="M953" s="3">
        <v>39416</v>
      </c>
      <c r="N953" s="78">
        <f t="shared" si="267"/>
        <v>4</v>
      </c>
      <c r="O953" s="11">
        <v>0.73483187812439776</v>
      </c>
      <c r="P953" s="94">
        <f t="shared" si="275"/>
        <v>17</v>
      </c>
      <c r="Q953" s="94">
        <f t="shared" si="276"/>
        <v>38</v>
      </c>
      <c r="R953" s="94">
        <f t="shared" si="277"/>
        <v>9</v>
      </c>
      <c r="S953" s="94" t="str">
        <f>VLOOKUP(O953,'Lookup Values'!$I$2:$L$8,4,TRUE)</f>
        <v>Evening</v>
      </c>
      <c r="T953" t="s">
        <v>158</v>
      </c>
      <c r="U953" t="s">
        <v>161</v>
      </c>
      <c r="V953" t="str">
        <f t="shared" si="278"/>
        <v>Income: Gift Received</v>
      </c>
      <c r="W953" t="s">
        <v>164</v>
      </c>
      <c r="X953" t="s">
        <v>78</v>
      </c>
      <c r="Y953" s="1">
        <v>226</v>
      </c>
      <c r="Z953" s="1" t="str">
        <f t="shared" si="279"/>
        <v>Income: $226.00</v>
      </c>
      <c r="AA953" s="1">
        <f>IF(Y953="","",ROUND(Y953*'Lookup Values'!$A$2,2))</f>
        <v>20.059999999999999</v>
      </c>
      <c r="AB953" s="12" t="str">
        <f t="shared" si="280"/>
        <v>Income</v>
      </c>
      <c r="AC953" s="2" t="s">
        <v>672</v>
      </c>
      <c r="AD953" s="3">
        <f t="shared" si="281"/>
        <v>39412</v>
      </c>
      <c r="AE953" s="93" t="str">
        <f t="shared" si="282"/>
        <v>NO</v>
      </c>
      <c r="AF953" s="2" t="str">
        <f t="shared" si="283"/>
        <v>NO</v>
      </c>
      <c r="AG953" t="str">
        <f t="shared" si="284"/>
        <v>Late Transaction</v>
      </c>
    </row>
    <row r="954" spans="1:33" x14ac:dyDescent="0.25">
      <c r="A954" s="2">
        <v>953</v>
      </c>
      <c r="B954" s="3" t="str">
        <f t="shared" si="266"/>
        <v>080105-EN-MOE</v>
      </c>
      <c r="C954" s="3">
        <v>39452</v>
      </c>
      <c r="D954" s="3">
        <f t="shared" si="268"/>
        <v>39465</v>
      </c>
      <c r="E954" s="3">
        <f t="shared" si="269"/>
        <v>39512</v>
      </c>
      <c r="F954" s="3">
        <f t="shared" si="270"/>
        <v>39478</v>
      </c>
      <c r="G954" s="76">
        <f t="shared" si="271"/>
        <v>2008</v>
      </c>
      <c r="H954" s="76">
        <f t="shared" si="272"/>
        <v>1</v>
      </c>
      <c r="I954" s="76" t="str">
        <f>VLOOKUP(H954,'Lookup Values'!$C$2:$D$13,2,FALSE)</f>
        <v>JAN</v>
      </c>
      <c r="J954" s="76">
        <f t="shared" si="273"/>
        <v>5</v>
      </c>
      <c r="K954" s="76">
        <f t="shared" si="274"/>
        <v>7</v>
      </c>
      <c r="L954" s="76" t="str">
        <f>VLOOKUP(K954,'Lookup Values'!$F$2:$G$8,2,FALSE)</f>
        <v>Saturday</v>
      </c>
      <c r="M954" s="3">
        <v>39459</v>
      </c>
      <c r="N954" s="78">
        <f t="shared" si="267"/>
        <v>7</v>
      </c>
      <c r="O954" s="11">
        <v>6.6114824361848235E-2</v>
      </c>
      <c r="P954" s="94">
        <f t="shared" si="275"/>
        <v>1</v>
      </c>
      <c r="Q954" s="94">
        <f t="shared" si="276"/>
        <v>35</v>
      </c>
      <c r="R954" s="94">
        <f t="shared" si="277"/>
        <v>12</v>
      </c>
      <c r="S954" s="94" t="str">
        <f>VLOOKUP(O954,'Lookup Values'!$I$2:$L$8,4,TRUE)</f>
        <v>Dead of Night</v>
      </c>
      <c r="T954" t="s">
        <v>76</v>
      </c>
      <c r="U954" t="s">
        <v>77</v>
      </c>
      <c r="V954" t="str">
        <f t="shared" si="278"/>
        <v>Entertainment: Alcohol</v>
      </c>
      <c r="W954" t="s">
        <v>75</v>
      </c>
      <c r="X954" t="s">
        <v>88</v>
      </c>
      <c r="Y954" s="1">
        <v>478</v>
      </c>
      <c r="Z954" s="1" t="str">
        <f t="shared" si="279"/>
        <v>Entertainment: $478.00</v>
      </c>
      <c r="AA954" s="1">
        <f>IF(Y954="","",ROUND(Y954*'Lookup Values'!$A$2,2))</f>
        <v>42.42</v>
      </c>
      <c r="AB954" s="12" t="str">
        <f t="shared" si="280"/>
        <v>Expense</v>
      </c>
      <c r="AC954" s="2" t="s">
        <v>929</v>
      </c>
      <c r="AD954" s="3">
        <f t="shared" si="281"/>
        <v>39452</v>
      </c>
      <c r="AE954" s="93" t="str">
        <f t="shared" si="282"/>
        <v>NO</v>
      </c>
      <c r="AF954" s="2" t="str">
        <f t="shared" si="283"/>
        <v>NO</v>
      </c>
      <c r="AG954" t="str">
        <f t="shared" si="284"/>
        <v>Awesome Transaction</v>
      </c>
    </row>
    <row r="955" spans="1:33" x14ac:dyDescent="0.25">
      <c r="A955" s="2">
        <v>954</v>
      </c>
      <c r="B955" s="3" t="str">
        <f t="shared" si="266"/>
        <v>110409-IN-AUN</v>
      </c>
      <c r="C955" s="3">
        <v>40642</v>
      </c>
      <c r="D955" s="3">
        <f t="shared" si="268"/>
        <v>40655</v>
      </c>
      <c r="E955" s="3">
        <f t="shared" si="269"/>
        <v>40703</v>
      </c>
      <c r="F955" s="3">
        <f t="shared" si="270"/>
        <v>40663</v>
      </c>
      <c r="G955" s="76">
        <f t="shared" si="271"/>
        <v>2011</v>
      </c>
      <c r="H955" s="76">
        <f t="shared" si="272"/>
        <v>4</v>
      </c>
      <c r="I955" s="76" t="str">
        <f>VLOOKUP(H955,'Lookup Values'!$C$2:$D$13,2,FALSE)</f>
        <v>APR</v>
      </c>
      <c r="J955" s="76">
        <f t="shared" si="273"/>
        <v>9</v>
      </c>
      <c r="K955" s="76">
        <f t="shared" si="274"/>
        <v>7</v>
      </c>
      <c r="L955" s="76" t="str">
        <f>VLOOKUP(K955,'Lookup Values'!$F$2:$G$8,2,FALSE)</f>
        <v>Saturday</v>
      </c>
      <c r="M955" s="3">
        <v>40652</v>
      </c>
      <c r="N955" s="78">
        <f t="shared" si="267"/>
        <v>10</v>
      </c>
      <c r="O955" s="11">
        <v>0.78249289763806795</v>
      </c>
      <c r="P955" s="94">
        <f t="shared" si="275"/>
        <v>18</v>
      </c>
      <c r="Q955" s="94">
        <f t="shared" si="276"/>
        <v>46</v>
      </c>
      <c r="R955" s="94">
        <f t="shared" si="277"/>
        <v>47</v>
      </c>
      <c r="S955" s="94" t="str">
        <f>VLOOKUP(O955,'Lookup Values'!$I$2:$L$8,4,TRUE)</f>
        <v>Evening</v>
      </c>
      <c r="T955" t="s">
        <v>158</v>
      </c>
      <c r="U955" t="s">
        <v>161</v>
      </c>
      <c r="V955" t="str">
        <f t="shared" si="278"/>
        <v>Income: Gift Received</v>
      </c>
      <c r="W955" t="s">
        <v>164</v>
      </c>
      <c r="X955" t="s">
        <v>78</v>
      </c>
      <c r="Y955" s="1">
        <v>231</v>
      </c>
      <c r="Z955" s="1" t="str">
        <f t="shared" si="279"/>
        <v>Income: $231.00</v>
      </c>
      <c r="AA955" s="1">
        <f>IF(Y955="","",ROUND(Y955*'Lookup Values'!$A$2,2))</f>
        <v>20.5</v>
      </c>
      <c r="AB955" s="12" t="str">
        <f t="shared" si="280"/>
        <v>Income</v>
      </c>
      <c r="AC955" s="2" t="s">
        <v>930</v>
      </c>
      <c r="AD955" s="3">
        <f t="shared" si="281"/>
        <v>40642</v>
      </c>
      <c r="AE955" s="93" t="str">
        <f t="shared" si="282"/>
        <v>NO</v>
      </c>
      <c r="AF955" s="2" t="str">
        <f t="shared" si="283"/>
        <v>NO</v>
      </c>
      <c r="AG955" t="str">
        <f t="shared" si="284"/>
        <v>CRAP Transaction</v>
      </c>
    </row>
    <row r="956" spans="1:33" x14ac:dyDescent="0.25">
      <c r="A956" s="2">
        <v>955</v>
      </c>
      <c r="B956" s="3" t="str">
        <f t="shared" si="266"/>
        <v>081214-BI-CON</v>
      </c>
      <c r="C956" s="3">
        <v>39796</v>
      </c>
      <c r="D956" s="3">
        <f t="shared" si="268"/>
        <v>39808</v>
      </c>
      <c r="E956" s="3">
        <f t="shared" si="269"/>
        <v>39858</v>
      </c>
      <c r="F956" s="3">
        <f t="shared" si="270"/>
        <v>39813</v>
      </c>
      <c r="G956" s="76">
        <f t="shared" si="271"/>
        <v>2008</v>
      </c>
      <c r="H956" s="76">
        <f t="shared" si="272"/>
        <v>12</v>
      </c>
      <c r="I956" s="76" t="str">
        <f>VLOOKUP(H956,'Lookup Values'!$C$2:$D$13,2,FALSE)</f>
        <v>DEC</v>
      </c>
      <c r="J956" s="76">
        <f t="shared" si="273"/>
        <v>14</v>
      </c>
      <c r="K956" s="76">
        <f t="shared" si="274"/>
        <v>1</v>
      </c>
      <c r="L956" s="76" t="str">
        <f>VLOOKUP(K956,'Lookup Values'!$F$2:$G$8,2,FALSE)</f>
        <v>Sunday</v>
      </c>
      <c r="M956" s="3">
        <v>39806</v>
      </c>
      <c r="N956" s="78">
        <f t="shared" si="267"/>
        <v>10</v>
      </c>
      <c r="O956" s="11">
        <v>0.68234265779511594</v>
      </c>
      <c r="P956" s="94">
        <f t="shared" si="275"/>
        <v>16</v>
      </c>
      <c r="Q956" s="94">
        <f t="shared" si="276"/>
        <v>22</v>
      </c>
      <c r="R956" s="94">
        <f t="shared" si="277"/>
        <v>34</v>
      </c>
      <c r="S956" s="94" t="str">
        <f>VLOOKUP(O956,'Lookup Values'!$I$2:$L$8,4,TRUE)</f>
        <v>Afternoon</v>
      </c>
      <c r="T956" t="s">
        <v>110</v>
      </c>
      <c r="U956" t="s">
        <v>111</v>
      </c>
      <c r="V956" t="str">
        <f t="shared" si="278"/>
        <v>Bills: Utilities</v>
      </c>
      <c r="W956" t="s">
        <v>109</v>
      </c>
      <c r="X956" t="s">
        <v>78</v>
      </c>
      <c r="Y956" s="1">
        <v>22</v>
      </c>
      <c r="Z956" s="1" t="str">
        <f t="shared" si="279"/>
        <v>Bills: $22.00</v>
      </c>
      <c r="AA956" s="1">
        <f>IF(Y956="","",ROUND(Y956*'Lookup Values'!$A$2,2))</f>
        <v>1.95</v>
      </c>
      <c r="AB956" s="12" t="str">
        <f t="shared" si="280"/>
        <v>Expense</v>
      </c>
      <c r="AC956" s="2" t="s">
        <v>931</v>
      </c>
      <c r="AD956" s="3">
        <f t="shared" si="281"/>
        <v>39796</v>
      </c>
      <c r="AE956" s="93" t="str">
        <f t="shared" si="282"/>
        <v>NO</v>
      </c>
      <c r="AF956" s="2" t="str">
        <f t="shared" si="283"/>
        <v>NO</v>
      </c>
      <c r="AG956" t="str">
        <f t="shared" si="284"/>
        <v>Late Transaction</v>
      </c>
    </row>
    <row r="957" spans="1:33" x14ac:dyDescent="0.25">
      <c r="A957" s="2">
        <v>956</v>
      </c>
      <c r="B957" s="3" t="str">
        <f t="shared" si="266"/>
        <v>111019-BI-CON</v>
      </c>
      <c r="C957" s="3">
        <v>40835</v>
      </c>
      <c r="D957" s="3">
        <f t="shared" si="268"/>
        <v>40849</v>
      </c>
      <c r="E957" s="3">
        <f t="shared" si="269"/>
        <v>40896</v>
      </c>
      <c r="F957" s="3">
        <f t="shared" si="270"/>
        <v>40847</v>
      </c>
      <c r="G957" s="76">
        <f t="shared" si="271"/>
        <v>2011</v>
      </c>
      <c r="H957" s="76">
        <f t="shared" si="272"/>
        <v>10</v>
      </c>
      <c r="I957" s="76" t="str">
        <f>VLOOKUP(H957,'Lookup Values'!$C$2:$D$13,2,FALSE)</f>
        <v>OCT</v>
      </c>
      <c r="J957" s="76">
        <f t="shared" si="273"/>
        <v>19</v>
      </c>
      <c r="K957" s="76">
        <f t="shared" si="274"/>
        <v>4</v>
      </c>
      <c r="L957" s="76" t="str">
        <f>VLOOKUP(K957,'Lookup Values'!$F$2:$G$8,2,FALSE)</f>
        <v>Wednesday</v>
      </c>
      <c r="M957" s="3">
        <v>40844</v>
      </c>
      <c r="N957" s="78">
        <f t="shared" si="267"/>
        <v>9</v>
      </c>
      <c r="O957" s="11">
        <v>0.90087279598543235</v>
      </c>
      <c r="P957" s="94">
        <f t="shared" si="275"/>
        <v>21</v>
      </c>
      <c r="Q957" s="94">
        <f t="shared" si="276"/>
        <v>37</v>
      </c>
      <c r="R957" s="94">
        <f t="shared" si="277"/>
        <v>15</v>
      </c>
      <c r="S957" s="94" t="str">
        <f>VLOOKUP(O957,'Lookup Values'!$I$2:$L$8,4,TRUE)</f>
        <v>Late Evening</v>
      </c>
      <c r="T957" t="s">
        <v>110</v>
      </c>
      <c r="U957" t="s">
        <v>111</v>
      </c>
      <c r="V957" t="str">
        <f t="shared" si="278"/>
        <v>Bills: Utilities</v>
      </c>
      <c r="W957" t="s">
        <v>109</v>
      </c>
      <c r="X957" t="s">
        <v>91</v>
      </c>
      <c r="Y957" s="1">
        <v>316</v>
      </c>
      <c r="Z957" s="1" t="str">
        <f t="shared" si="279"/>
        <v>Bills: $316.00</v>
      </c>
      <c r="AA957" s="1">
        <f>IF(Y957="","",ROUND(Y957*'Lookup Values'!$A$2,2))</f>
        <v>28.05</v>
      </c>
      <c r="AB957" s="12" t="str">
        <f t="shared" si="280"/>
        <v>Expense</v>
      </c>
      <c r="AC957" s="2" t="s">
        <v>348</v>
      </c>
      <c r="AD957" s="3">
        <f t="shared" si="281"/>
        <v>40835</v>
      </c>
      <c r="AE957" s="93" t="str">
        <f t="shared" si="282"/>
        <v>NO</v>
      </c>
      <c r="AF957" s="2" t="str">
        <f t="shared" si="283"/>
        <v>NO</v>
      </c>
      <c r="AG957" t="str">
        <f t="shared" si="284"/>
        <v>CRAP Transaction</v>
      </c>
    </row>
    <row r="958" spans="1:33" x14ac:dyDescent="0.25">
      <c r="A958" s="2">
        <v>957</v>
      </c>
      <c r="B958" s="3" t="str">
        <f t="shared" si="266"/>
        <v>120904-TR-MTA</v>
      </c>
      <c r="C958" s="3">
        <v>41156</v>
      </c>
      <c r="D958" s="3">
        <f t="shared" si="268"/>
        <v>41170</v>
      </c>
      <c r="E958" s="3">
        <f t="shared" si="269"/>
        <v>41217</v>
      </c>
      <c r="F958" s="3">
        <f t="shared" si="270"/>
        <v>41182</v>
      </c>
      <c r="G958" s="76">
        <f t="shared" si="271"/>
        <v>2012</v>
      </c>
      <c r="H958" s="76">
        <f t="shared" si="272"/>
        <v>9</v>
      </c>
      <c r="I958" s="76" t="str">
        <f>VLOOKUP(H958,'Lookup Values'!$C$2:$D$13,2,FALSE)</f>
        <v>SEP</v>
      </c>
      <c r="J958" s="76">
        <f t="shared" si="273"/>
        <v>4</v>
      </c>
      <c r="K958" s="76">
        <f t="shared" si="274"/>
        <v>3</v>
      </c>
      <c r="L958" s="76" t="str">
        <f>VLOOKUP(K958,'Lookup Values'!$F$2:$G$8,2,FALSE)</f>
        <v>Tuesday</v>
      </c>
      <c r="M958" s="3">
        <v>41162</v>
      </c>
      <c r="N958" s="78">
        <f t="shared" si="267"/>
        <v>6</v>
      </c>
      <c r="O958" s="11">
        <v>0.29854859005127732</v>
      </c>
      <c r="P958" s="94">
        <f t="shared" si="275"/>
        <v>7</v>
      </c>
      <c r="Q958" s="94">
        <f t="shared" si="276"/>
        <v>9</v>
      </c>
      <c r="R958" s="94">
        <f t="shared" si="277"/>
        <v>55</v>
      </c>
      <c r="S958" s="94" t="str">
        <f>VLOOKUP(O958,'Lookup Values'!$I$2:$L$8,4,TRUE)</f>
        <v>Morning</v>
      </c>
      <c r="T958" t="s">
        <v>95</v>
      </c>
      <c r="U958" t="s">
        <v>96</v>
      </c>
      <c r="V958" t="str">
        <f t="shared" si="278"/>
        <v>Transportation: Subway</v>
      </c>
      <c r="W958" t="s">
        <v>94</v>
      </c>
      <c r="X958" t="s">
        <v>91</v>
      </c>
      <c r="Y958" s="1">
        <v>120</v>
      </c>
      <c r="Z958" s="1" t="str">
        <f t="shared" si="279"/>
        <v>Transportation: $120.00</v>
      </c>
      <c r="AA958" s="1">
        <f>IF(Y958="","",ROUND(Y958*'Lookup Values'!$A$2,2))</f>
        <v>10.65</v>
      </c>
      <c r="AB958" s="12" t="str">
        <f t="shared" si="280"/>
        <v>Expense</v>
      </c>
      <c r="AC958" s="2" t="s">
        <v>165</v>
      </c>
      <c r="AD958" s="3">
        <f t="shared" si="281"/>
        <v>41156</v>
      </c>
      <c r="AE958" s="93" t="str">
        <f t="shared" si="282"/>
        <v>YES</v>
      </c>
      <c r="AF958" s="2" t="str">
        <f t="shared" si="283"/>
        <v>NO</v>
      </c>
      <c r="AG958" t="str">
        <f t="shared" si="284"/>
        <v>CRAP Transaction</v>
      </c>
    </row>
    <row r="959" spans="1:33" x14ac:dyDescent="0.25">
      <c r="A959" s="2">
        <v>958</v>
      </c>
      <c r="B959" s="3" t="str">
        <f t="shared" si="266"/>
        <v>080822-EN-FAN</v>
      </c>
      <c r="C959" s="3">
        <v>39682</v>
      </c>
      <c r="D959" s="3">
        <f t="shared" si="268"/>
        <v>39696</v>
      </c>
      <c r="E959" s="3">
        <f t="shared" si="269"/>
        <v>39743</v>
      </c>
      <c r="F959" s="3">
        <f t="shared" si="270"/>
        <v>39691</v>
      </c>
      <c r="G959" s="76">
        <f t="shared" si="271"/>
        <v>2008</v>
      </c>
      <c r="H959" s="76">
        <f t="shared" si="272"/>
        <v>8</v>
      </c>
      <c r="I959" s="76" t="str">
        <f>VLOOKUP(H959,'Lookup Values'!$C$2:$D$13,2,FALSE)</f>
        <v>AUG</v>
      </c>
      <c r="J959" s="76">
        <f t="shared" si="273"/>
        <v>22</v>
      </c>
      <c r="K959" s="76">
        <f t="shared" si="274"/>
        <v>6</v>
      </c>
      <c r="L959" s="76" t="str">
        <f>VLOOKUP(K959,'Lookup Values'!$F$2:$G$8,2,FALSE)</f>
        <v>Friday</v>
      </c>
      <c r="M959" s="3">
        <v>39692</v>
      </c>
      <c r="N959" s="78">
        <f t="shared" si="267"/>
        <v>10</v>
      </c>
      <c r="O959" s="11">
        <v>0.56561725305234756</v>
      </c>
      <c r="P959" s="94">
        <f t="shared" si="275"/>
        <v>13</v>
      </c>
      <c r="Q959" s="94">
        <f t="shared" si="276"/>
        <v>34</v>
      </c>
      <c r="R959" s="94">
        <f t="shared" si="277"/>
        <v>29</v>
      </c>
      <c r="S959" s="94" t="str">
        <f>VLOOKUP(O959,'Lookup Values'!$I$2:$L$8,4,TRUE)</f>
        <v>Afternoon</v>
      </c>
      <c r="T959" t="s">
        <v>76</v>
      </c>
      <c r="U959" t="s">
        <v>90</v>
      </c>
      <c r="V959" t="str">
        <f t="shared" si="278"/>
        <v>Entertainment: Movies</v>
      </c>
      <c r="W959" t="s">
        <v>89</v>
      </c>
      <c r="X959" t="s">
        <v>78</v>
      </c>
      <c r="Y959" s="1">
        <v>101</v>
      </c>
      <c r="Z959" s="1" t="str">
        <f t="shared" si="279"/>
        <v>Entertainment: $101.00</v>
      </c>
      <c r="AA959" s="1">
        <f>IF(Y959="","",ROUND(Y959*'Lookup Values'!$A$2,2))</f>
        <v>8.9600000000000009</v>
      </c>
      <c r="AB959" s="12" t="str">
        <f t="shared" si="280"/>
        <v>Expense</v>
      </c>
      <c r="AC959" s="2" t="s">
        <v>932</v>
      </c>
      <c r="AD959" s="3">
        <f t="shared" si="281"/>
        <v>39682</v>
      </c>
      <c r="AE959" s="93" t="str">
        <f t="shared" si="282"/>
        <v>NO</v>
      </c>
      <c r="AF959" s="2" t="str">
        <f t="shared" si="283"/>
        <v>NO</v>
      </c>
      <c r="AG959" t="str">
        <f t="shared" si="284"/>
        <v>Awesome Transaction</v>
      </c>
    </row>
    <row r="960" spans="1:33" x14ac:dyDescent="0.25">
      <c r="A960" s="2">
        <v>959</v>
      </c>
      <c r="B960" s="3" t="str">
        <f t="shared" si="266"/>
        <v>080813-HO-BED</v>
      </c>
      <c r="C960" s="3">
        <v>39673</v>
      </c>
      <c r="D960" s="3">
        <f t="shared" si="268"/>
        <v>39687</v>
      </c>
      <c r="E960" s="3">
        <f t="shared" si="269"/>
        <v>39734</v>
      </c>
      <c r="F960" s="3">
        <f t="shared" si="270"/>
        <v>39691</v>
      </c>
      <c r="G960" s="76">
        <f t="shared" si="271"/>
        <v>2008</v>
      </c>
      <c r="H960" s="76">
        <f t="shared" si="272"/>
        <v>8</v>
      </c>
      <c r="I960" s="76" t="str">
        <f>VLOOKUP(H960,'Lookup Values'!$C$2:$D$13,2,FALSE)</f>
        <v>AUG</v>
      </c>
      <c r="J960" s="76">
        <f t="shared" si="273"/>
        <v>13</v>
      </c>
      <c r="K960" s="76">
        <f t="shared" si="274"/>
        <v>4</v>
      </c>
      <c r="L960" s="76" t="str">
        <f>VLOOKUP(K960,'Lookup Values'!$F$2:$G$8,2,FALSE)</f>
        <v>Wednesday</v>
      </c>
      <c r="M960" s="3">
        <v>39678</v>
      </c>
      <c r="N960" s="78">
        <f t="shared" si="267"/>
        <v>5</v>
      </c>
      <c r="O960" s="11">
        <v>0.98012035154726385</v>
      </c>
      <c r="P960" s="94">
        <f t="shared" si="275"/>
        <v>23</v>
      </c>
      <c r="Q960" s="94">
        <f t="shared" si="276"/>
        <v>31</v>
      </c>
      <c r="R960" s="94">
        <f t="shared" si="277"/>
        <v>22</v>
      </c>
      <c r="S960" s="94" t="str">
        <f>VLOOKUP(O960,'Lookup Values'!$I$2:$L$8,4,TRUE)</f>
        <v>Late Evening</v>
      </c>
      <c r="T960" t="s">
        <v>100</v>
      </c>
      <c r="U960" t="s">
        <v>101</v>
      </c>
      <c r="V960" t="str">
        <f t="shared" si="278"/>
        <v>Home: Cleaning Supplies</v>
      </c>
      <c r="W960" t="s">
        <v>99</v>
      </c>
      <c r="X960" t="s">
        <v>78</v>
      </c>
      <c r="Y960" s="1">
        <v>278</v>
      </c>
      <c r="Z960" s="1" t="str">
        <f t="shared" si="279"/>
        <v>Home: $278.00</v>
      </c>
      <c r="AA960" s="1">
        <f>IF(Y960="","",ROUND(Y960*'Lookup Values'!$A$2,2))</f>
        <v>24.67</v>
      </c>
      <c r="AB960" s="12" t="str">
        <f t="shared" si="280"/>
        <v>Expense</v>
      </c>
      <c r="AC960" s="2" t="s">
        <v>933</v>
      </c>
      <c r="AD960" s="3">
        <f t="shared" si="281"/>
        <v>39673</v>
      </c>
      <c r="AE960" s="93" t="str">
        <f t="shared" si="282"/>
        <v>NO</v>
      </c>
      <c r="AF960" s="2" t="str">
        <f t="shared" si="283"/>
        <v>NO</v>
      </c>
      <c r="AG960" t="str">
        <f t="shared" si="284"/>
        <v>Late Transaction</v>
      </c>
    </row>
    <row r="961" spans="1:33" x14ac:dyDescent="0.25">
      <c r="A961" s="2">
        <v>960</v>
      </c>
      <c r="B961" s="3" t="str">
        <f t="shared" si="266"/>
        <v>090321-FO-TRA</v>
      </c>
      <c r="C961" s="3">
        <v>39893</v>
      </c>
      <c r="D961" s="3">
        <f t="shared" si="268"/>
        <v>39906</v>
      </c>
      <c r="E961" s="3">
        <f t="shared" si="269"/>
        <v>39954</v>
      </c>
      <c r="F961" s="3">
        <f t="shared" si="270"/>
        <v>39903</v>
      </c>
      <c r="G961" s="76">
        <f t="shared" si="271"/>
        <v>2009</v>
      </c>
      <c r="H961" s="76">
        <f t="shared" si="272"/>
        <v>3</v>
      </c>
      <c r="I961" s="76" t="str">
        <f>VLOOKUP(H961,'Lookup Values'!$C$2:$D$13,2,FALSE)</f>
        <v>MAR</v>
      </c>
      <c r="J961" s="76">
        <f t="shared" si="273"/>
        <v>21</v>
      </c>
      <c r="K961" s="76">
        <f t="shared" si="274"/>
        <v>7</v>
      </c>
      <c r="L961" s="76" t="str">
        <f>VLOOKUP(K961,'Lookup Values'!$F$2:$G$8,2,FALSE)</f>
        <v>Saturday</v>
      </c>
      <c r="M961" s="3">
        <v>39901</v>
      </c>
      <c r="N961" s="78">
        <f t="shared" si="267"/>
        <v>8</v>
      </c>
      <c r="O961" s="11">
        <v>1.5310202569472464E-2</v>
      </c>
      <c r="P961" s="94">
        <f t="shared" si="275"/>
        <v>0</v>
      </c>
      <c r="Q961" s="94">
        <f t="shared" si="276"/>
        <v>22</v>
      </c>
      <c r="R961" s="94">
        <f t="shared" si="277"/>
        <v>3</v>
      </c>
      <c r="S961" s="94" t="str">
        <f>VLOOKUP(O961,'Lookup Values'!$I$2:$L$8,4,TRUE)</f>
        <v>Dead of Night</v>
      </c>
      <c r="T961" t="s">
        <v>80</v>
      </c>
      <c r="U961" t="s">
        <v>93</v>
      </c>
      <c r="V961" t="str">
        <f t="shared" si="278"/>
        <v>Food: Groceries</v>
      </c>
      <c r="W961" t="s">
        <v>92</v>
      </c>
      <c r="X961" t="s">
        <v>91</v>
      </c>
      <c r="Y961" s="1">
        <v>347</v>
      </c>
      <c r="Z961" s="1" t="str">
        <f t="shared" si="279"/>
        <v>Food: $347.00</v>
      </c>
      <c r="AA961" s="1">
        <f>IF(Y961="","",ROUND(Y961*'Lookup Values'!$A$2,2))</f>
        <v>30.8</v>
      </c>
      <c r="AB961" s="12" t="str">
        <f t="shared" si="280"/>
        <v>Expense</v>
      </c>
      <c r="AC961" s="2" t="s">
        <v>934</v>
      </c>
      <c r="AD961" s="3">
        <f t="shared" si="281"/>
        <v>39893</v>
      </c>
      <c r="AE961" s="93" t="str">
        <f t="shared" si="282"/>
        <v>NO</v>
      </c>
      <c r="AF961" s="2" t="str">
        <f t="shared" si="283"/>
        <v>NO</v>
      </c>
      <c r="AG961" t="str">
        <f t="shared" si="284"/>
        <v>Awesome Transaction</v>
      </c>
    </row>
    <row r="962" spans="1:33" x14ac:dyDescent="0.25">
      <c r="A962" s="2">
        <v>961</v>
      </c>
      <c r="B962" s="3" t="str">
        <f t="shared" ref="B962:B1001" si="285">TEXT(C962,"yymmdd") &amp; "-" &amp; UPPER(LEFT(T962,2)) &amp; "-" &amp; UPPER(LEFT(W962,3))</f>
        <v>080905-FO-TRA</v>
      </c>
      <c r="C962" s="3">
        <v>39696</v>
      </c>
      <c r="D962" s="3">
        <f t="shared" si="268"/>
        <v>39710</v>
      </c>
      <c r="E962" s="3">
        <f t="shared" si="269"/>
        <v>39757</v>
      </c>
      <c r="F962" s="3">
        <f t="shared" si="270"/>
        <v>39721</v>
      </c>
      <c r="G962" s="76">
        <f t="shared" si="271"/>
        <v>2008</v>
      </c>
      <c r="H962" s="76">
        <f t="shared" si="272"/>
        <v>9</v>
      </c>
      <c r="I962" s="76" t="str">
        <f>VLOOKUP(H962,'Lookup Values'!$C$2:$D$13,2,FALSE)</f>
        <v>SEP</v>
      </c>
      <c r="J962" s="76">
        <f t="shared" si="273"/>
        <v>5</v>
      </c>
      <c r="K962" s="76">
        <f t="shared" si="274"/>
        <v>6</v>
      </c>
      <c r="L962" s="76" t="str">
        <f>VLOOKUP(K962,'Lookup Values'!$F$2:$G$8,2,FALSE)</f>
        <v>Friday</v>
      </c>
      <c r="M962" s="3">
        <v>39699</v>
      </c>
      <c r="N962" s="78">
        <f t="shared" ref="N962:N1001" si="286">M962-C962</f>
        <v>3</v>
      </c>
      <c r="O962" s="11">
        <v>0.76941134528849375</v>
      </c>
      <c r="P962" s="94">
        <f t="shared" si="275"/>
        <v>18</v>
      </c>
      <c r="Q962" s="94">
        <f t="shared" si="276"/>
        <v>27</v>
      </c>
      <c r="R962" s="94">
        <f t="shared" si="277"/>
        <v>57</v>
      </c>
      <c r="S962" s="94" t="str">
        <f>VLOOKUP(O962,'Lookup Values'!$I$2:$L$8,4,TRUE)</f>
        <v>Evening</v>
      </c>
      <c r="T962" t="s">
        <v>80</v>
      </c>
      <c r="U962" t="s">
        <v>93</v>
      </c>
      <c r="V962" t="str">
        <f t="shared" si="278"/>
        <v>Food: Groceries</v>
      </c>
      <c r="W962" t="s">
        <v>92</v>
      </c>
      <c r="X962" t="s">
        <v>78</v>
      </c>
      <c r="Y962" s="1">
        <v>51</v>
      </c>
      <c r="Z962" s="1" t="str">
        <f t="shared" si="279"/>
        <v>Food: $51.00</v>
      </c>
      <c r="AA962" s="1">
        <f>IF(Y962="","",ROUND(Y962*'Lookup Values'!$A$2,2))</f>
        <v>4.53</v>
      </c>
      <c r="AB962" s="12" t="str">
        <f t="shared" si="280"/>
        <v>Expense</v>
      </c>
      <c r="AC962" s="2" t="s">
        <v>611</v>
      </c>
      <c r="AD962" s="3">
        <f t="shared" si="281"/>
        <v>39696</v>
      </c>
      <c r="AE962" s="93" t="str">
        <f t="shared" si="282"/>
        <v>NO</v>
      </c>
      <c r="AF962" s="2" t="str">
        <f t="shared" si="283"/>
        <v>NO</v>
      </c>
      <c r="AG962" t="str">
        <f t="shared" si="284"/>
        <v>Awesome Transaction</v>
      </c>
    </row>
    <row r="963" spans="1:33" x14ac:dyDescent="0.25">
      <c r="A963" s="2">
        <v>962</v>
      </c>
      <c r="B963" s="3" t="str">
        <f t="shared" si="285"/>
        <v>120128-IN-AUN</v>
      </c>
      <c r="C963" s="3">
        <v>40936</v>
      </c>
      <c r="D963" s="3">
        <f t="shared" ref="D963:D1001" si="287">WORKDAY(C963,10)</f>
        <v>40949</v>
      </c>
      <c r="E963" s="3">
        <f t="shared" ref="E963:E1001" si="288">EDATE(C963,2)</f>
        <v>40996</v>
      </c>
      <c r="F963" s="3">
        <f t="shared" ref="F963:F1001" si="289">EOMONTH(C963,0)</f>
        <v>40939</v>
      </c>
      <c r="G963" s="76">
        <f t="shared" ref="G963:G1001" si="290">YEAR(C963)</f>
        <v>2012</v>
      </c>
      <c r="H963" s="76">
        <f t="shared" ref="H963:H1001" si="291">MONTH(C963)</f>
        <v>1</v>
      </c>
      <c r="I963" s="76" t="str">
        <f>VLOOKUP(H963,'Lookup Values'!$C$2:$D$13,2,FALSE)</f>
        <v>JAN</v>
      </c>
      <c r="J963" s="76">
        <f t="shared" ref="J963:J1001" si="292">DAY(C963)</f>
        <v>28</v>
      </c>
      <c r="K963" s="76">
        <f t="shared" ref="K963:K1001" si="293">WEEKDAY(C963)</f>
        <v>7</v>
      </c>
      <c r="L963" s="76" t="str">
        <f>VLOOKUP(K963,'Lookup Values'!$F$2:$G$8,2,FALSE)</f>
        <v>Saturday</v>
      </c>
      <c r="M963" s="3">
        <v>40944</v>
      </c>
      <c r="N963" s="78">
        <f t="shared" si="286"/>
        <v>8</v>
      </c>
      <c r="O963" s="11">
        <v>0.78416337988917828</v>
      </c>
      <c r="P963" s="94">
        <f t="shared" ref="P963:P1001" si="294">HOUR(O963)</f>
        <v>18</v>
      </c>
      <c r="Q963" s="94">
        <f t="shared" ref="Q963:Q1001" si="295">MINUTE(O963)</f>
        <v>49</v>
      </c>
      <c r="R963" s="94">
        <f t="shared" ref="R963:R1001" si="296">SECOND(O963)</f>
        <v>12</v>
      </c>
      <c r="S963" s="94" t="str">
        <f>VLOOKUP(O963,'Lookup Values'!$I$2:$L$8,4,TRUE)</f>
        <v>Evening</v>
      </c>
      <c r="T963" t="s">
        <v>158</v>
      </c>
      <c r="U963" t="s">
        <v>161</v>
      </c>
      <c r="V963" t="str">
        <f t="shared" ref="V963:V1001" si="297">T963 &amp; ": " &amp; U963</f>
        <v>Income: Gift Received</v>
      </c>
      <c r="W963" t="s">
        <v>164</v>
      </c>
      <c r="X963" t="s">
        <v>88</v>
      </c>
      <c r="Y963" s="1">
        <v>156</v>
      </c>
      <c r="Z963" s="1" t="str">
        <f t="shared" ref="Z963:Z1001" si="298">T963 &amp; ": " &amp; TEXT(Y963,"$#,###.00")</f>
        <v>Income: $156.00</v>
      </c>
      <c r="AA963" s="1">
        <f>IF(Y963="","",ROUND(Y963*'Lookup Values'!$A$2,2))</f>
        <v>13.85</v>
      </c>
      <c r="AB963" s="12" t="str">
        <f t="shared" ref="AB963:AB1001" si="299">IF(T963="Income","Income","Expense")</f>
        <v>Income</v>
      </c>
      <c r="AC963" s="2" t="s">
        <v>935</v>
      </c>
      <c r="AD963" s="3">
        <f t="shared" ref="AD963:AD1001" si="300">VALUE(SUBSTITUTE(AC963,".","/"))</f>
        <v>40936</v>
      </c>
      <c r="AE963" s="93" t="str">
        <f t="shared" ref="AE963:AE1001" si="301">IF(OR(T963="Transportation",U963="Professional Development",U963="Electronics"),"YES","NO")</f>
        <v>NO</v>
      </c>
      <c r="AF963" s="2" t="str">
        <f t="shared" ref="AF963:AF1001" si="302">IF(AND(AE963="YES",Y963&gt;=400),"YES","NO")</f>
        <v>NO</v>
      </c>
      <c r="AG963" t="str">
        <f t="shared" ref="AG963:AG1001" si="303">IF(AND(AND(G963&gt;=2007,G963&lt;=2009),OR(W963&lt;&gt;"MTA",W963&lt;&gt;"Fandango"),OR(T963="Food",T963="Shopping",T963="Entertainment")),"Awesome Transaction",IF(AND(G963&lt;=2010,U963&lt;&gt;"Alcohol"),"Late Transaction",IF(G963=2006,"Early Transaction","CRAP Transaction")))</f>
        <v>CRAP Transaction</v>
      </c>
    </row>
    <row r="964" spans="1:33" x14ac:dyDescent="0.25">
      <c r="A964" s="2">
        <v>963</v>
      </c>
      <c r="B964" s="3" t="str">
        <f t="shared" si="285"/>
        <v>070108-ED-SKI</v>
      </c>
      <c r="C964" s="3">
        <v>39090</v>
      </c>
      <c r="D964" s="3">
        <f t="shared" si="287"/>
        <v>39104</v>
      </c>
      <c r="E964" s="3">
        <f t="shared" si="288"/>
        <v>39149</v>
      </c>
      <c r="F964" s="3">
        <f t="shared" si="289"/>
        <v>39113</v>
      </c>
      <c r="G964" s="76">
        <f t="shared" si="290"/>
        <v>2007</v>
      </c>
      <c r="H964" s="76">
        <f t="shared" si="291"/>
        <v>1</v>
      </c>
      <c r="I964" s="76" t="str">
        <f>VLOOKUP(H964,'Lookup Values'!$C$2:$D$13,2,FALSE)</f>
        <v>JAN</v>
      </c>
      <c r="J964" s="76">
        <f t="shared" si="292"/>
        <v>8</v>
      </c>
      <c r="K964" s="76">
        <f t="shared" si="293"/>
        <v>2</v>
      </c>
      <c r="L964" s="76" t="str">
        <f>VLOOKUP(K964,'Lookup Values'!$F$2:$G$8,2,FALSE)</f>
        <v>Monday</v>
      </c>
      <c r="M964" s="3">
        <v>39094</v>
      </c>
      <c r="N964" s="78">
        <f t="shared" si="286"/>
        <v>4</v>
      </c>
      <c r="O964" s="11">
        <v>0.85730142088599182</v>
      </c>
      <c r="P964" s="94">
        <f t="shared" si="294"/>
        <v>20</v>
      </c>
      <c r="Q964" s="94">
        <f t="shared" si="295"/>
        <v>34</v>
      </c>
      <c r="R964" s="94">
        <f t="shared" si="296"/>
        <v>31</v>
      </c>
      <c r="S964" s="94" t="str">
        <f>VLOOKUP(O964,'Lookup Values'!$I$2:$L$8,4,TRUE)</f>
        <v>Evening</v>
      </c>
      <c r="T964" t="s">
        <v>86</v>
      </c>
      <c r="U964" t="s">
        <v>98</v>
      </c>
      <c r="V964" t="str">
        <f t="shared" si="297"/>
        <v>Education: Professional Development</v>
      </c>
      <c r="W964" t="s">
        <v>97</v>
      </c>
      <c r="X964" t="s">
        <v>91</v>
      </c>
      <c r="Y964" s="1">
        <v>89</v>
      </c>
      <c r="Z964" s="1" t="str">
        <f t="shared" si="298"/>
        <v>Education: $89.00</v>
      </c>
      <c r="AA964" s="1">
        <f>IF(Y964="","",ROUND(Y964*'Lookup Values'!$A$2,2))</f>
        <v>7.9</v>
      </c>
      <c r="AB964" s="12" t="str">
        <f t="shared" si="299"/>
        <v>Expense</v>
      </c>
      <c r="AC964" s="2" t="s">
        <v>873</v>
      </c>
      <c r="AD964" s="3">
        <f t="shared" si="300"/>
        <v>39090</v>
      </c>
      <c r="AE964" s="93" t="str">
        <f t="shared" si="301"/>
        <v>YES</v>
      </c>
      <c r="AF964" s="2" t="str">
        <f t="shared" si="302"/>
        <v>NO</v>
      </c>
      <c r="AG964" t="str">
        <f t="shared" si="303"/>
        <v>Late Transaction</v>
      </c>
    </row>
    <row r="965" spans="1:33" x14ac:dyDescent="0.25">
      <c r="A965" s="2">
        <v>964</v>
      </c>
      <c r="B965" s="3" t="str">
        <f t="shared" si="285"/>
        <v>100215-EN-FAN</v>
      </c>
      <c r="C965" s="3">
        <v>40224</v>
      </c>
      <c r="D965" s="3">
        <f t="shared" si="287"/>
        <v>40238</v>
      </c>
      <c r="E965" s="3">
        <f t="shared" si="288"/>
        <v>40283</v>
      </c>
      <c r="F965" s="3">
        <f t="shared" si="289"/>
        <v>40237</v>
      </c>
      <c r="G965" s="76">
        <f t="shared" si="290"/>
        <v>2010</v>
      </c>
      <c r="H965" s="76">
        <f t="shared" si="291"/>
        <v>2</v>
      </c>
      <c r="I965" s="76" t="str">
        <f>VLOOKUP(H965,'Lookup Values'!$C$2:$D$13,2,FALSE)</f>
        <v>FEB</v>
      </c>
      <c r="J965" s="76">
        <f t="shared" si="292"/>
        <v>15</v>
      </c>
      <c r="K965" s="76">
        <f t="shared" si="293"/>
        <v>2</v>
      </c>
      <c r="L965" s="76" t="str">
        <f>VLOOKUP(K965,'Lookup Values'!$F$2:$G$8,2,FALSE)</f>
        <v>Monday</v>
      </c>
      <c r="M965" s="3">
        <v>40229</v>
      </c>
      <c r="N965" s="78">
        <f t="shared" si="286"/>
        <v>5</v>
      </c>
      <c r="O965" s="11">
        <v>0.65316273504762778</v>
      </c>
      <c r="P965" s="94">
        <f t="shared" si="294"/>
        <v>15</v>
      </c>
      <c r="Q965" s="94">
        <f t="shared" si="295"/>
        <v>40</v>
      </c>
      <c r="R965" s="94">
        <f t="shared" si="296"/>
        <v>33</v>
      </c>
      <c r="S965" s="94" t="str">
        <f>VLOOKUP(O965,'Lookup Values'!$I$2:$L$8,4,TRUE)</f>
        <v>Afternoon</v>
      </c>
      <c r="T965" t="s">
        <v>76</v>
      </c>
      <c r="U965" t="s">
        <v>90</v>
      </c>
      <c r="V965" t="str">
        <f t="shared" si="297"/>
        <v>Entertainment: Movies</v>
      </c>
      <c r="W965" t="s">
        <v>89</v>
      </c>
      <c r="X965" t="s">
        <v>88</v>
      </c>
      <c r="Y965" s="1">
        <v>71</v>
      </c>
      <c r="Z965" s="1" t="str">
        <f t="shared" si="298"/>
        <v>Entertainment: $71.00</v>
      </c>
      <c r="AA965" s="1">
        <f>IF(Y965="","",ROUND(Y965*'Lookup Values'!$A$2,2))</f>
        <v>6.3</v>
      </c>
      <c r="AB965" s="12" t="str">
        <f t="shared" si="299"/>
        <v>Expense</v>
      </c>
      <c r="AC965" s="2" t="s">
        <v>936</v>
      </c>
      <c r="AD965" s="3">
        <f t="shared" si="300"/>
        <v>40224</v>
      </c>
      <c r="AE965" s="93" t="str">
        <f t="shared" si="301"/>
        <v>NO</v>
      </c>
      <c r="AF965" s="2" t="str">
        <f t="shared" si="302"/>
        <v>NO</v>
      </c>
      <c r="AG965" t="str">
        <f t="shared" si="303"/>
        <v>Late Transaction</v>
      </c>
    </row>
    <row r="966" spans="1:33" x14ac:dyDescent="0.25">
      <c r="A966" s="2">
        <v>965</v>
      </c>
      <c r="B966" s="3" t="str">
        <f t="shared" si="285"/>
        <v>120629-BI-CON</v>
      </c>
      <c r="C966" s="3">
        <v>41089</v>
      </c>
      <c r="D966" s="3">
        <f t="shared" si="287"/>
        <v>41103</v>
      </c>
      <c r="E966" s="3">
        <f t="shared" si="288"/>
        <v>41150</v>
      </c>
      <c r="F966" s="3">
        <f t="shared" si="289"/>
        <v>41090</v>
      </c>
      <c r="G966" s="76">
        <f t="shared" si="290"/>
        <v>2012</v>
      </c>
      <c r="H966" s="76">
        <f t="shared" si="291"/>
        <v>6</v>
      </c>
      <c r="I966" s="76" t="str">
        <f>VLOOKUP(H966,'Lookup Values'!$C$2:$D$13,2,FALSE)</f>
        <v>JUN</v>
      </c>
      <c r="J966" s="76">
        <f t="shared" si="292"/>
        <v>29</v>
      </c>
      <c r="K966" s="76">
        <f t="shared" si="293"/>
        <v>6</v>
      </c>
      <c r="L966" s="76" t="str">
        <f>VLOOKUP(K966,'Lookup Values'!$F$2:$G$8,2,FALSE)</f>
        <v>Friday</v>
      </c>
      <c r="M966" s="3">
        <v>41094</v>
      </c>
      <c r="N966" s="78">
        <f t="shared" si="286"/>
        <v>5</v>
      </c>
      <c r="O966" s="11">
        <v>0.50851692437936713</v>
      </c>
      <c r="P966" s="94">
        <f t="shared" si="294"/>
        <v>12</v>
      </c>
      <c r="Q966" s="94">
        <f t="shared" si="295"/>
        <v>12</v>
      </c>
      <c r="R966" s="94">
        <f t="shared" si="296"/>
        <v>16</v>
      </c>
      <c r="S966" s="94" t="str">
        <f>VLOOKUP(O966,'Lookup Values'!$I$2:$L$8,4,TRUE)</f>
        <v>Afternoon</v>
      </c>
      <c r="T966" t="s">
        <v>110</v>
      </c>
      <c r="U966" t="s">
        <v>111</v>
      </c>
      <c r="V966" t="str">
        <f t="shared" si="297"/>
        <v>Bills: Utilities</v>
      </c>
      <c r="W966" t="s">
        <v>109</v>
      </c>
      <c r="X966" t="s">
        <v>78</v>
      </c>
      <c r="Y966" s="1">
        <v>464</v>
      </c>
      <c r="Z966" s="1" t="str">
        <f t="shared" si="298"/>
        <v>Bills: $464.00</v>
      </c>
      <c r="AA966" s="1">
        <f>IF(Y966="","",ROUND(Y966*'Lookup Values'!$A$2,2))</f>
        <v>41.18</v>
      </c>
      <c r="AB966" s="12" t="str">
        <f t="shared" si="299"/>
        <v>Expense</v>
      </c>
      <c r="AC966" s="2" t="s">
        <v>937</v>
      </c>
      <c r="AD966" s="3">
        <f t="shared" si="300"/>
        <v>41089</v>
      </c>
      <c r="AE966" s="93" t="str">
        <f t="shared" si="301"/>
        <v>NO</v>
      </c>
      <c r="AF966" s="2" t="str">
        <f t="shared" si="302"/>
        <v>NO</v>
      </c>
      <c r="AG966" t="str">
        <f t="shared" si="303"/>
        <v>CRAP Transaction</v>
      </c>
    </row>
    <row r="967" spans="1:33" x14ac:dyDescent="0.25">
      <c r="A967" s="2">
        <v>966</v>
      </c>
      <c r="B967" s="3" t="str">
        <f t="shared" si="285"/>
        <v>070201-ED-ANT</v>
      </c>
      <c r="C967" s="3">
        <v>39114</v>
      </c>
      <c r="D967" s="3">
        <f t="shared" si="287"/>
        <v>39128</v>
      </c>
      <c r="E967" s="3">
        <f t="shared" si="288"/>
        <v>39173</v>
      </c>
      <c r="F967" s="3">
        <f t="shared" si="289"/>
        <v>39141</v>
      </c>
      <c r="G967" s="76">
        <f t="shared" si="290"/>
        <v>2007</v>
      </c>
      <c r="H967" s="76">
        <f t="shared" si="291"/>
        <v>2</v>
      </c>
      <c r="I967" s="76" t="str">
        <f>VLOOKUP(H967,'Lookup Values'!$C$2:$D$13,2,FALSE)</f>
        <v>FEB</v>
      </c>
      <c r="J967" s="76">
        <f t="shared" si="292"/>
        <v>1</v>
      </c>
      <c r="K967" s="76">
        <f t="shared" si="293"/>
        <v>5</v>
      </c>
      <c r="L967" s="76" t="str">
        <f>VLOOKUP(K967,'Lookup Values'!$F$2:$G$8,2,FALSE)</f>
        <v>Thursday</v>
      </c>
      <c r="M967" s="3">
        <v>39116</v>
      </c>
      <c r="N967" s="78">
        <f t="shared" si="286"/>
        <v>2</v>
      </c>
      <c r="O967" s="11">
        <v>0.68996855952482705</v>
      </c>
      <c r="P967" s="94">
        <f t="shared" si="294"/>
        <v>16</v>
      </c>
      <c r="Q967" s="94">
        <f t="shared" si="295"/>
        <v>33</v>
      </c>
      <c r="R967" s="94">
        <f t="shared" si="296"/>
        <v>33</v>
      </c>
      <c r="S967" s="94" t="str">
        <f>VLOOKUP(O967,'Lookup Values'!$I$2:$L$8,4,TRUE)</f>
        <v>Afternoon</v>
      </c>
      <c r="T967" t="s">
        <v>86</v>
      </c>
      <c r="U967" t="s">
        <v>87</v>
      </c>
      <c r="V967" t="str">
        <f t="shared" si="297"/>
        <v>Education: Tango Lessons</v>
      </c>
      <c r="W967" t="s">
        <v>85</v>
      </c>
      <c r="X967" t="s">
        <v>91</v>
      </c>
      <c r="Y967" s="1">
        <v>65</v>
      </c>
      <c r="Z967" s="1" t="str">
        <f t="shared" si="298"/>
        <v>Education: $65.00</v>
      </c>
      <c r="AA967" s="1">
        <f>IF(Y967="","",ROUND(Y967*'Lookup Values'!$A$2,2))</f>
        <v>5.77</v>
      </c>
      <c r="AB967" s="12" t="str">
        <f t="shared" si="299"/>
        <v>Expense</v>
      </c>
      <c r="AC967" s="2" t="s">
        <v>938</v>
      </c>
      <c r="AD967" s="3">
        <f t="shared" si="300"/>
        <v>39114</v>
      </c>
      <c r="AE967" s="93" t="str">
        <f t="shared" si="301"/>
        <v>NO</v>
      </c>
      <c r="AF967" s="2" t="str">
        <f t="shared" si="302"/>
        <v>NO</v>
      </c>
      <c r="AG967" t="str">
        <f t="shared" si="303"/>
        <v>Late Transaction</v>
      </c>
    </row>
    <row r="968" spans="1:33" x14ac:dyDescent="0.25">
      <c r="A968" s="2">
        <v>967</v>
      </c>
      <c r="B968" s="3" t="str">
        <f t="shared" si="285"/>
        <v>090920-EN-MOE</v>
      </c>
      <c r="C968" s="3">
        <v>40076</v>
      </c>
      <c r="D968" s="3">
        <f t="shared" si="287"/>
        <v>40088</v>
      </c>
      <c r="E968" s="3">
        <f t="shared" si="288"/>
        <v>40137</v>
      </c>
      <c r="F968" s="3">
        <f t="shared" si="289"/>
        <v>40086</v>
      </c>
      <c r="G968" s="76">
        <f t="shared" si="290"/>
        <v>2009</v>
      </c>
      <c r="H968" s="76">
        <f t="shared" si="291"/>
        <v>9</v>
      </c>
      <c r="I968" s="76" t="str">
        <f>VLOOKUP(H968,'Lookup Values'!$C$2:$D$13,2,FALSE)</f>
        <v>SEP</v>
      </c>
      <c r="J968" s="76">
        <f t="shared" si="292"/>
        <v>20</v>
      </c>
      <c r="K968" s="76">
        <f t="shared" si="293"/>
        <v>1</v>
      </c>
      <c r="L968" s="76" t="str">
        <f>VLOOKUP(K968,'Lookup Values'!$F$2:$G$8,2,FALSE)</f>
        <v>Sunday</v>
      </c>
      <c r="M968" s="3">
        <v>40080</v>
      </c>
      <c r="N968" s="78">
        <f t="shared" si="286"/>
        <v>4</v>
      </c>
      <c r="O968" s="11">
        <v>2.8796407999448603E-2</v>
      </c>
      <c r="P968" s="94">
        <f t="shared" si="294"/>
        <v>0</v>
      </c>
      <c r="Q968" s="94">
        <f t="shared" si="295"/>
        <v>41</v>
      </c>
      <c r="R968" s="94">
        <f t="shared" si="296"/>
        <v>28</v>
      </c>
      <c r="S968" s="94" t="str">
        <f>VLOOKUP(O968,'Lookup Values'!$I$2:$L$8,4,TRUE)</f>
        <v>Dead of Night</v>
      </c>
      <c r="T968" t="s">
        <v>76</v>
      </c>
      <c r="U968" t="s">
        <v>77</v>
      </c>
      <c r="V968" t="str">
        <f t="shared" si="297"/>
        <v>Entertainment: Alcohol</v>
      </c>
      <c r="W968" t="s">
        <v>75</v>
      </c>
      <c r="X968" t="s">
        <v>88</v>
      </c>
      <c r="Y968" s="1">
        <v>209</v>
      </c>
      <c r="Z968" s="1" t="str">
        <f t="shared" si="298"/>
        <v>Entertainment: $209.00</v>
      </c>
      <c r="AA968" s="1">
        <f>IF(Y968="","",ROUND(Y968*'Lookup Values'!$A$2,2))</f>
        <v>18.55</v>
      </c>
      <c r="AB968" s="12" t="str">
        <f t="shared" si="299"/>
        <v>Expense</v>
      </c>
      <c r="AC968" s="2" t="s">
        <v>427</v>
      </c>
      <c r="AD968" s="3">
        <f t="shared" si="300"/>
        <v>40076</v>
      </c>
      <c r="AE968" s="93" t="str">
        <f t="shared" si="301"/>
        <v>NO</v>
      </c>
      <c r="AF968" s="2" t="str">
        <f t="shared" si="302"/>
        <v>NO</v>
      </c>
      <c r="AG968" t="str">
        <f t="shared" si="303"/>
        <v>Awesome Transaction</v>
      </c>
    </row>
    <row r="969" spans="1:33" x14ac:dyDescent="0.25">
      <c r="A969" s="2">
        <v>968</v>
      </c>
      <c r="B969" s="3" t="str">
        <f t="shared" si="285"/>
        <v>080808-SH-AMA</v>
      </c>
      <c r="C969" s="3">
        <v>39668</v>
      </c>
      <c r="D969" s="3">
        <f t="shared" si="287"/>
        <v>39682</v>
      </c>
      <c r="E969" s="3">
        <f t="shared" si="288"/>
        <v>39729</v>
      </c>
      <c r="F969" s="3">
        <f t="shared" si="289"/>
        <v>39691</v>
      </c>
      <c r="G969" s="76">
        <f t="shared" si="290"/>
        <v>2008</v>
      </c>
      <c r="H969" s="76">
        <f t="shared" si="291"/>
        <v>8</v>
      </c>
      <c r="I969" s="76" t="str">
        <f>VLOOKUP(H969,'Lookup Values'!$C$2:$D$13,2,FALSE)</f>
        <v>AUG</v>
      </c>
      <c r="J969" s="76">
        <f t="shared" si="292"/>
        <v>8</v>
      </c>
      <c r="K969" s="76">
        <f t="shared" si="293"/>
        <v>6</v>
      </c>
      <c r="L969" s="76" t="str">
        <f>VLOOKUP(K969,'Lookup Values'!$F$2:$G$8,2,FALSE)</f>
        <v>Friday</v>
      </c>
      <c r="M969" s="3">
        <v>39671</v>
      </c>
      <c r="N969" s="78">
        <f t="shared" si="286"/>
        <v>3</v>
      </c>
      <c r="O969" s="11">
        <v>0.65097649352230624</v>
      </c>
      <c r="P969" s="94">
        <f t="shared" si="294"/>
        <v>15</v>
      </c>
      <c r="Q969" s="94">
        <f t="shared" si="295"/>
        <v>37</v>
      </c>
      <c r="R969" s="94">
        <f t="shared" si="296"/>
        <v>24</v>
      </c>
      <c r="S969" s="94" t="str">
        <f>VLOOKUP(O969,'Lookup Values'!$I$2:$L$8,4,TRUE)</f>
        <v>Afternoon</v>
      </c>
      <c r="T969" t="s">
        <v>83</v>
      </c>
      <c r="U969" t="s">
        <v>84</v>
      </c>
      <c r="V969" t="str">
        <f t="shared" si="297"/>
        <v>Shopping: Electronics</v>
      </c>
      <c r="W969" t="s">
        <v>82</v>
      </c>
      <c r="X969" t="s">
        <v>78</v>
      </c>
      <c r="Y969" s="1">
        <v>76</v>
      </c>
      <c r="Z969" s="1" t="str">
        <f t="shared" si="298"/>
        <v>Shopping: $76.00</v>
      </c>
      <c r="AA969" s="1">
        <f>IF(Y969="","",ROUND(Y969*'Lookup Values'!$A$2,2))</f>
        <v>6.75</v>
      </c>
      <c r="AB969" s="12" t="str">
        <f t="shared" si="299"/>
        <v>Expense</v>
      </c>
      <c r="AC969" s="2" t="s">
        <v>939</v>
      </c>
      <c r="AD969" s="3">
        <f t="shared" si="300"/>
        <v>39668</v>
      </c>
      <c r="AE969" s="93" t="str">
        <f t="shared" si="301"/>
        <v>YES</v>
      </c>
      <c r="AF969" s="2" t="str">
        <f t="shared" si="302"/>
        <v>NO</v>
      </c>
      <c r="AG969" t="str">
        <f t="shared" si="303"/>
        <v>Awesome Transaction</v>
      </c>
    </row>
    <row r="970" spans="1:33" x14ac:dyDescent="0.25">
      <c r="A970" s="2">
        <v>969</v>
      </c>
      <c r="B970" s="3" t="str">
        <f t="shared" si="285"/>
        <v>110711-SH-AMA</v>
      </c>
      <c r="C970" s="3">
        <v>40735</v>
      </c>
      <c r="D970" s="3">
        <f t="shared" si="287"/>
        <v>40749</v>
      </c>
      <c r="E970" s="3">
        <f t="shared" si="288"/>
        <v>40797</v>
      </c>
      <c r="F970" s="3">
        <f t="shared" si="289"/>
        <v>40755</v>
      </c>
      <c r="G970" s="76">
        <f t="shared" si="290"/>
        <v>2011</v>
      </c>
      <c r="H970" s="76">
        <f t="shared" si="291"/>
        <v>7</v>
      </c>
      <c r="I970" s="76" t="str">
        <f>VLOOKUP(H970,'Lookup Values'!$C$2:$D$13,2,FALSE)</f>
        <v>JUL</v>
      </c>
      <c r="J970" s="76">
        <f t="shared" si="292"/>
        <v>11</v>
      </c>
      <c r="K970" s="76">
        <f t="shared" si="293"/>
        <v>2</v>
      </c>
      <c r="L970" s="76" t="str">
        <f>VLOOKUP(K970,'Lookup Values'!$F$2:$G$8,2,FALSE)</f>
        <v>Monday</v>
      </c>
      <c r="M970" s="3">
        <v>40742</v>
      </c>
      <c r="N970" s="78">
        <f t="shared" si="286"/>
        <v>7</v>
      </c>
      <c r="O970" s="11">
        <v>0.3596434210301408</v>
      </c>
      <c r="P970" s="94">
        <f t="shared" si="294"/>
        <v>8</v>
      </c>
      <c r="Q970" s="94">
        <f t="shared" si="295"/>
        <v>37</v>
      </c>
      <c r="R970" s="94">
        <f t="shared" si="296"/>
        <v>53</v>
      </c>
      <c r="S970" s="94" t="str">
        <f>VLOOKUP(O970,'Lookup Values'!$I$2:$L$8,4,TRUE)</f>
        <v>Morning</v>
      </c>
      <c r="T970" t="s">
        <v>83</v>
      </c>
      <c r="U970" t="s">
        <v>84</v>
      </c>
      <c r="V970" t="str">
        <f t="shared" si="297"/>
        <v>Shopping: Electronics</v>
      </c>
      <c r="W970" t="s">
        <v>82</v>
      </c>
      <c r="X970" t="s">
        <v>91</v>
      </c>
      <c r="Y970" s="1">
        <v>61</v>
      </c>
      <c r="Z970" s="1" t="str">
        <f t="shared" si="298"/>
        <v>Shopping: $61.00</v>
      </c>
      <c r="AA970" s="1">
        <f>IF(Y970="","",ROUND(Y970*'Lookup Values'!$A$2,2))</f>
        <v>5.41</v>
      </c>
      <c r="AB970" s="12" t="str">
        <f t="shared" si="299"/>
        <v>Expense</v>
      </c>
      <c r="AC970" s="2" t="s">
        <v>940</v>
      </c>
      <c r="AD970" s="3">
        <f t="shared" si="300"/>
        <v>40735</v>
      </c>
      <c r="AE970" s="93" t="str">
        <f t="shared" si="301"/>
        <v>YES</v>
      </c>
      <c r="AF970" s="2" t="str">
        <f t="shared" si="302"/>
        <v>NO</v>
      </c>
      <c r="AG970" t="str">
        <f t="shared" si="303"/>
        <v>CRAP Transaction</v>
      </c>
    </row>
    <row r="971" spans="1:33" x14ac:dyDescent="0.25">
      <c r="A971" s="2">
        <v>970</v>
      </c>
      <c r="B971" s="3" t="str">
        <f t="shared" si="285"/>
        <v>090801-EN-FAN</v>
      </c>
      <c r="C971" s="3">
        <v>40026</v>
      </c>
      <c r="D971" s="3">
        <f t="shared" si="287"/>
        <v>40039</v>
      </c>
      <c r="E971" s="3">
        <f t="shared" si="288"/>
        <v>40087</v>
      </c>
      <c r="F971" s="3">
        <f t="shared" si="289"/>
        <v>40056</v>
      </c>
      <c r="G971" s="76">
        <f t="shared" si="290"/>
        <v>2009</v>
      </c>
      <c r="H971" s="76">
        <f t="shared" si="291"/>
        <v>8</v>
      </c>
      <c r="I971" s="76" t="str">
        <f>VLOOKUP(H971,'Lookup Values'!$C$2:$D$13,2,FALSE)</f>
        <v>AUG</v>
      </c>
      <c r="J971" s="76">
        <f t="shared" si="292"/>
        <v>1</v>
      </c>
      <c r="K971" s="76">
        <f t="shared" si="293"/>
        <v>7</v>
      </c>
      <c r="L971" s="76" t="str">
        <f>VLOOKUP(K971,'Lookup Values'!$F$2:$G$8,2,FALSE)</f>
        <v>Saturday</v>
      </c>
      <c r="M971" s="3">
        <v>40029</v>
      </c>
      <c r="N971" s="78">
        <f t="shared" si="286"/>
        <v>3</v>
      </c>
      <c r="O971" s="11">
        <v>0.75192568159035844</v>
      </c>
      <c r="P971" s="94">
        <f t="shared" si="294"/>
        <v>18</v>
      </c>
      <c r="Q971" s="94">
        <f t="shared" si="295"/>
        <v>2</v>
      </c>
      <c r="R971" s="94">
        <f t="shared" si="296"/>
        <v>46</v>
      </c>
      <c r="S971" s="94" t="str">
        <f>VLOOKUP(O971,'Lookup Values'!$I$2:$L$8,4,TRUE)</f>
        <v>Evening</v>
      </c>
      <c r="T971" t="s">
        <v>76</v>
      </c>
      <c r="U971" t="s">
        <v>90</v>
      </c>
      <c r="V971" t="str">
        <f t="shared" si="297"/>
        <v>Entertainment: Movies</v>
      </c>
      <c r="W971" t="s">
        <v>89</v>
      </c>
      <c r="X971" t="s">
        <v>91</v>
      </c>
      <c r="Y971" s="1">
        <v>134</v>
      </c>
      <c r="Z971" s="1" t="str">
        <f t="shared" si="298"/>
        <v>Entertainment: $134.00</v>
      </c>
      <c r="AA971" s="1">
        <f>IF(Y971="","",ROUND(Y971*'Lookup Values'!$A$2,2))</f>
        <v>11.89</v>
      </c>
      <c r="AB971" s="12" t="str">
        <f t="shared" si="299"/>
        <v>Expense</v>
      </c>
      <c r="AC971" s="2" t="s">
        <v>645</v>
      </c>
      <c r="AD971" s="3">
        <f t="shared" si="300"/>
        <v>40026</v>
      </c>
      <c r="AE971" s="93" t="str">
        <f t="shared" si="301"/>
        <v>NO</v>
      </c>
      <c r="AF971" s="2" t="str">
        <f t="shared" si="302"/>
        <v>NO</v>
      </c>
      <c r="AG971" t="str">
        <f t="shared" si="303"/>
        <v>Awesome Transaction</v>
      </c>
    </row>
    <row r="972" spans="1:33" x14ac:dyDescent="0.25">
      <c r="A972" s="2">
        <v>971</v>
      </c>
      <c r="B972" s="3" t="str">
        <f t="shared" si="285"/>
        <v>101013-IN-EZE</v>
      </c>
      <c r="C972" s="3">
        <v>40464</v>
      </c>
      <c r="D972" s="3">
        <f t="shared" si="287"/>
        <v>40478</v>
      </c>
      <c r="E972" s="3">
        <f t="shared" si="288"/>
        <v>40525</v>
      </c>
      <c r="F972" s="3">
        <f t="shared" si="289"/>
        <v>40482</v>
      </c>
      <c r="G972" s="76">
        <f t="shared" si="290"/>
        <v>2010</v>
      </c>
      <c r="H972" s="76">
        <f t="shared" si="291"/>
        <v>10</v>
      </c>
      <c r="I972" s="76" t="str">
        <f>VLOOKUP(H972,'Lookup Values'!$C$2:$D$13,2,FALSE)</f>
        <v>OCT</v>
      </c>
      <c r="J972" s="76">
        <f t="shared" si="292"/>
        <v>13</v>
      </c>
      <c r="K972" s="76">
        <f t="shared" si="293"/>
        <v>4</v>
      </c>
      <c r="L972" s="76" t="str">
        <f>VLOOKUP(K972,'Lookup Values'!$F$2:$G$8,2,FALSE)</f>
        <v>Wednesday</v>
      </c>
      <c r="M972" s="3">
        <v>40467</v>
      </c>
      <c r="N972" s="78">
        <f t="shared" si="286"/>
        <v>3</v>
      </c>
      <c r="O972" s="11">
        <v>0.56081807508328307</v>
      </c>
      <c r="P972" s="94">
        <f t="shared" si="294"/>
        <v>13</v>
      </c>
      <c r="Q972" s="94">
        <f t="shared" si="295"/>
        <v>27</v>
      </c>
      <c r="R972" s="94">
        <f t="shared" si="296"/>
        <v>35</v>
      </c>
      <c r="S972" s="94" t="str">
        <f>VLOOKUP(O972,'Lookup Values'!$I$2:$L$8,4,TRUE)</f>
        <v>Afternoon</v>
      </c>
      <c r="T972" t="s">
        <v>158</v>
      </c>
      <c r="U972" t="s">
        <v>159</v>
      </c>
      <c r="V972" t="str">
        <f t="shared" si="297"/>
        <v>Income: Salary</v>
      </c>
      <c r="W972" t="s">
        <v>162</v>
      </c>
      <c r="X972" t="s">
        <v>91</v>
      </c>
      <c r="Y972" s="1">
        <v>167</v>
      </c>
      <c r="Z972" s="1" t="str">
        <f t="shared" si="298"/>
        <v>Income: $167.00</v>
      </c>
      <c r="AA972" s="1">
        <f>IF(Y972="","",ROUND(Y972*'Lookup Values'!$A$2,2))</f>
        <v>14.82</v>
      </c>
      <c r="AB972" s="12" t="str">
        <f t="shared" si="299"/>
        <v>Income</v>
      </c>
      <c r="AC972" s="2" t="s">
        <v>941</v>
      </c>
      <c r="AD972" s="3">
        <f t="shared" si="300"/>
        <v>40464</v>
      </c>
      <c r="AE972" s="93" t="str">
        <f t="shared" si="301"/>
        <v>NO</v>
      </c>
      <c r="AF972" s="2" t="str">
        <f t="shared" si="302"/>
        <v>NO</v>
      </c>
      <c r="AG972" t="str">
        <f t="shared" si="303"/>
        <v>Late Transaction</v>
      </c>
    </row>
    <row r="973" spans="1:33" x14ac:dyDescent="0.25">
      <c r="A973" s="2">
        <v>972</v>
      </c>
      <c r="B973" s="3" t="str">
        <f t="shared" si="285"/>
        <v>120313-HE-FRE</v>
      </c>
      <c r="C973" s="3">
        <v>40981</v>
      </c>
      <c r="D973" s="3">
        <f t="shared" si="287"/>
        <v>40995</v>
      </c>
      <c r="E973" s="3">
        <f t="shared" si="288"/>
        <v>41042</v>
      </c>
      <c r="F973" s="3">
        <f t="shared" si="289"/>
        <v>40999</v>
      </c>
      <c r="G973" s="76">
        <f t="shared" si="290"/>
        <v>2012</v>
      </c>
      <c r="H973" s="76">
        <f t="shared" si="291"/>
        <v>3</v>
      </c>
      <c r="I973" s="76" t="str">
        <f>VLOOKUP(H973,'Lookup Values'!$C$2:$D$13,2,FALSE)</f>
        <v>MAR</v>
      </c>
      <c r="J973" s="76">
        <f t="shared" si="292"/>
        <v>13</v>
      </c>
      <c r="K973" s="76">
        <f t="shared" si="293"/>
        <v>3</v>
      </c>
      <c r="L973" s="76" t="str">
        <f>VLOOKUP(K973,'Lookup Values'!$F$2:$G$8,2,FALSE)</f>
        <v>Tuesday</v>
      </c>
      <c r="M973" s="3">
        <v>40983</v>
      </c>
      <c r="N973" s="78">
        <f t="shared" si="286"/>
        <v>2</v>
      </c>
      <c r="O973" s="11">
        <v>0.52648371190231569</v>
      </c>
      <c r="P973" s="94">
        <f t="shared" si="294"/>
        <v>12</v>
      </c>
      <c r="Q973" s="94">
        <f t="shared" si="295"/>
        <v>38</v>
      </c>
      <c r="R973" s="94">
        <f t="shared" si="296"/>
        <v>8</v>
      </c>
      <c r="S973" s="94" t="str">
        <f>VLOOKUP(O973,'Lookup Values'!$I$2:$L$8,4,TRUE)</f>
        <v>Afternoon</v>
      </c>
      <c r="T973" t="s">
        <v>107</v>
      </c>
      <c r="U973" t="s">
        <v>108</v>
      </c>
      <c r="V973" t="str">
        <f t="shared" si="297"/>
        <v>Health: Insurance Premium</v>
      </c>
      <c r="W973" t="s">
        <v>106</v>
      </c>
      <c r="X973" t="s">
        <v>88</v>
      </c>
      <c r="Y973" s="1">
        <v>307</v>
      </c>
      <c r="Z973" s="1" t="str">
        <f t="shared" si="298"/>
        <v>Health: $307.00</v>
      </c>
      <c r="AA973" s="1">
        <f>IF(Y973="","",ROUND(Y973*'Lookup Values'!$A$2,2))</f>
        <v>27.25</v>
      </c>
      <c r="AB973" s="12" t="str">
        <f t="shared" si="299"/>
        <v>Expense</v>
      </c>
      <c r="AC973" s="2" t="s">
        <v>362</v>
      </c>
      <c r="AD973" s="3">
        <f t="shared" si="300"/>
        <v>40981</v>
      </c>
      <c r="AE973" s="93" t="str">
        <f t="shared" si="301"/>
        <v>NO</v>
      </c>
      <c r="AF973" s="2" t="str">
        <f t="shared" si="302"/>
        <v>NO</v>
      </c>
      <c r="AG973" t="str">
        <f t="shared" si="303"/>
        <v>CRAP Transaction</v>
      </c>
    </row>
    <row r="974" spans="1:33" x14ac:dyDescent="0.25">
      <c r="A974" s="2">
        <v>973</v>
      </c>
      <c r="B974" s="3" t="str">
        <f t="shared" si="285"/>
        <v>080918-EN-FAN</v>
      </c>
      <c r="C974" s="3">
        <v>39709</v>
      </c>
      <c r="D974" s="3">
        <f t="shared" si="287"/>
        <v>39723</v>
      </c>
      <c r="E974" s="3">
        <f t="shared" si="288"/>
        <v>39770</v>
      </c>
      <c r="F974" s="3">
        <f t="shared" si="289"/>
        <v>39721</v>
      </c>
      <c r="G974" s="76">
        <f t="shared" si="290"/>
        <v>2008</v>
      </c>
      <c r="H974" s="76">
        <f t="shared" si="291"/>
        <v>9</v>
      </c>
      <c r="I974" s="76" t="str">
        <f>VLOOKUP(H974,'Lookup Values'!$C$2:$D$13,2,FALSE)</f>
        <v>SEP</v>
      </c>
      <c r="J974" s="76">
        <f t="shared" si="292"/>
        <v>18</v>
      </c>
      <c r="K974" s="76">
        <f t="shared" si="293"/>
        <v>5</v>
      </c>
      <c r="L974" s="76" t="str">
        <f>VLOOKUP(K974,'Lookup Values'!$F$2:$G$8,2,FALSE)</f>
        <v>Thursday</v>
      </c>
      <c r="M974" s="3">
        <v>39713</v>
      </c>
      <c r="N974" s="78">
        <f t="shared" si="286"/>
        <v>4</v>
      </c>
      <c r="O974" s="11">
        <v>0.11311247191359819</v>
      </c>
      <c r="P974" s="94">
        <f t="shared" si="294"/>
        <v>2</v>
      </c>
      <c r="Q974" s="94">
        <f t="shared" si="295"/>
        <v>42</v>
      </c>
      <c r="R974" s="94">
        <f t="shared" si="296"/>
        <v>53</v>
      </c>
      <c r="S974" s="94" t="str">
        <f>VLOOKUP(O974,'Lookup Values'!$I$2:$L$8,4,TRUE)</f>
        <v>Dead of Night</v>
      </c>
      <c r="T974" t="s">
        <v>76</v>
      </c>
      <c r="U974" t="s">
        <v>90</v>
      </c>
      <c r="V974" t="str">
        <f t="shared" si="297"/>
        <v>Entertainment: Movies</v>
      </c>
      <c r="W974" t="s">
        <v>89</v>
      </c>
      <c r="X974" t="s">
        <v>88</v>
      </c>
      <c r="Y974" s="1">
        <v>76</v>
      </c>
      <c r="Z974" s="1" t="str">
        <f t="shared" si="298"/>
        <v>Entertainment: $76.00</v>
      </c>
      <c r="AA974" s="1">
        <f>IF(Y974="","",ROUND(Y974*'Lookup Values'!$A$2,2))</f>
        <v>6.75</v>
      </c>
      <c r="AB974" s="12" t="str">
        <f t="shared" si="299"/>
        <v>Expense</v>
      </c>
      <c r="AC974" s="2" t="s">
        <v>650</v>
      </c>
      <c r="AD974" s="3">
        <f t="shared" si="300"/>
        <v>39709</v>
      </c>
      <c r="AE974" s="93" t="str">
        <f t="shared" si="301"/>
        <v>NO</v>
      </c>
      <c r="AF974" s="2" t="str">
        <f t="shared" si="302"/>
        <v>NO</v>
      </c>
      <c r="AG974" t="str">
        <f t="shared" si="303"/>
        <v>Awesome Transaction</v>
      </c>
    </row>
    <row r="975" spans="1:33" x14ac:dyDescent="0.25">
      <c r="A975" s="2">
        <v>974</v>
      </c>
      <c r="B975" s="3" t="str">
        <f t="shared" si="285"/>
        <v>100516-IN-LEG</v>
      </c>
      <c r="C975" s="3">
        <v>40314</v>
      </c>
      <c r="D975" s="3">
        <f t="shared" si="287"/>
        <v>40326</v>
      </c>
      <c r="E975" s="3">
        <f t="shared" si="288"/>
        <v>40375</v>
      </c>
      <c r="F975" s="3">
        <f t="shared" si="289"/>
        <v>40329</v>
      </c>
      <c r="G975" s="76">
        <f t="shared" si="290"/>
        <v>2010</v>
      </c>
      <c r="H975" s="76">
        <f t="shared" si="291"/>
        <v>5</v>
      </c>
      <c r="I975" s="76" t="str">
        <f>VLOOKUP(H975,'Lookup Values'!$C$2:$D$13,2,FALSE)</f>
        <v>MAY</v>
      </c>
      <c r="J975" s="76">
        <f t="shared" si="292"/>
        <v>16</v>
      </c>
      <c r="K975" s="76">
        <f t="shared" si="293"/>
        <v>1</v>
      </c>
      <c r="L975" s="76" t="str">
        <f>VLOOKUP(K975,'Lookup Values'!$F$2:$G$8,2,FALSE)</f>
        <v>Sunday</v>
      </c>
      <c r="M975" s="3">
        <v>40316</v>
      </c>
      <c r="N975" s="78">
        <f t="shared" si="286"/>
        <v>2</v>
      </c>
      <c r="O975" s="11">
        <v>0.81053516996993524</v>
      </c>
      <c r="P975" s="94">
        <f t="shared" si="294"/>
        <v>19</v>
      </c>
      <c r="Q975" s="94">
        <f t="shared" si="295"/>
        <v>27</v>
      </c>
      <c r="R975" s="94">
        <f t="shared" si="296"/>
        <v>10</v>
      </c>
      <c r="S975" s="94" t="str">
        <f>VLOOKUP(O975,'Lookup Values'!$I$2:$L$8,4,TRUE)</f>
        <v>Evening</v>
      </c>
      <c r="T975" t="s">
        <v>158</v>
      </c>
      <c r="U975" t="s">
        <v>160</v>
      </c>
      <c r="V975" t="str">
        <f t="shared" si="297"/>
        <v>Income: Freelance Project</v>
      </c>
      <c r="W975" t="s">
        <v>163</v>
      </c>
      <c r="X975" t="s">
        <v>91</v>
      </c>
      <c r="Y975" s="1">
        <v>8</v>
      </c>
      <c r="Z975" s="1" t="str">
        <f t="shared" si="298"/>
        <v>Income: $8.00</v>
      </c>
      <c r="AA975" s="1">
        <f>IF(Y975="","",ROUND(Y975*'Lookup Values'!$A$2,2))</f>
        <v>0.71</v>
      </c>
      <c r="AB975" s="12" t="str">
        <f t="shared" si="299"/>
        <v>Income</v>
      </c>
      <c r="AC975" s="2" t="s">
        <v>942</v>
      </c>
      <c r="AD975" s="3">
        <f t="shared" si="300"/>
        <v>40314</v>
      </c>
      <c r="AE975" s="93" t="str">
        <f t="shared" si="301"/>
        <v>NO</v>
      </c>
      <c r="AF975" s="2" t="str">
        <f t="shared" si="302"/>
        <v>NO</v>
      </c>
      <c r="AG975" t="str">
        <f t="shared" si="303"/>
        <v>Late Transaction</v>
      </c>
    </row>
    <row r="976" spans="1:33" x14ac:dyDescent="0.25">
      <c r="A976" s="2">
        <v>975</v>
      </c>
      <c r="B976" s="3" t="str">
        <f t="shared" si="285"/>
        <v>090915-HO-BED</v>
      </c>
      <c r="C976" s="3">
        <v>40071</v>
      </c>
      <c r="D976" s="3">
        <f t="shared" si="287"/>
        <v>40085</v>
      </c>
      <c r="E976" s="3">
        <f t="shared" si="288"/>
        <v>40132</v>
      </c>
      <c r="F976" s="3">
        <f t="shared" si="289"/>
        <v>40086</v>
      </c>
      <c r="G976" s="76">
        <f t="shared" si="290"/>
        <v>2009</v>
      </c>
      <c r="H976" s="76">
        <f t="shared" si="291"/>
        <v>9</v>
      </c>
      <c r="I976" s="76" t="str">
        <f>VLOOKUP(H976,'Lookup Values'!$C$2:$D$13,2,FALSE)</f>
        <v>SEP</v>
      </c>
      <c r="J976" s="76">
        <f t="shared" si="292"/>
        <v>15</v>
      </c>
      <c r="K976" s="76">
        <f t="shared" si="293"/>
        <v>3</v>
      </c>
      <c r="L976" s="76" t="str">
        <f>VLOOKUP(K976,'Lookup Values'!$F$2:$G$8,2,FALSE)</f>
        <v>Tuesday</v>
      </c>
      <c r="M976" s="3">
        <v>40073</v>
      </c>
      <c r="N976" s="78">
        <f t="shared" si="286"/>
        <v>2</v>
      </c>
      <c r="O976" s="11">
        <v>0.57363471407049893</v>
      </c>
      <c r="P976" s="94">
        <f t="shared" si="294"/>
        <v>13</v>
      </c>
      <c r="Q976" s="94">
        <f t="shared" si="295"/>
        <v>46</v>
      </c>
      <c r="R976" s="94">
        <f t="shared" si="296"/>
        <v>2</v>
      </c>
      <c r="S976" s="94" t="str">
        <f>VLOOKUP(O976,'Lookup Values'!$I$2:$L$8,4,TRUE)</f>
        <v>Afternoon</v>
      </c>
      <c r="T976" t="s">
        <v>100</v>
      </c>
      <c r="U976" t="s">
        <v>101</v>
      </c>
      <c r="V976" t="str">
        <f t="shared" si="297"/>
        <v>Home: Cleaning Supplies</v>
      </c>
      <c r="W976" t="s">
        <v>99</v>
      </c>
      <c r="X976" t="s">
        <v>88</v>
      </c>
      <c r="Y976" s="1">
        <v>368</v>
      </c>
      <c r="Z976" s="1" t="str">
        <f t="shared" si="298"/>
        <v>Home: $368.00</v>
      </c>
      <c r="AA976" s="1">
        <f>IF(Y976="","",ROUND(Y976*'Lookup Values'!$A$2,2))</f>
        <v>32.659999999999997</v>
      </c>
      <c r="AB976" s="12" t="str">
        <f t="shared" si="299"/>
        <v>Expense</v>
      </c>
      <c r="AC976" s="2" t="s">
        <v>315</v>
      </c>
      <c r="AD976" s="3">
        <f t="shared" si="300"/>
        <v>40071</v>
      </c>
      <c r="AE976" s="93" t="str">
        <f t="shared" si="301"/>
        <v>NO</v>
      </c>
      <c r="AF976" s="2" t="str">
        <f t="shared" si="302"/>
        <v>NO</v>
      </c>
      <c r="AG976" t="str">
        <f t="shared" si="303"/>
        <v>Late Transaction</v>
      </c>
    </row>
    <row r="977" spans="1:33" x14ac:dyDescent="0.25">
      <c r="A977" s="2">
        <v>976</v>
      </c>
      <c r="B977" s="3" t="str">
        <f t="shared" si="285"/>
        <v>080713-TR-MTA</v>
      </c>
      <c r="C977" s="3">
        <v>39642</v>
      </c>
      <c r="D977" s="3">
        <f t="shared" si="287"/>
        <v>39654</v>
      </c>
      <c r="E977" s="3">
        <f t="shared" si="288"/>
        <v>39704</v>
      </c>
      <c r="F977" s="3">
        <f t="shared" si="289"/>
        <v>39660</v>
      </c>
      <c r="G977" s="76">
        <f t="shared" si="290"/>
        <v>2008</v>
      </c>
      <c r="H977" s="76">
        <f t="shared" si="291"/>
        <v>7</v>
      </c>
      <c r="I977" s="76" t="str">
        <f>VLOOKUP(H977,'Lookup Values'!$C$2:$D$13,2,FALSE)</f>
        <v>JUL</v>
      </c>
      <c r="J977" s="76">
        <f t="shared" si="292"/>
        <v>13</v>
      </c>
      <c r="K977" s="76">
        <f t="shared" si="293"/>
        <v>1</v>
      </c>
      <c r="L977" s="76" t="str">
        <f>VLOOKUP(K977,'Lookup Values'!$F$2:$G$8,2,FALSE)</f>
        <v>Sunday</v>
      </c>
      <c r="M977" s="3">
        <v>39651</v>
      </c>
      <c r="N977" s="78">
        <f t="shared" si="286"/>
        <v>9</v>
      </c>
      <c r="O977" s="11">
        <v>0.43820158681273347</v>
      </c>
      <c r="P977" s="94">
        <f t="shared" si="294"/>
        <v>10</v>
      </c>
      <c r="Q977" s="94">
        <f t="shared" si="295"/>
        <v>31</v>
      </c>
      <c r="R977" s="94">
        <f t="shared" si="296"/>
        <v>1</v>
      </c>
      <c r="S977" s="94" t="str">
        <f>VLOOKUP(O977,'Lookup Values'!$I$2:$L$8,4,TRUE)</f>
        <v>Late Morning</v>
      </c>
      <c r="T977" t="s">
        <v>95</v>
      </c>
      <c r="U977" t="s">
        <v>96</v>
      </c>
      <c r="V977" t="str">
        <f t="shared" si="297"/>
        <v>Transportation: Subway</v>
      </c>
      <c r="W977" t="s">
        <v>94</v>
      </c>
      <c r="X977" t="s">
        <v>88</v>
      </c>
      <c r="Y977" s="1">
        <v>97</v>
      </c>
      <c r="Z977" s="1" t="str">
        <f t="shared" si="298"/>
        <v>Transportation: $97.00</v>
      </c>
      <c r="AA977" s="1">
        <f>IF(Y977="","",ROUND(Y977*'Lookup Values'!$A$2,2))</f>
        <v>8.61</v>
      </c>
      <c r="AB977" s="12" t="str">
        <f t="shared" si="299"/>
        <v>Expense</v>
      </c>
      <c r="AC977" s="2" t="s">
        <v>397</v>
      </c>
      <c r="AD977" s="3">
        <f t="shared" si="300"/>
        <v>39642</v>
      </c>
      <c r="AE977" s="93" t="str">
        <f t="shared" si="301"/>
        <v>YES</v>
      </c>
      <c r="AF977" s="2" t="str">
        <f t="shared" si="302"/>
        <v>NO</v>
      </c>
      <c r="AG977" t="str">
        <f t="shared" si="303"/>
        <v>Late Transaction</v>
      </c>
    </row>
    <row r="978" spans="1:33" x14ac:dyDescent="0.25">
      <c r="A978" s="2">
        <v>977</v>
      </c>
      <c r="B978" s="3" t="str">
        <f t="shared" si="285"/>
        <v>110326-IN-EZE</v>
      </c>
      <c r="C978" s="3">
        <v>40628</v>
      </c>
      <c r="D978" s="3">
        <f t="shared" si="287"/>
        <v>40641</v>
      </c>
      <c r="E978" s="3">
        <f t="shared" si="288"/>
        <v>40689</v>
      </c>
      <c r="F978" s="3">
        <f t="shared" si="289"/>
        <v>40633</v>
      </c>
      <c r="G978" s="76">
        <f t="shared" si="290"/>
        <v>2011</v>
      </c>
      <c r="H978" s="76">
        <f t="shared" si="291"/>
        <v>3</v>
      </c>
      <c r="I978" s="76" t="str">
        <f>VLOOKUP(H978,'Lookup Values'!$C$2:$D$13,2,FALSE)</f>
        <v>MAR</v>
      </c>
      <c r="J978" s="76">
        <f t="shared" si="292"/>
        <v>26</v>
      </c>
      <c r="K978" s="76">
        <f t="shared" si="293"/>
        <v>7</v>
      </c>
      <c r="L978" s="76" t="str">
        <f>VLOOKUP(K978,'Lookup Values'!$F$2:$G$8,2,FALSE)</f>
        <v>Saturday</v>
      </c>
      <c r="M978" s="3">
        <v>40632</v>
      </c>
      <c r="N978" s="78">
        <f t="shared" si="286"/>
        <v>4</v>
      </c>
      <c r="O978" s="11">
        <v>0.15085562551190634</v>
      </c>
      <c r="P978" s="94">
        <f t="shared" si="294"/>
        <v>3</v>
      </c>
      <c r="Q978" s="94">
        <f t="shared" si="295"/>
        <v>37</v>
      </c>
      <c r="R978" s="94">
        <f t="shared" si="296"/>
        <v>14</v>
      </c>
      <c r="S978" s="94" t="str">
        <f>VLOOKUP(O978,'Lookup Values'!$I$2:$L$8,4,TRUE)</f>
        <v>Dead of Night</v>
      </c>
      <c r="T978" t="s">
        <v>158</v>
      </c>
      <c r="U978" t="s">
        <v>159</v>
      </c>
      <c r="V978" t="str">
        <f t="shared" si="297"/>
        <v>Income: Salary</v>
      </c>
      <c r="W978" t="s">
        <v>162</v>
      </c>
      <c r="X978" t="s">
        <v>78</v>
      </c>
      <c r="Y978" s="1">
        <v>121</v>
      </c>
      <c r="Z978" s="1" t="str">
        <f t="shared" si="298"/>
        <v>Income: $121.00</v>
      </c>
      <c r="AA978" s="1">
        <f>IF(Y978="","",ROUND(Y978*'Lookup Values'!$A$2,2))</f>
        <v>10.74</v>
      </c>
      <c r="AB978" s="12" t="str">
        <f t="shared" si="299"/>
        <v>Income</v>
      </c>
      <c r="AC978" s="2" t="s">
        <v>943</v>
      </c>
      <c r="AD978" s="3">
        <f t="shared" si="300"/>
        <v>40628</v>
      </c>
      <c r="AE978" s="93" t="str">
        <f t="shared" si="301"/>
        <v>NO</v>
      </c>
      <c r="AF978" s="2" t="str">
        <f t="shared" si="302"/>
        <v>NO</v>
      </c>
      <c r="AG978" t="str">
        <f t="shared" si="303"/>
        <v>CRAP Transaction</v>
      </c>
    </row>
    <row r="979" spans="1:33" x14ac:dyDescent="0.25">
      <c r="A979" s="2">
        <v>978</v>
      </c>
      <c r="B979" s="3" t="str">
        <f t="shared" si="285"/>
        <v>091109-FO-CIT</v>
      </c>
      <c r="C979" s="3">
        <v>40126</v>
      </c>
      <c r="D979" s="3">
        <f t="shared" si="287"/>
        <v>40140</v>
      </c>
      <c r="E979" s="3">
        <f t="shared" si="288"/>
        <v>40187</v>
      </c>
      <c r="F979" s="3">
        <f t="shared" si="289"/>
        <v>40147</v>
      </c>
      <c r="G979" s="76">
        <f t="shared" si="290"/>
        <v>2009</v>
      </c>
      <c r="H979" s="76">
        <f t="shared" si="291"/>
        <v>11</v>
      </c>
      <c r="I979" s="76" t="str">
        <f>VLOOKUP(H979,'Lookup Values'!$C$2:$D$13,2,FALSE)</f>
        <v>NOV</v>
      </c>
      <c r="J979" s="76">
        <f t="shared" si="292"/>
        <v>9</v>
      </c>
      <c r="K979" s="76">
        <f t="shared" si="293"/>
        <v>2</v>
      </c>
      <c r="L979" s="76" t="str">
        <f>VLOOKUP(K979,'Lookup Values'!$F$2:$G$8,2,FALSE)</f>
        <v>Monday</v>
      </c>
      <c r="M979" s="3">
        <v>40133</v>
      </c>
      <c r="N979" s="78">
        <f t="shared" si="286"/>
        <v>7</v>
      </c>
      <c r="O979" s="11">
        <v>0.51587998931571821</v>
      </c>
      <c r="P979" s="94">
        <f t="shared" si="294"/>
        <v>12</v>
      </c>
      <c r="Q979" s="94">
        <f t="shared" si="295"/>
        <v>22</v>
      </c>
      <c r="R979" s="94">
        <f t="shared" si="296"/>
        <v>52</v>
      </c>
      <c r="S979" s="94" t="str">
        <f>VLOOKUP(O979,'Lookup Values'!$I$2:$L$8,4,TRUE)</f>
        <v>Afternoon</v>
      </c>
      <c r="T979" t="s">
        <v>80</v>
      </c>
      <c r="U979" t="s">
        <v>105</v>
      </c>
      <c r="V979" t="str">
        <f t="shared" si="297"/>
        <v>Food: Coffee</v>
      </c>
      <c r="W979" t="s">
        <v>104</v>
      </c>
      <c r="X979" t="s">
        <v>91</v>
      </c>
      <c r="Y979" s="1">
        <v>143</v>
      </c>
      <c r="Z979" s="1" t="str">
        <f t="shared" si="298"/>
        <v>Food: $143.00</v>
      </c>
      <c r="AA979" s="1">
        <f>IF(Y979="","",ROUND(Y979*'Lookup Values'!$A$2,2))</f>
        <v>12.69</v>
      </c>
      <c r="AB979" s="12" t="str">
        <f t="shared" si="299"/>
        <v>Expense</v>
      </c>
      <c r="AC979" s="2" t="s">
        <v>464</v>
      </c>
      <c r="AD979" s="3">
        <f t="shared" si="300"/>
        <v>40126</v>
      </c>
      <c r="AE979" s="93" t="str">
        <f t="shared" si="301"/>
        <v>NO</v>
      </c>
      <c r="AF979" s="2" t="str">
        <f t="shared" si="302"/>
        <v>NO</v>
      </c>
      <c r="AG979" t="str">
        <f t="shared" si="303"/>
        <v>Awesome Transaction</v>
      </c>
    </row>
    <row r="980" spans="1:33" x14ac:dyDescent="0.25">
      <c r="A980" s="2">
        <v>979</v>
      </c>
      <c r="B980" s="3" t="str">
        <f t="shared" si="285"/>
        <v>090920-FO-BAN</v>
      </c>
      <c r="C980" s="3">
        <v>40076</v>
      </c>
      <c r="D980" s="3">
        <f t="shared" si="287"/>
        <v>40088</v>
      </c>
      <c r="E980" s="3">
        <f t="shared" si="288"/>
        <v>40137</v>
      </c>
      <c r="F980" s="3">
        <f t="shared" si="289"/>
        <v>40086</v>
      </c>
      <c r="G980" s="76">
        <f t="shared" si="290"/>
        <v>2009</v>
      </c>
      <c r="H980" s="76">
        <f t="shared" si="291"/>
        <v>9</v>
      </c>
      <c r="I980" s="76" t="str">
        <f>VLOOKUP(H980,'Lookup Values'!$C$2:$D$13,2,FALSE)</f>
        <v>SEP</v>
      </c>
      <c r="J980" s="76">
        <f t="shared" si="292"/>
        <v>20</v>
      </c>
      <c r="K980" s="76">
        <f t="shared" si="293"/>
        <v>1</v>
      </c>
      <c r="L980" s="76" t="str">
        <f>VLOOKUP(K980,'Lookup Values'!$F$2:$G$8,2,FALSE)</f>
        <v>Sunday</v>
      </c>
      <c r="M980" s="3">
        <v>40083</v>
      </c>
      <c r="N980" s="78">
        <f t="shared" si="286"/>
        <v>7</v>
      </c>
      <c r="O980" s="11">
        <v>0.8716949906491982</v>
      </c>
      <c r="P980" s="94">
        <f t="shared" si="294"/>
        <v>20</v>
      </c>
      <c r="Q980" s="94">
        <f t="shared" si="295"/>
        <v>55</v>
      </c>
      <c r="R980" s="94">
        <f t="shared" si="296"/>
        <v>14</v>
      </c>
      <c r="S980" s="94" t="str">
        <f>VLOOKUP(O980,'Lookup Values'!$I$2:$L$8,4,TRUE)</f>
        <v>Evening</v>
      </c>
      <c r="T980" t="s">
        <v>80</v>
      </c>
      <c r="U980" t="s">
        <v>81</v>
      </c>
      <c r="V980" t="str">
        <f t="shared" si="297"/>
        <v>Food: Restaurants</v>
      </c>
      <c r="W980" t="s">
        <v>79</v>
      </c>
      <c r="X980" t="s">
        <v>88</v>
      </c>
      <c r="Y980" s="1">
        <v>351</v>
      </c>
      <c r="Z980" s="1" t="str">
        <f t="shared" si="298"/>
        <v>Food: $351.00</v>
      </c>
      <c r="AA980" s="1">
        <f>IF(Y980="","",ROUND(Y980*'Lookup Values'!$A$2,2))</f>
        <v>31.15</v>
      </c>
      <c r="AB980" s="12" t="str">
        <f t="shared" si="299"/>
        <v>Expense</v>
      </c>
      <c r="AC980" s="2" t="s">
        <v>427</v>
      </c>
      <c r="AD980" s="3">
        <f t="shared" si="300"/>
        <v>40076</v>
      </c>
      <c r="AE980" s="93" t="str">
        <f t="shared" si="301"/>
        <v>NO</v>
      </c>
      <c r="AF980" s="2" t="str">
        <f t="shared" si="302"/>
        <v>NO</v>
      </c>
      <c r="AG980" t="str">
        <f t="shared" si="303"/>
        <v>Awesome Transaction</v>
      </c>
    </row>
    <row r="981" spans="1:33" x14ac:dyDescent="0.25">
      <c r="A981" s="2">
        <v>980</v>
      </c>
      <c r="B981" s="3" t="str">
        <f t="shared" si="285"/>
        <v>070212-IN-LEG</v>
      </c>
      <c r="C981" s="3">
        <v>39125</v>
      </c>
      <c r="D981" s="3">
        <f t="shared" si="287"/>
        <v>39139</v>
      </c>
      <c r="E981" s="3">
        <f t="shared" si="288"/>
        <v>39184</v>
      </c>
      <c r="F981" s="3">
        <f t="shared" si="289"/>
        <v>39141</v>
      </c>
      <c r="G981" s="76">
        <f t="shared" si="290"/>
        <v>2007</v>
      </c>
      <c r="H981" s="76">
        <f t="shared" si="291"/>
        <v>2</v>
      </c>
      <c r="I981" s="76" t="str">
        <f>VLOOKUP(H981,'Lookup Values'!$C$2:$D$13,2,FALSE)</f>
        <v>FEB</v>
      </c>
      <c r="J981" s="76">
        <f t="shared" si="292"/>
        <v>12</v>
      </c>
      <c r="K981" s="76">
        <f t="shared" si="293"/>
        <v>2</v>
      </c>
      <c r="L981" s="76" t="str">
        <f>VLOOKUP(K981,'Lookup Values'!$F$2:$G$8,2,FALSE)</f>
        <v>Monday</v>
      </c>
      <c r="M981" s="3">
        <v>39134</v>
      </c>
      <c r="N981" s="78">
        <f t="shared" si="286"/>
        <v>9</v>
      </c>
      <c r="O981" s="11">
        <v>0.67314124874835979</v>
      </c>
      <c r="P981" s="94">
        <f t="shared" si="294"/>
        <v>16</v>
      </c>
      <c r="Q981" s="94">
        <f t="shared" si="295"/>
        <v>9</v>
      </c>
      <c r="R981" s="94">
        <f t="shared" si="296"/>
        <v>19</v>
      </c>
      <c r="S981" s="94" t="str">
        <f>VLOOKUP(O981,'Lookup Values'!$I$2:$L$8,4,TRUE)</f>
        <v>Afternoon</v>
      </c>
      <c r="T981" t="s">
        <v>158</v>
      </c>
      <c r="U981" t="s">
        <v>160</v>
      </c>
      <c r="V981" t="str">
        <f t="shared" si="297"/>
        <v>Income: Freelance Project</v>
      </c>
      <c r="W981" t="s">
        <v>163</v>
      </c>
      <c r="X981" t="s">
        <v>91</v>
      </c>
      <c r="Y981" s="1">
        <v>162</v>
      </c>
      <c r="Z981" s="1" t="str">
        <f t="shared" si="298"/>
        <v>Income: $162.00</v>
      </c>
      <c r="AA981" s="1">
        <f>IF(Y981="","",ROUND(Y981*'Lookup Values'!$A$2,2))</f>
        <v>14.38</v>
      </c>
      <c r="AB981" s="12" t="str">
        <f t="shared" si="299"/>
        <v>Income</v>
      </c>
      <c r="AC981" s="2" t="s">
        <v>944</v>
      </c>
      <c r="AD981" s="3">
        <f t="shared" si="300"/>
        <v>39125</v>
      </c>
      <c r="AE981" s="93" t="str">
        <f t="shared" si="301"/>
        <v>NO</v>
      </c>
      <c r="AF981" s="2" t="str">
        <f t="shared" si="302"/>
        <v>NO</v>
      </c>
      <c r="AG981" t="str">
        <f t="shared" si="303"/>
        <v>Late Transaction</v>
      </c>
    </row>
    <row r="982" spans="1:33" x14ac:dyDescent="0.25">
      <c r="A982" s="2">
        <v>981</v>
      </c>
      <c r="B982" s="3" t="str">
        <f t="shared" si="285"/>
        <v>090407-ED-ANT</v>
      </c>
      <c r="C982" s="3">
        <v>39910</v>
      </c>
      <c r="D982" s="3">
        <f t="shared" si="287"/>
        <v>39924</v>
      </c>
      <c r="E982" s="3">
        <f t="shared" si="288"/>
        <v>39971</v>
      </c>
      <c r="F982" s="3">
        <f t="shared" si="289"/>
        <v>39933</v>
      </c>
      <c r="G982" s="76">
        <f t="shared" si="290"/>
        <v>2009</v>
      </c>
      <c r="H982" s="76">
        <f t="shared" si="291"/>
        <v>4</v>
      </c>
      <c r="I982" s="76" t="str">
        <f>VLOOKUP(H982,'Lookup Values'!$C$2:$D$13,2,FALSE)</f>
        <v>APR</v>
      </c>
      <c r="J982" s="76">
        <f t="shared" si="292"/>
        <v>7</v>
      </c>
      <c r="K982" s="76">
        <f t="shared" si="293"/>
        <v>3</v>
      </c>
      <c r="L982" s="76" t="str">
        <f>VLOOKUP(K982,'Lookup Values'!$F$2:$G$8,2,FALSE)</f>
        <v>Tuesday</v>
      </c>
      <c r="M982" s="3">
        <v>39912</v>
      </c>
      <c r="N982" s="78">
        <f t="shared" si="286"/>
        <v>2</v>
      </c>
      <c r="O982" s="11">
        <v>0.4441426888295027</v>
      </c>
      <c r="P982" s="94">
        <f t="shared" si="294"/>
        <v>10</v>
      </c>
      <c r="Q982" s="94">
        <f t="shared" si="295"/>
        <v>39</v>
      </c>
      <c r="R982" s="94">
        <f t="shared" si="296"/>
        <v>34</v>
      </c>
      <c r="S982" s="94" t="str">
        <f>VLOOKUP(O982,'Lookup Values'!$I$2:$L$8,4,TRUE)</f>
        <v>Late Morning</v>
      </c>
      <c r="T982" t="s">
        <v>86</v>
      </c>
      <c r="U982" t="s">
        <v>87</v>
      </c>
      <c r="V982" t="str">
        <f t="shared" si="297"/>
        <v>Education: Tango Lessons</v>
      </c>
      <c r="W982" t="s">
        <v>85</v>
      </c>
      <c r="X982" t="s">
        <v>91</v>
      </c>
      <c r="Y982" s="1">
        <v>40</v>
      </c>
      <c r="Z982" s="1" t="str">
        <f t="shared" si="298"/>
        <v>Education: $40.00</v>
      </c>
      <c r="AA982" s="1">
        <f>IF(Y982="","",ROUND(Y982*'Lookup Values'!$A$2,2))</f>
        <v>3.55</v>
      </c>
      <c r="AB982" s="12" t="str">
        <f t="shared" si="299"/>
        <v>Expense</v>
      </c>
      <c r="AC982" s="2" t="s">
        <v>765</v>
      </c>
      <c r="AD982" s="3">
        <f t="shared" si="300"/>
        <v>39910</v>
      </c>
      <c r="AE982" s="93" t="str">
        <f t="shared" si="301"/>
        <v>NO</v>
      </c>
      <c r="AF982" s="2" t="str">
        <f t="shared" si="302"/>
        <v>NO</v>
      </c>
      <c r="AG982" t="str">
        <f t="shared" si="303"/>
        <v>Late Transaction</v>
      </c>
    </row>
    <row r="983" spans="1:33" x14ac:dyDescent="0.25">
      <c r="A983" s="2">
        <v>982</v>
      </c>
      <c r="B983" s="3" t="str">
        <f t="shared" si="285"/>
        <v>110609-IN-LEG</v>
      </c>
      <c r="C983" s="3">
        <v>40703</v>
      </c>
      <c r="D983" s="3">
        <f t="shared" si="287"/>
        <v>40717</v>
      </c>
      <c r="E983" s="3">
        <f t="shared" si="288"/>
        <v>40764</v>
      </c>
      <c r="F983" s="3">
        <f t="shared" si="289"/>
        <v>40724</v>
      </c>
      <c r="G983" s="76">
        <f t="shared" si="290"/>
        <v>2011</v>
      </c>
      <c r="H983" s="76">
        <f t="shared" si="291"/>
        <v>6</v>
      </c>
      <c r="I983" s="76" t="str">
        <f>VLOOKUP(H983,'Lookup Values'!$C$2:$D$13,2,FALSE)</f>
        <v>JUN</v>
      </c>
      <c r="J983" s="76">
        <f t="shared" si="292"/>
        <v>9</v>
      </c>
      <c r="K983" s="76">
        <f t="shared" si="293"/>
        <v>5</v>
      </c>
      <c r="L983" s="76" t="str">
        <f>VLOOKUP(K983,'Lookup Values'!$F$2:$G$8,2,FALSE)</f>
        <v>Thursday</v>
      </c>
      <c r="M983" s="3">
        <v>40708</v>
      </c>
      <c r="N983" s="78">
        <f t="shared" si="286"/>
        <v>5</v>
      </c>
      <c r="O983" s="11">
        <v>0.78992123891608124</v>
      </c>
      <c r="P983" s="94">
        <f t="shared" si="294"/>
        <v>18</v>
      </c>
      <c r="Q983" s="94">
        <f t="shared" si="295"/>
        <v>57</v>
      </c>
      <c r="R983" s="94">
        <f t="shared" si="296"/>
        <v>29</v>
      </c>
      <c r="S983" s="94" t="str">
        <f>VLOOKUP(O983,'Lookup Values'!$I$2:$L$8,4,TRUE)</f>
        <v>Evening</v>
      </c>
      <c r="T983" t="s">
        <v>158</v>
      </c>
      <c r="U983" t="s">
        <v>160</v>
      </c>
      <c r="V983" t="str">
        <f t="shared" si="297"/>
        <v>Income: Freelance Project</v>
      </c>
      <c r="W983" t="s">
        <v>163</v>
      </c>
      <c r="X983" t="s">
        <v>88</v>
      </c>
      <c r="Y983" s="1">
        <v>42</v>
      </c>
      <c r="Z983" s="1" t="str">
        <f t="shared" si="298"/>
        <v>Income: $42.00</v>
      </c>
      <c r="AA983" s="1">
        <f>IF(Y983="","",ROUND(Y983*'Lookup Values'!$A$2,2))</f>
        <v>3.73</v>
      </c>
      <c r="AB983" s="12" t="str">
        <f t="shared" si="299"/>
        <v>Income</v>
      </c>
      <c r="AC983" s="2" t="s">
        <v>388</v>
      </c>
      <c r="AD983" s="3">
        <f t="shared" si="300"/>
        <v>40703</v>
      </c>
      <c r="AE983" s="93" t="str">
        <f t="shared" si="301"/>
        <v>NO</v>
      </c>
      <c r="AF983" s="2" t="str">
        <f t="shared" si="302"/>
        <v>NO</v>
      </c>
      <c r="AG983" t="str">
        <f t="shared" si="303"/>
        <v>CRAP Transaction</v>
      </c>
    </row>
    <row r="984" spans="1:33" x14ac:dyDescent="0.25">
      <c r="A984" s="2">
        <v>983</v>
      </c>
      <c r="B984" s="3" t="str">
        <f t="shared" si="285"/>
        <v>071217-IN-EZE</v>
      </c>
      <c r="C984" s="3">
        <v>39433</v>
      </c>
      <c r="D984" s="3">
        <f t="shared" si="287"/>
        <v>39447</v>
      </c>
      <c r="E984" s="3">
        <f t="shared" si="288"/>
        <v>39495</v>
      </c>
      <c r="F984" s="3">
        <f t="shared" si="289"/>
        <v>39447</v>
      </c>
      <c r="G984" s="76">
        <f t="shared" si="290"/>
        <v>2007</v>
      </c>
      <c r="H984" s="76">
        <f t="shared" si="291"/>
        <v>12</v>
      </c>
      <c r="I984" s="76" t="str">
        <f>VLOOKUP(H984,'Lookup Values'!$C$2:$D$13,2,FALSE)</f>
        <v>DEC</v>
      </c>
      <c r="J984" s="76">
        <f t="shared" si="292"/>
        <v>17</v>
      </c>
      <c r="K984" s="76">
        <f t="shared" si="293"/>
        <v>2</v>
      </c>
      <c r="L984" s="76" t="str">
        <f>VLOOKUP(K984,'Lookup Values'!$F$2:$G$8,2,FALSE)</f>
        <v>Monday</v>
      </c>
      <c r="M984" s="3">
        <v>39434</v>
      </c>
      <c r="N984" s="78">
        <f t="shared" si="286"/>
        <v>1</v>
      </c>
      <c r="O984" s="11">
        <v>0.11061046189011836</v>
      </c>
      <c r="P984" s="94">
        <f t="shared" si="294"/>
        <v>2</v>
      </c>
      <c r="Q984" s="94">
        <f t="shared" si="295"/>
        <v>39</v>
      </c>
      <c r="R984" s="94">
        <f t="shared" si="296"/>
        <v>17</v>
      </c>
      <c r="S984" s="94" t="str">
        <f>VLOOKUP(O984,'Lookup Values'!$I$2:$L$8,4,TRUE)</f>
        <v>Dead of Night</v>
      </c>
      <c r="T984" t="s">
        <v>158</v>
      </c>
      <c r="U984" t="s">
        <v>159</v>
      </c>
      <c r="V984" t="str">
        <f t="shared" si="297"/>
        <v>Income: Salary</v>
      </c>
      <c r="W984" t="s">
        <v>162</v>
      </c>
      <c r="X984" t="s">
        <v>91</v>
      </c>
      <c r="Y984" s="1">
        <v>102</v>
      </c>
      <c r="Z984" s="1" t="str">
        <f t="shared" si="298"/>
        <v>Income: $102.00</v>
      </c>
      <c r="AA984" s="1">
        <f>IF(Y984="","",ROUND(Y984*'Lookup Values'!$A$2,2))</f>
        <v>9.0500000000000007</v>
      </c>
      <c r="AB984" s="12" t="str">
        <f t="shared" si="299"/>
        <v>Income</v>
      </c>
      <c r="AC984" s="2" t="s">
        <v>945</v>
      </c>
      <c r="AD984" s="3">
        <f t="shared" si="300"/>
        <v>39433</v>
      </c>
      <c r="AE984" s="93" t="str">
        <f t="shared" si="301"/>
        <v>NO</v>
      </c>
      <c r="AF984" s="2" t="str">
        <f t="shared" si="302"/>
        <v>NO</v>
      </c>
      <c r="AG984" t="str">
        <f t="shared" si="303"/>
        <v>Late Transaction</v>
      </c>
    </row>
    <row r="985" spans="1:33" x14ac:dyDescent="0.25">
      <c r="A985" s="2">
        <v>984</v>
      </c>
      <c r="B985" s="3" t="str">
        <f t="shared" si="285"/>
        <v>080130-EN-FAN</v>
      </c>
      <c r="C985" s="3">
        <v>39477</v>
      </c>
      <c r="D985" s="3">
        <f t="shared" si="287"/>
        <v>39491</v>
      </c>
      <c r="E985" s="3">
        <f t="shared" si="288"/>
        <v>39537</v>
      </c>
      <c r="F985" s="3">
        <f t="shared" si="289"/>
        <v>39478</v>
      </c>
      <c r="G985" s="76">
        <f t="shared" si="290"/>
        <v>2008</v>
      </c>
      <c r="H985" s="76">
        <f t="shared" si="291"/>
        <v>1</v>
      </c>
      <c r="I985" s="76" t="str">
        <f>VLOOKUP(H985,'Lookup Values'!$C$2:$D$13,2,FALSE)</f>
        <v>JAN</v>
      </c>
      <c r="J985" s="76">
        <f t="shared" si="292"/>
        <v>30</v>
      </c>
      <c r="K985" s="76">
        <f t="shared" si="293"/>
        <v>4</v>
      </c>
      <c r="L985" s="76" t="str">
        <f>VLOOKUP(K985,'Lookup Values'!$F$2:$G$8,2,FALSE)</f>
        <v>Wednesday</v>
      </c>
      <c r="M985" s="3">
        <v>39479</v>
      </c>
      <c r="N985" s="78">
        <f t="shared" si="286"/>
        <v>2</v>
      </c>
      <c r="O985" s="11">
        <v>0.2949945290256506</v>
      </c>
      <c r="P985" s="94">
        <f t="shared" si="294"/>
        <v>7</v>
      </c>
      <c r="Q985" s="94">
        <f t="shared" si="295"/>
        <v>4</v>
      </c>
      <c r="R985" s="94">
        <f t="shared" si="296"/>
        <v>48</v>
      </c>
      <c r="S985" s="94" t="str">
        <f>VLOOKUP(O985,'Lookup Values'!$I$2:$L$8,4,TRUE)</f>
        <v>Morning</v>
      </c>
      <c r="T985" t="s">
        <v>76</v>
      </c>
      <c r="U985" t="s">
        <v>90</v>
      </c>
      <c r="V985" t="str">
        <f t="shared" si="297"/>
        <v>Entertainment: Movies</v>
      </c>
      <c r="W985" t="s">
        <v>89</v>
      </c>
      <c r="X985" t="s">
        <v>88</v>
      </c>
      <c r="Y985" s="1">
        <v>100</v>
      </c>
      <c r="Z985" s="1" t="str">
        <f t="shared" si="298"/>
        <v>Entertainment: $100.00</v>
      </c>
      <c r="AA985" s="1">
        <f>IF(Y985="","",ROUND(Y985*'Lookup Values'!$A$2,2))</f>
        <v>8.8800000000000008</v>
      </c>
      <c r="AB985" s="12" t="str">
        <f t="shared" si="299"/>
        <v>Expense</v>
      </c>
      <c r="AC985" s="2" t="s">
        <v>946</v>
      </c>
      <c r="AD985" s="3">
        <f t="shared" si="300"/>
        <v>39477</v>
      </c>
      <c r="AE985" s="93" t="str">
        <f t="shared" si="301"/>
        <v>NO</v>
      </c>
      <c r="AF985" s="2" t="str">
        <f t="shared" si="302"/>
        <v>NO</v>
      </c>
      <c r="AG985" t="str">
        <f t="shared" si="303"/>
        <v>Awesome Transaction</v>
      </c>
    </row>
    <row r="986" spans="1:33" x14ac:dyDescent="0.25">
      <c r="A986" s="2">
        <v>985</v>
      </c>
      <c r="B986" s="3" t="str">
        <f t="shared" si="285"/>
        <v>081110-FO-CIT</v>
      </c>
      <c r="C986" s="3">
        <v>39762</v>
      </c>
      <c r="D986" s="3">
        <f t="shared" si="287"/>
        <v>39776</v>
      </c>
      <c r="E986" s="3">
        <f t="shared" si="288"/>
        <v>39823</v>
      </c>
      <c r="F986" s="3">
        <f t="shared" si="289"/>
        <v>39782</v>
      </c>
      <c r="G986" s="76">
        <f t="shared" si="290"/>
        <v>2008</v>
      </c>
      <c r="H986" s="76">
        <f t="shared" si="291"/>
        <v>11</v>
      </c>
      <c r="I986" s="76" t="str">
        <f>VLOOKUP(H986,'Lookup Values'!$C$2:$D$13,2,FALSE)</f>
        <v>NOV</v>
      </c>
      <c r="J986" s="76">
        <f t="shared" si="292"/>
        <v>10</v>
      </c>
      <c r="K986" s="76">
        <f t="shared" si="293"/>
        <v>2</v>
      </c>
      <c r="L986" s="76" t="str">
        <f>VLOOKUP(K986,'Lookup Values'!$F$2:$G$8,2,FALSE)</f>
        <v>Monday</v>
      </c>
      <c r="M986" s="3">
        <v>39771</v>
      </c>
      <c r="N986" s="78">
        <f t="shared" si="286"/>
        <v>9</v>
      </c>
      <c r="O986" s="11">
        <v>0.67390421398348854</v>
      </c>
      <c r="P986" s="94">
        <f t="shared" si="294"/>
        <v>16</v>
      </c>
      <c r="Q986" s="94">
        <f t="shared" si="295"/>
        <v>10</v>
      </c>
      <c r="R986" s="94">
        <f t="shared" si="296"/>
        <v>25</v>
      </c>
      <c r="S986" s="94" t="str">
        <f>VLOOKUP(O986,'Lookup Values'!$I$2:$L$8,4,TRUE)</f>
        <v>Afternoon</v>
      </c>
      <c r="T986" t="s">
        <v>80</v>
      </c>
      <c r="U986" t="s">
        <v>105</v>
      </c>
      <c r="V986" t="str">
        <f t="shared" si="297"/>
        <v>Food: Coffee</v>
      </c>
      <c r="W986" t="s">
        <v>104</v>
      </c>
      <c r="X986" t="s">
        <v>91</v>
      </c>
      <c r="Y986" s="1">
        <v>176</v>
      </c>
      <c r="Z986" s="1" t="str">
        <f t="shared" si="298"/>
        <v>Food: $176.00</v>
      </c>
      <c r="AA986" s="1">
        <f>IF(Y986="","",ROUND(Y986*'Lookup Values'!$A$2,2))</f>
        <v>15.62</v>
      </c>
      <c r="AB986" s="12" t="str">
        <f t="shared" si="299"/>
        <v>Expense</v>
      </c>
      <c r="AC986" s="2" t="s">
        <v>947</v>
      </c>
      <c r="AD986" s="3">
        <f t="shared" si="300"/>
        <v>39762</v>
      </c>
      <c r="AE986" s="93" t="str">
        <f t="shared" si="301"/>
        <v>NO</v>
      </c>
      <c r="AF986" s="2" t="str">
        <f t="shared" si="302"/>
        <v>NO</v>
      </c>
      <c r="AG986" t="str">
        <f t="shared" si="303"/>
        <v>Awesome Transaction</v>
      </c>
    </row>
    <row r="987" spans="1:33" x14ac:dyDescent="0.25">
      <c r="A987" s="2">
        <v>986</v>
      </c>
      <c r="B987" s="3" t="str">
        <f t="shared" si="285"/>
        <v>120625-EN-MOE</v>
      </c>
      <c r="C987" s="3">
        <v>41085</v>
      </c>
      <c r="D987" s="3">
        <f t="shared" si="287"/>
        <v>41099</v>
      </c>
      <c r="E987" s="3">
        <f t="shared" si="288"/>
        <v>41146</v>
      </c>
      <c r="F987" s="3">
        <f t="shared" si="289"/>
        <v>41090</v>
      </c>
      <c r="G987" s="76">
        <f t="shared" si="290"/>
        <v>2012</v>
      </c>
      <c r="H987" s="76">
        <f t="shared" si="291"/>
        <v>6</v>
      </c>
      <c r="I987" s="76" t="str">
        <f>VLOOKUP(H987,'Lookup Values'!$C$2:$D$13,2,FALSE)</f>
        <v>JUN</v>
      </c>
      <c r="J987" s="76">
        <f t="shared" si="292"/>
        <v>25</v>
      </c>
      <c r="K987" s="76">
        <f t="shared" si="293"/>
        <v>2</v>
      </c>
      <c r="L987" s="76" t="str">
        <f>VLOOKUP(K987,'Lookup Values'!$F$2:$G$8,2,FALSE)</f>
        <v>Monday</v>
      </c>
      <c r="M987" s="3">
        <v>41092</v>
      </c>
      <c r="N987" s="78">
        <f t="shared" si="286"/>
        <v>7</v>
      </c>
      <c r="O987" s="11">
        <v>0.11227601663017506</v>
      </c>
      <c r="P987" s="94">
        <f t="shared" si="294"/>
        <v>2</v>
      </c>
      <c r="Q987" s="94">
        <f t="shared" si="295"/>
        <v>41</v>
      </c>
      <c r="R987" s="94">
        <f t="shared" si="296"/>
        <v>41</v>
      </c>
      <c r="S987" s="94" t="str">
        <f>VLOOKUP(O987,'Lookup Values'!$I$2:$L$8,4,TRUE)</f>
        <v>Dead of Night</v>
      </c>
      <c r="T987" t="s">
        <v>76</v>
      </c>
      <c r="U987" t="s">
        <v>77</v>
      </c>
      <c r="V987" t="str">
        <f t="shared" si="297"/>
        <v>Entertainment: Alcohol</v>
      </c>
      <c r="W987" t="s">
        <v>75</v>
      </c>
      <c r="X987" t="s">
        <v>91</v>
      </c>
      <c r="Y987" s="1">
        <v>201</v>
      </c>
      <c r="Z987" s="1" t="str">
        <f t="shared" si="298"/>
        <v>Entertainment: $201.00</v>
      </c>
      <c r="AA987" s="1">
        <f>IF(Y987="","",ROUND(Y987*'Lookup Values'!$A$2,2))</f>
        <v>17.84</v>
      </c>
      <c r="AB987" s="12" t="str">
        <f t="shared" si="299"/>
        <v>Expense</v>
      </c>
      <c r="AC987" s="2" t="s">
        <v>658</v>
      </c>
      <c r="AD987" s="3">
        <f t="shared" si="300"/>
        <v>41085</v>
      </c>
      <c r="AE987" s="93" t="str">
        <f t="shared" si="301"/>
        <v>NO</v>
      </c>
      <c r="AF987" s="2" t="str">
        <f t="shared" si="302"/>
        <v>NO</v>
      </c>
      <c r="AG987" t="str">
        <f t="shared" si="303"/>
        <v>CRAP Transaction</v>
      </c>
    </row>
    <row r="988" spans="1:33" x14ac:dyDescent="0.25">
      <c r="A988" s="2">
        <v>987</v>
      </c>
      <c r="B988" s="3" t="str">
        <f t="shared" si="285"/>
        <v>110923-TR-MTA</v>
      </c>
      <c r="C988" s="3">
        <v>40809</v>
      </c>
      <c r="D988" s="3">
        <f t="shared" si="287"/>
        <v>40823</v>
      </c>
      <c r="E988" s="3">
        <f t="shared" si="288"/>
        <v>40870</v>
      </c>
      <c r="F988" s="3">
        <f t="shared" si="289"/>
        <v>40816</v>
      </c>
      <c r="G988" s="76">
        <f t="shared" si="290"/>
        <v>2011</v>
      </c>
      <c r="H988" s="76">
        <f t="shared" si="291"/>
        <v>9</v>
      </c>
      <c r="I988" s="76" t="str">
        <f>VLOOKUP(H988,'Lookup Values'!$C$2:$D$13,2,FALSE)</f>
        <v>SEP</v>
      </c>
      <c r="J988" s="76">
        <f t="shared" si="292"/>
        <v>23</v>
      </c>
      <c r="K988" s="76">
        <f t="shared" si="293"/>
        <v>6</v>
      </c>
      <c r="L988" s="76" t="str">
        <f>VLOOKUP(K988,'Lookup Values'!$F$2:$G$8,2,FALSE)</f>
        <v>Friday</v>
      </c>
      <c r="M988" s="3">
        <v>40818</v>
      </c>
      <c r="N988" s="78">
        <f t="shared" si="286"/>
        <v>9</v>
      </c>
      <c r="O988" s="11">
        <v>0.15157384108743599</v>
      </c>
      <c r="P988" s="94">
        <f t="shared" si="294"/>
        <v>3</v>
      </c>
      <c r="Q988" s="94">
        <f t="shared" si="295"/>
        <v>38</v>
      </c>
      <c r="R988" s="94">
        <f t="shared" si="296"/>
        <v>16</v>
      </c>
      <c r="S988" s="94" t="str">
        <f>VLOOKUP(O988,'Lookup Values'!$I$2:$L$8,4,TRUE)</f>
        <v>Dead of Night</v>
      </c>
      <c r="T988" t="s">
        <v>95</v>
      </c>
      <c r="U988" t="s">
        <v>96</v>
      </c>
      <c r="V988" t="str">
        <f t="shared" si="297"/>
        <v>Transportation: Subway</v>
      </c>
      <c r="W988" t="s">
        <v>94</v>
      </c>
      <c r="X988" t="s">
        <v>88</v>
      </c>
      <c r="Y988" s="1">
        <v>471</v>
      </c>
      <c r="Z988" s="1" t="str">
        <f t="shared" si="298"/>
        <v>Transportation: $471.00</v>
      </c>
      <c r="AA988" s="1">
        <f>IF(Y988="","",ROUND(Y988*'Lookup Values'!$A$2,2))</f>
        <v>41.8</v>
      </c>
      <c r="AB988" s="12" t="str">
        <f t="shared" si="299"/>
        <v>Expense</v>
      </c>
      <c r="AC988" s="2" t="s">
        <v>948</v>
      </c>
      <c r="AD988" s="3">
        <f t="shared" si="300"/>
        <v>40809</v>
      </c>
      <c r="AE988" s="93" t="str">
        <f t="shared" si="301"/>
        <v>YES</v>
      </c>
      <c r="AF988" s="2" t="str">
        <f t="shared" si="302"/>
        <v>YES</v>
      </c>
      <c r="AG988" t="str">
        <f t="shared" si="303"/>
        <v>CRAP Transaction</v>
      </c>
    </row>
    <row r="989" spans="1:33" x14ac:dyDescent="0.25">
      <c r="A989" s="2">
        <v>988</v>
      </c>
      <c r="B989" s="3" t="str">
        <f t="shared" si="285"/>
        <v>070128-IN-LEG</v>
      </c>
      <c r="C989" s="3">
        <v>39110</v>
      </c>
      <c r="D989" s="3">
        <f t="shared" si="287"/>
        <v>39122</v>
      </c>
      <c r="E989" s="3">
        <f t="shared" si="288"/>
        <v>39169</v>
      </c>
      <c r="F989" s="3">
        <f t="shared" si="289"/>
        <v>39113</v>
      </c>
      <c r="G989" s="76">
        <f t="shared" si="290"/>
        <v>2007</v>
      </c>
      <c r="H989" s="76">
        <f t="shared" si="291"/>
        <v>1</v>
      </c>
      <c r="I989" s="76" t="str">
        <f>VLOOKUP(H989,'Lookup Values'!$C$2:$D$13,2,FALSE)</f>
        <v>JAN</v>
      </c>
      <c r="J989" s="76">
        <f t="shared" si="292"/>
        <v>28</v>
      </c>
      <c r="K989" s="76">
        <f t="shared" si="293"/>
        <v>1</v>
      </c>
      <c r="L989" s="76" t="str">
        <f>VLOOKUP(K989,'Lookup Values'!$F$2:$G$8,2,FALSE)</f>
        <v>Sunday</v>
      </c>
      <c r="M989" s="3">
        <v>39115</v>
      </c>
      <c r="N989" s="78">
        <f t="shared" si="286"/>
        <v>5</v>
      </c>
      <c r="O989" s="11">
        <v>0.49475757181047553</v>
      </c>
      <c r="P989" s="94">
        <f t="shared" si="294"/>
        <v>11</v>
      </c>
      <c r="Q989" s="94">
        <f t="shared" si="295"/>
        <v>52</v>
      </c>
      <c r="R989" s="94">
        <f t="shared" si="296"/>
        <v>27</v>
      </c>
      <c r="S989" s="94" t="str">
        <f>VLOOKUP(O989,'Lookup Values'!$I$2:$L$8,4,TRUE)</f>
        <v>Late Morning</v>
      </c>
      <c r="T989" t="s">
        <v>158</v>
      </c>
      <c r="U989" t="s">
        <v>160</v>
      </c>
      <c r="V989" t="str">
        <f t="shared" si="297"/>
        <v>Income: Freelance Project</v>
      </c>
      <c r="W989" t="s">
        <v>163</v>
      </c>
      <c r="X989" t="s">
        <v>91</v>
      </c>
      <c r="Y989" s="1">
        <v>60</v>
      </c>
      <c r="Z989" s="1" t="str">
        <f t="shared" si="298"/>
        <v>Income: $60.00</v>
      </c>
      <c r="AA989" s="1">
        <f>IF(Y989="","",ROUND(Y989*'Lookup Values'!$A$2,2))</f>
        <v>5.33</v>
      </c>
      <c r="AB989" s="12" t="str">
        <f t="shared" si="299"/>
        <v>Income</v>
      </c>
      <c r="AC989" s="2" t="s">
        <v>949</v>
      </c>
      <c r="AD989" s="3">
        <f t="shared" si="300"/>
        <v>39110</v>
      </c>
      <c r="AE989" s="93" t="str">
        <f t="shared" si="301"/>
        <v>NO</v>
      </c>
      <c r="AF989" s="2" t="str">
        <f t="shared" si="302"/>
        <v>NO</v>
      </c>
      <c r="AG989" t="str">
        <f t="shared" si="303"/>
        <v>Late Transaction</v>
      </c>
    </row>
    <row r="990" spans="1:33" x14ac:dyDescent="0.25">
      <c r="A990" s="2">
        <v>989</v>
      </c>
      <c r="B990" s="3" t="str">
        <f t="shared" si="285"/>
        <v>070426-IN-AUN</v>
      </c>
      <c r="C990" s="3">
        <v>39198</v>
      </c>
      <c r="D990" s="3">
        <f t="shared" si="287"/>
        <v>39212</v>
      </c>
      <c r="E990" s="3">
        <f t="shared" si="288"/>
        <v>39259</v>
      </c>
      <c r="F990" s="3">
        <f t="shared" si="289"/>
        <v>39202</v>
      </c>
      <c r="G990" s="76">
        <f t="shared" si="290"/>
        <v>2007</v>
      </c>
      <c r="H990" s="76">
        <f t="shared" si="291"/>
        <v>4</v>
      </c>
      <c r="I990" s="76" t="str">
        <f>VLOOKUP(H990,'Lookup Values'!$C$2:$D$13,2,FALSE)</f>
        <v>APR</v>
      </c>
      <c r="J990" s="76">
        <f t="shared" si="292"/>
        <v>26</v>
      </c>
      <c r="K990" s="76">
        <f t="shared" si="293"/>
        <v>5</v>
      </c>
      <c r="L990" s="76" t="str">
        <f>VLOOKUP(K990,'Lookup Values'!$F$2:$G$8,2,FALSE)</f>
        <v>Thursday</v>
      </c>
      <c r="M990" s="3">
        <v>39199</v>
      </c>
      <c r="N990" s="78">
        <f t="shared" si="286"/>
        <v>1</v>
      </c>
      <c r="O990" s="11">
        <v>0.8338901090335753</v>
      </c>
      <c r="P990" s="94">
        <f t="shared" si="294"/>
        <v>20</v>
      </c>
      <c r="Q990" s="94">
        <f t="shared" si="295"/>
        <v>0</v>
      </c>
      <c r="R990" s="94">
        <f t="shared" si="296"/>
        <v>48</v>
      </c>
      <c r="S990" s="94" t="str">
        <f>VLOOKUP(O990,'Lookup Values'!$I$2:$L$8,4,TRUE)</f>
        <v>Evening</v>
      </c>
      <c r="T990" t="s">
        <v>158</v>
      </c>
      <c r="U990" t="s">
        <v>161</v>
      </c>
      <c r="V990" t="str">
        <f t="shared" si="297"/>
        <v>Income: Gift Received</v>
      </c>
      <c r="W990" t="s">
        <v>164</v>
      </c>
      <c r="X990" t="s">
        <v>88</v>
      </c>
      <c r="Y990" s="1">
        <v>95</v>
      </c>
      <c r="Z990" s="1" t="str">
        <f t="shared" si="298"/>
        <v>Income: $95.00</v>
      </c>
      <c r="AA990" s="1">
        <f>IF(Y990="","",ROUND(Y990*'Lookup Values'!$A$2,2))</f>
        <v>8.43</v>
      </c>
      <c r="AB990" s="12" t="str">
        <f t="shared" si="299"/>
        <v>Income</v>
      </c>
      <c r="AC990" s="2" t="s">
        <v>731</v>
      </c>
      <c r="AD990" s="3">
        <f t="shared" si="300"/>
        <v>39198</v>
      </c>
      <c r="AE990" s="93" t="str">
        <f t="shared" si="301"/>
        <v>NO</v>
      </c>
      <c r="AF990" s="2" t="str">
        <f t="shared" si="302"/>
        <v>NO</v>
      </c>
      <c r="AG990" t="str">
        <f t="shared" si="303"/>
        <v>Late Transaction</v>
      </c>
    </row>
    <row r="991" spans="1:33" x14ac:dyDescent="0.25">
      <c r="A991" s="2">
        <v>990</v>
      </c>
      <c r="B991" s="3" t="str">
        <f t="shared" si="285"/>
        <v>090326-IN-EZE</v>
      </c>
      <c r="C991" s="3">
        <v>39898</v>
      </c>
      <c r="D991" s="3">
        <f t="shared" si="287"/>
        <v>39912</v>
      </c>
      <c r="E991" s="3">
        <f t="shared" si="288"/>
        <v>39959</v>
      </c>
      <c r="F991" s="3">
        <f t="shared" si="289"/>
        <v>39903</v>
      </c>
      <c r="G991" s="76">
        <f t="shared" si="290"/>
        <v>2009</v>
      </c>
      <c r="H991" s="76">
        <f t="shared" si="291"/>
        <v>3</v>
      </c>
      <c r="I991" s="76" t="str">
        <f>VLOOKUP(H991,'Lookup Values'!$C$2:$D$13,2,FALSE)</f>
        <v>MAR</v>
      </c>
      <c r="J991" s="76">
        <f t="shared" si="292"/>
        <v>26</v>
      </c>
      <c r="K991" s="76">
        <f t="shared" si="293"/>
        <v>5</v>
      </c>
      <c r="L991" s="76" t="str">
        <f>VLOOKUP(K991,'Lookup Values'!$F$2:$G$8,2,FALSE)</f>
        <v>Thursday</v>
      </c>
      <c r="M991" s="3">
        <v>39902</v>
      </c>
      <c r="N991" s="78">
        <f t="shared" si="286"/>
        <v>4</v>
      </c>
      <c r="O991" s="11">
        <v>0.78444396033994301</v>
      </c>
      <c r="P991" s="94">
        <f t="shared" si="294"/>
        <v>18</v>
      </c>
      <c r="Q991" s="94">
        <f t="shared" si="295"/>
        <v>49</v>
      </c>
      <c r="R991" s="94">
        <f t="shared" si="296"/>
        <v>36</v>
      </c>
      <c r="S991" s="94" t="str">
        <f>VLOOKUP(O991,'Lookup Values'!$I$2:$L$8,4,TRUE)</f>
        <v>Evening</v>
      </c>
      <c r="T991" t="s">
        <v>158</v>
      </c>
      <c r="U991" t="s">
        <v>159</v>
      </c>
      <c r="V991" t="str">
        <f t="shared" si="297"/>
        <v>Income: Salary</v>
      </c>
      <c r="W991" t="s">
        <v>162</v>
      </c>
      <c r="X991" t="s">
        <v>88</v>
      </c>
      <c r="Y991" s="1">
        <v>424</v>
      </c>
      <c r="Z991" s="1" t="str">
        <f t="shared" si="298"/>
        <v>Income: $424.00</v>
      </c>
      <c r="AA991" s="1">
        <f>IF(Y991="","",ROUND(Y991*'Lookup Values'!$A$2,2))</f>
        <v>37.630000000000003</v>
      </c>
      <c r="AB991" s="12" t="str">
        <f t="shared" si="299"/>
        <v>Income</v>
      </c>
      <c r="AC991" s="2" t="s">
        <v>950</v>
      </c>
      <c r="AD991" s="3">
        <f t="shared" si="300"/>
        <v>39898</v>
      </c>
      <c r="AE991" s="93" t="str">
        <f t="shared" si="301"/>
        <v>NO</v>
      </c>
      <c r="AF991" s="2" t="str">
        <f t="shared" si="302"/>
        <v>NO</v>
      </c>
      <c r="AG991" t="str">
        <f t="shared" si="303"/>
        <v>Late Transaction</v>
      </c>
    </row>
    <row r="992" spans="1:33" x14ac:dyDescent="0.25">
      <c r="A992" s="2">
        <v>991</v>
      </c>
      <c r="B992" s="3" t="str">
        <f t="shared" si="285"/>
        <v>120211-HO-BED</v>
      </c>
      <c r="C992" s="3">
        <v>40950</v>
      </c>
      <c r="D992" s="3">
        <f t="shared" si="287"/>
        <v>40963</v>
      </c>
      <c r="E992" s="3">
        <f t="shared" si="288"/>
        <v>41010</v>
      </c>
      <c r="F992" s="3">
        <f t="shared" si="289"/>
        <v>40968</v>
      </c>
      <c r="G992" s="76">
        <f t="shared" si="290"/>
        <v>2012</v>
      </c>
      <c r="H992" s="76">
        <f t="shared" si="291"/>
        <v>2</v>
      </c>
      <c r="I992" s="76" t="str">
        <f>VLOOKUP(H992,'Lookup Values'!$C$2:$D$13,2,FALSE)</f>
        <v>FEB</v>
      </c>
      <c r="J992" s="76">
        <f t="shared" si="292"/>
        <v>11</v>
      </c>
      <c r="K992" s="76">
        <f t="shared" si="293"/>
        <v>7</v>
      </c>
      <c r="L992" s="76" t="str">
        <f>VLOOKUP(K992,'Lookup Values'!$F$2:$G$8,2,FALSE)</f>
        <v>Saturday</v>
      </c>
      <c r="M992" s="3">
        <v>40951</v>
      </c>
      <c r="N992" s="78">
        <f t="shared" si="286"/>
        <v>1</v>
      </c>
      <c r="O992" s="11">
        <v>0.1514204643711482</v>
      </c>
      <c r="P992" s="94">
        <f t="shared" si="294"/>
        <v>3</v>
      </c>
      <c r="Q992" s="94">
        <f t="shared" si="295"/>
        <v>38</v>
      </c>
      <c r="R992" s="94">
        <f t="shared" si="296"/>
        <v>3</v>
      </c>
      <c r="S992" s="94" t="str">
        <f>VLOOKUP(O992,'Lookup Values'!$I$2:$L$8,4,TRUE)</f>
        <v>Dead of Night</v>
      </c>
      <c r="T992" t="s">
        <v>100</v>
      </c>
      <c r="U992" t="s">
        <v>101</v>
      </c>
      <c r="V992" t="str">
        <f t="shared" si="297"/>
        <v>Home: Cleaning Supplies</v>
      </c>
      <c r="W992" t="s">
        <v>99</v>
      </c>
      <c r="X992" t="s">
        <v>91</v>
      </c>
      <c r="Y992" s="1">
        <v>302</v>
      </c>
      <c r="Z992" s="1" t="str">
        <f t="shared" si="298"/>
        <v>Home: $302.00</v>
      </c>
      <c r="AA992" s="1">
        <f>IF(Y992="","",ROUND(Y992*'Lookup Values'!$A$2,2))</f>
        <v>26.8</v>
      </c>
      <c r="AB992" s="12" t="str">
        <f t="shared" si="299"/>
        <v>Expense</v>
      </c>
      <c r="AC992" s="2" t="s">
        <v>631</v>
      </c>
      <c r="AD992" s="3">
        <f t="shared" si="300"/>
        <v>40950</v>
      </c>
      <c r="AE992" s="93" t="str">
        <f t="shared" si="301"/>
        <v>NO</v>
      </c>
      <c r="AF992" s="2" t="str">
        <f t="shared" si="302"/>
        <v>NO</v>
      </c>
      <c r="AG992" t="str">
        <f t="shared" si="303"/>
        <v>CRAP Transaction</v>
      </c>
    </row>
    <row r="993" spans="1:33" x14ac:dyDescent="0.25">
      <c r="A993" s="2">
        <v>992</v>
      </c>
      <c r="B993" s="3" t="str">
        <f t="shared" si="285"/>
        <v>110203-ED-ANT</v>
      </c>
      <c r="C993" s="3">
        <v>40577</v>
      </c>
      <c r="D993" s="3">
        <f t="shared" si="287"/>
        <v>40591</v>
      </c>
      <c r="E993" s="3">
        <f t="shared" si="288"/>
        <v>40636</v>
      </c>
      <c r="F993" s="3">
        <f t="shared" si="289"/>
        <v>40602</v>
      </c>
      <c r="G993" s="76">
        <f t="shared" si="290"/>
        <v>2011</v>
      </c>
      <c r="H993" s="76">
        <f t="shared" si="291"/>
        <v>2</v>
      </c>
      <c r="I993" s="76" t="str">
        <f>VLOOKUP(H993,'Lookup Values'!$C$2:$D$13,2,FALSE)</f>
        <v>FEB</v>
      </c>
      <c r="J993" s="76">
        <f t="shared" si="292"/>
        <v>3</v>
      </c>
      <c r="K993" s="76">
        <f t="shared" si="293"/>
        <v>5</v>
      </c>
      <c r="L993" s="76" t="str">
        <f>VLOOKUP(K993,'Lookup Values'!$F$2:$G$8,2,FALSE)</f>
        <v>Thursday</v>
      </c>
      <c r="M993" s="3">
        <v>40579</v>
      </c>
      <c r="N993" s="78">
        <f t="shared" si="286"/>
        <v>2</v>
      </c>
      <c r="O993" s="11">
        <v>0.32517970586525291</v>
      </c>
      <c r="P993" s="94">
        <f t="shared" si="294"/>
        <v>7</v>
      </c>
      <c r="Q993" s="94">
        <f t="shared" si="295"/>
        <v>48</v>
      </c>
      <c r="R993" s="94">
        <f t="shared" si="296"/>
        <v>16</v>
      </c>
      <c r="S993" s="94" t="str">
        <f>VLOOKUP(O993,'Lookup Values'!$I$2:$L$8,4,TRUE)</f>
        <v>Morning</v>
      </c>
      <c r="T993" t="s">
        <v>86</v>
      </c>
      <c r="U993" t="s">
        <v>87</v>
      </c>
      <c r="V993" t="str">
        <f t="shared" si="297"/>
        <v>Education: Tango Lessons</v>
      </c>
      <c r="W993" t="s">
        <v>85</v>
      </c>
      <c r="X993" t="s">
        <v>91</v>
      </c>
      <c r="Y993" s="1">
        <v>338</v>
      </c>
      <c r="Z993" s="1" t="str">
        <f t="shared" si="298"/>
        <v>Education: $338.00</v>
      </c>
      <c r="AA993" s="1">
        <f>IF(Y993="","",ROUND(Y993*'Lookup Values'!$A$2,2))</f>
        <v>30</v>
      </c>
      <c r="AB993" s="12" t="str">
        <f t="shared" si="299"/>
        <v>Expense</v>
      </c>
      <c r="AC993" s="2" t="s">
        <v>951</v>
      </c>
      <c r="AD993" s="3">
        <f t="shared" si="300"/>
        <v>40577</v>
      </c>
      <c r="AE993" s="93" t="str">
        <f t="shared" si="301"/>
        <v>NO</v>
      </c>
      <c r="AF993" s="2" t="str">
        <f t="shared" si="302"/>
        <v>NO</v>
      </c>
      <c r="AG993" t="str">
        <f t="shared" si="303"/>
        <v>CRAP Transaction</v>
      </c>
    </row>
    <row r="994" spans="1:33" x14ac:dyDescent="0.25">
      <c r="A994" s="2">
        <v>993</v>
      </c>
      <c r="B994" s="3" t="str">
        <f t="shared" si="285"/>
        <v>101007-IN-LEG</v>
      </c>
      <c r="C994" s="3">
        <v>40458</v>
      </c>
      <c r="D994" s="3">
        <f t="shared" si="287"/>
        <v>40472</v>
      </c>
      <c r="E994" s="3">
        <f t="shared" si="288"/>
        <v>40519</v>
      </c>
      <c r="F994" s="3">
        <f t="shared" si="289"/>
        <v>40482</v>
      </c>
      <c r="G994" s="76">
        <f t="shared" si="290"/>
        <v>2010</v>
      </c>
      <c r="H994" s="76">
        <f t="shared" si="291"/>
        <v>10</v>
      </c>
      <c r="I994" s="76" t="str">
        <f>VLOOKUP(H994,'Lookup Values'!$C$2:$D$13,2,FALSE)</f>
        <v>OCT</v>
      </c>
      <c r="J994" s="76">
        <f t="shared" si="292"/>
        <v>7</v>
      </c>
      <c r="K994" s="76">
        <f t="shared" si="293"/>
        <v>5</v>
      </c>
      <c r="L994" s="76" t="str">
        <f>VLOOKUP(K994,'Lookup Values'!$F$2:$G$8,2,FALSE)</f>
        <v>Thursday</v>
      </c>
      <c r="M994" s="3">
        <v>40466</v>
      </c>
      <c r="N994" s="78">
        <f t="shared" si="286"/>
        <v>8</v>
      </c>
      <c r="O994" s="11">
        <v>0.88839555495570577</v>
      </c>
      <c r="P994" s="94">
        <f t="shared" si="294"/>
        <v>21</v>
      </c>
      <c r="Q994" s="94">
        <f t="shared" si="295"/>
        <v>19</v>
      </c>
      <c r="R994" s="94">
        <f t="shared" si="296"/>
        <v>17</v>
      </c>
      <c r="S994" s="94" t="str">
        <f>VLOOKUP(O994,'Lookup Values'!$I$2:$L$8,4,TRUE)</f>
        <v>Late Evening</v>
      </c>
      <c r="T994" t="s">
        <v>158</v>
      </c>
      <c r="U994" t="s">
        <v>160</v>
      </c>
      <c r="V994" t="str">
        <f t="shared" si="297"/>
        <v>Income: Freelance Project</v>
      </c>
      <c r="W994" t="s">
        <v>163</v>
      </c>
      <c r="X994" t="s">
        <v>91</v>
      </c>
      <c r="Y994" s="1">
        <v>169</v>
      </c>
      <c r="Z994" s="1" t="str">
        <f t="shared" si="298"/>
        <v>Income: $169.00</v>
      </c>
      <c r="AA994" s="1">
        <f>IF(Y994="","",ROUND(Y994*'Lookup Values'!$A$2,2))</f>
        <v>15</v>
      </c>
      <c r="AB994" s="12" t="str">
        <f t="shared" si="299"/>
        <v>Income</v>
      </c>
      <c r="AC994" s="2" t="s">
        <v>952</v>
      </c>
      <c r="AD994" s="3">
        <f t="shared" si="300"/>
        <v>40458</v>
      </c>
      <c r="AE994" s="93" t="str">
        <f t="shared" si="301"/>
        <v>NO</v>
      </c>
      <c r="AF994" s="2" t="str">
        <f t="shared" si="302"/>
        <v>NO</v>
      </c>
      <c r="AG994" t="str">
        <f t="shared" si="303"/>
        <v>Late Transaction</v>
      </c>
    </row>
    <row r="995" spans="1:33" x14ac:dyDescent="0.25">
      <c r="A995" s="2">
        <v>994</v>
      </c>
      <c r="B995" s="3" t="str">
        <f t="shared" si="285"/>
        <v>071108-ED-SKI</v>
      </c>
      <c r="C995" s="3">
        <v>39394</v>
      </c>
      <c r="D995" s="3">
        <f t="shared" si="287"/>
        <v>39408</v>
      </c>
      <c r="E995" s="3">
        <f t="shared" si="288"/>
        <v>39455</v>
      </c>
      <c r="F995" s="3">
        <f t="shared" si="289"/>
        <v>39416</v>
      </c>
      <c r="G995" s="76">
        <f t="shared" si="290"/>
        <v>2007</v>
      </c>
      <c r="H995" s="76">
        <f t="shared" si="291"/>
        <v>11</v>
      </c>
      <c r="I995" s="76" t="str">
        <f>VLOOKUP(H995,'Lookup Values'!$C$2:$D$13,2,FALSE)</f>
        <v>NOV</v>
      </c>
      <c r="J995" s="76">
        <f t="shared" si="292"/>
        <v>8</v>
      </c>
      <c r="K995" s="76">
        <f t="shared" si="293"/>
        <v>5</v>
      </c>
      <c r="L995" s="76" t="str">
        <f>VLOOKUP(K995,'Lookup Values'!$F$2:$G$8,2,FALSE)</f>
        <v>Thursday</v>
      </c>
      <c r="M995" s="3">
        <v>39404</v>
      </c>
      <c r="N995" s="78">
        <f t="shared" si="286"/>
        <v>10</v>
      </c>
      <c r="O995" s="11">
        <v>0.13430013002994368</v>
      </c>
      <c r="P995" s="94">
        <f t="shared" si="294"/>
        <v>3</v>
      </c>
      <c r="Q995" s="94">
        <f t="shared" si="295"/>
        <v>13</v>
      </c>
      <c r="R995" s="94">
        <f t="shared" si="296"/>
        <v>24</v>
      </c>
      <c r="S995" s="94" t="str">
        <f>VLOOKUP(O995,'Lookup Values'!$I$2:$L$8,4,TRUE)</f>
        <v>Dead of Night</v>
      </c>
      <c r="T995" t="s">
        <v>86</v>
      </c>
      <c r="U995" t="s">
        <v>98</v>
      </c>
      <c r="V995" t="str">
        <f t="shared" si="297"/>
        <v>Education: Professional Development</v>
      </c>
      <c r="W995" t="s">
        <v>97</v>
      </c>
      <c r="X995" t="s">
        <v>88</v>
      </c>
      <c r="Y995" s="1">
        <v>137</v>
      </c>
      <c r="Z995" s="1" t="str">
        <f t="shared" si="298"/>
        <v>Education: $137.00</v>
      </c>
      <c r="AA995" s="1">
        <f>IF(Y995="","",ROUND(Y995*'Lookup Values'!$A$2,2))</f>
        <v>12.16</v>
      </c>
      <c r="AB995" s="12" t="str">
        <f t="shared" si="299"/>
        <v>Expense</v>
      </c>
      <c r="AC995" s="2" t="s">
        <v>953</v>
      </c>
      <c r="AD995" s="3">
        <f t="shared" si="300"/>
        <v>39394</v>
      </c>
      <c r="AE995" s="93" t="str">
        <f t="shared" si="301"/>
        <v>YES</v>
      </c>
      <c r="AF995" s="2" t="str">
        <f t="shared" si="302"/>
        <v>NO</v>
      </c>
      <c r="AG995" t="str">
        <f t="shared" si="303"/>
        <v>Late Transaction</v>
      </c>
    </row>
    <row r="996" spans="1:33" x14ac:dyDescent="0.25">
      <c r="A996" s="2">
        <v>995</v>
      </c>
      <c r="B996" s="3" t="str">
        <f t="shared" si="285"/>
        <v>110316-SH-EXP</v>
      </c>
      <c r="C996" s="3">
        <v>40618</v>
      </c>
      <c r="D996" s="3">
        <f t="shared" si="287"/>
        <v>40632</v>
      </c>
      <c r="E996" s="3">
        <f t="shared" si="288"/>
        <v>40679</v>
      </c>
      <c r="F996" s="3">
        <f t="shared" si="289"/>
        <v>40633</v>
      </c>
      <c r="G996" s="76">
        <f t="shared" si="290"/>
        <v>2011</v>
      </c>
      <c r="H996" s="76">
        <f t="shared" si="291"/>
        <v>3</v>
      </c>
      <c r="I996" s="76" t="str">
        <f>VLOOKUP(H996,'Lookup Values'!$C$2:$D$13,2,FALSE)</f>
        <v>MAR</v>
      </c>
      <c r="J996" s="76">
        <f t="shared" si="292"/>
        <v>16</v>
      </c>
      <c r="K996" s="76">
        <f t="shared" si="293"/>
        <v>4</v>
      </c>
      <c r="L996" s="76" t="str">
        <f>VLOOKUP(K996,'Lookup Values'!$F$2:$G$8,2,FALSE)</f>
        <v>Wednesday</v>
      </c>
      <c r="M996" s="3">
        <v>40620</v>
      </c>
      <c r="N996" s="78">
        <f t="shared" si="286"/>
        <v>2</v>
      </c>
      <c r="O996" s="11">
        <v>0.57913164796033623</v>
      </c>
      <c r="P996" s="94">
        <f t="shared" si="294"/>
        <v>13</v>
      </c>
      <c r="Q996" s="94">
        <f t="shared" si="295"/>
        <v>53</v>
      </c>
      <c r="R996" s="94">
        <f t="shared" si="296"/>
        <v>57</v>
      </c>
      <c r="S996" s="94" t="str">
        <f>VLOOKUP(O996,'Lookup Values'!$I$2:$L$8,4,TRUE)</f>
        <v>Afternoon</v>
      </c>
      <c r="T996" t="s">
        <v>83</v>
      </c>
      <c r="U996" t="s">
        <v>103</v>
      </c>
      <c r="V996" t="str">
        <f t="shared" si="297"/>
        <v>Shopping: Clothing</v>
      </c>
      <c r="W996" t="s">
        <v>102</v>
      </c>
      <c r="X996" t="s">
        <v>78</v>
      </c>
      <c r="Y996" s="1">
        <v>165</v>
      </c>
      <c r="Z996" s="1" t="str">
        <f t="shared" si="298"/>
        <v>Shopping: $165.00</v>
      </c>
      <c r="AA996" s="1">
        <f>IF(Y996="","",ROUND(Y996*'Lookup Values'!$A$2,2))</f>
        <v>14.64</v>
      </c>
      <c r="AB996" s="12" t="str">
        <f t="shared" si="299"/>
        <v>Expense</v>
      </c>
      <c r="AC996" s="2" t="s">
        <v>954</v>
      </c>
      <c r="AD996" s="3">
        <f t="shared" si="300"/>
        <v>40618</v>
      </c>
      <c r="AE996" s="93" t="str">
        <f t="shared" si="301"/>
        <v>NO</v>
      </c>
      <c r="AF996" s="2" t="str">
        <f t="shared" si="302"/>
        <v>NO</v>
      </c>
      <c r="AG996" t="str">
        <f t="shared" si="303"/>
        <v>CRAP Transaction</v>
      </c>
    </row>
    <row r="997" spans="1:33" x14ac:dyDescent="0.25">
      <c r="A997" s="2">
        <v>996</v>
      </c>
      <c r="B997" s="3" t="str">
        <f t="shared" si="285"/>
        <v>081101-HE-FRE</v>
      </c>
      <c r="C997" s="3">
        <v>39753</v>
      </c>
      <c r="D997" s="3">
        <f t="shared" si="287"/>
        <v>39766</v>
      </c>
      <c r="E997" s="3">
        <f t="shared" si="288"/>
        <v>39814</v>
      </c>
      <c r="F997" s="3">
        <f t="shared" si="289"/>
        <v>39782</v>
      </c>
      <c r="G997" s="76">
        <f t="shared" si="290"/>
        <v>2008</v>
      </c>
      <c r="H997" s="76">
        <f t="shared" si="291"/>
        <v>11</v>
      </c>
      <c r="I997" s="76" t="str">
        <f>VLOOKUP(H997,'Lookup Values'!$C$2:$D$13,2,FALSE)</f>
        <v>NOV</v>
      </c>
      <c r="J997" s="76">
        <f t="shared" si="292"/>
        <v>1</v>
      </c>
      <c r="K997" s="76">
        <f t="shared" si="293"/>
        <v>7</v>
      </c>
      <c r="L997" s="76" t="str">
        <f>VLOOKUP(K997,'Lookup Values'!$F$2:$G$8,2,FALSE)</f>
        <v>Saturday</v>
      </c>
      <c r="M997" s="3">
        <v>39756</v>
      </c>
      <c r="N997" s="78">
        <f t="shared" si="286"/>
        <v>3</v>
      </c>
      <c r="O997" s="11">
        <v>0.10486129638297692</v>
      </c>
      <c r="P997" s="94">
        <f t="shared" si="294"/>
        <v>2</v>
      </c>
      <c r="Q997" s="94">
        <f t="shared" si="295"/>
        <v>31</v>
      </c>
      <c r="R997" s="94">
        <f t="shared" si="296"/>
        <v>0</v>
      </c>
      <c r="S997" s="94" t="str">
        <f>VLOOKUP(O997,'Lookup Values'!$I$2:$L$8,4,TRUE)</f>
        <v>Dead of Night</v>
      </c>
      <c r="T997" t="s">
        <v>107</v>
      </c>
      <c r="U997" t="s">
        <v>108</v>
      </c>
      <c r="V997" t="str">
        <f t="shared" si="297"/>
        <v>Health: Insurance Premium</v>
      </c>
      <c r="W997" t="s">
        <v>106</v>
      </c>
      <c r="X997" t="s">
        <v>78</v>
      </c>
      <c r="Y997" s="1">
        <v>406</v>
      </c>
      <c r="Z997" s="1" t="str">
        <f t="shared" si="298"/>
        <v>Health: $406.00</v>
      </c>
      <c r="AA997" s="1">
        <f>IF(Y997="","",ROUND(Y997*'Lookup Values'!$A$2,2))</f>
        <v>36.03</v>
      </c>
      <c r="AB997" s="12" t="str">
        <f t="shared" si="299"/>
        <v>Expense</v>
      </c>
      <c r="AC997" s="2" t="s">
        <v>429</v>
      </c>
      <c r="AD997" s="3">
        <f t="shared" si="300"/>
        <v>39753</v>
      </c>
      <c r="AE997" s="93" t="str">
        <f t="shared" si="301"/>
        <v>NO</v>
      </c>
      <c r="AF997" s="2" t="str">
        <f t="shared" si="302"/>
        <v>NO</v>
      </c>
      <c r="AG997" t="str">
        <f t="shared" si="303"/>
        <v>Late Transaction</v>
      </c>
    </row>
    <row r="998" spans="1:33" x14ac:dyDescent="0.25">
      <c r="A998" s="2">
        <v>997</v>
      </c>
      <c r="B998" s="3" t="str">
        <f t="shared" si="285"/>
        <v>090731-FO-CIT</v>
      </c>
      <c r="C998" s="3">
        <v>40025</v>
      </c>
      <c r="D998" s="3">
        <f t="shared" si="287"/>
        <v>40039</v>
      </c>
      <c r="E998" s="3">
        <f t="shared" si="288"/>
        <v>40086</v>
      </c>
      <c r="F998" s="3">
        <f t="shared" si="289"/>
        <v>40025</v>
      </c>
      <c r="G998" s="76">
        <f t="shared" si="290"/>
        <v>2009</v>
      </c>
      <c r="H998" s="76">
        <f t="shared" si="291"/>
        <v>7</v>
      </c>
      <c r="I998" s="76" t="str">
        <f>VLOOKUP(H998,'Lookup Values'!$C$2:$D$13,2,FALSE)</f>
        <v>JUL</v>
      </c>
      <c r="J998" s="76">
        <f t="shared" si="292"/>
        <v>31</v>
      </c>
      <c r="K998" s="76">
        <f t="shared" si="293"/>
        <v>6</v>
      </c>
      <c r="L998" s="76" t="str">
        <f>VLOOKUP(K998,'Lookup Values'!$F$2:$G$8,2,FALSE)</f>
        <v>Friday</v>
      </c>
      <c r="M998" s="3">
        <v>40029</v>
      </c>
      <c r="N998" s="78">
        <f t="shared" si="286"/>
        <v>4</v>
      </c>
      <c r="O998" s="11">
        <v>0.73212581881220362</v>
      </c>
      <c r="P998" s="94">
        <f t="shared" si="294"/>
        <v>17</v>
      </c>
      <c r="Q998" s="94">
        <f t="shared" si="295"/>
        <v>34</v>
      </c>
      <c r="R998" s="94">
        <f t="shared" si="296"/>
        <v>16</v>
      </c>
      <c r="S998" s="94" t="str">
        <f>VLOOKUP(O998,'Lookup Values'!$I$2:$L$8,4,TRUE)</f>
        <v>Evening</v>
      </c>
      <c r="T998" t="s">
        <v>80</v>
      </c>
      <c r="U998" t="s">
        <v>105</v>
      </c>
      <c r="V998" t="str">
        <f t="shared" si="297"/>
        <v>Food: Coffee</v>
      </c>
      <c r="W998" t="s">
        <v>104</v>
      </c>
      <c r="X998" t="s">
        <v>91</v>
      </c>
      <c r="Y998" s="1">
        <v>213</v>
      </c>
      <c r="Z998" s="1" t="str">
        <f t="shared" si="298"/>
        <v>Food: $213.00</v>
      </c>
      <c r="AA998" s="1">
        <f>IF(Y998="","",ROUND(Y998*'Lookup Values'!$A$2,2))</f>
        <v>18.899999999999999</v>
      </c>
      <c r="AB998" s="12" t="str">
        <f t="shared" si="299"/>
        <v>Expense</v>
      </c>
      <c r="AC998" s="2" t="s">
        <v>955</v>
      </c>
      <c r="AD998" s="3">
        <f t="shared" si="300"/>
        <v>40025</v>
      </c>
      <c r="AE998" s="93" t="str">
        <f t="shared" si="301"/>
        <v>NO</v>
      </c>
      <c r="AF998" s="2" t="str">
        <f t="shared" si="302"/>
        <v>NO</v>
      </c>
      <c r="AG998" t="str">
        <f t="shared" si="303"/>
        <v>Awesome Transaction</v>
      </c>
    </row>
    <row r="999" spans="1:33" x14ac:dyDescent="0.25">
      <c r="A999" s="2">
        <v>998</v>
      </c>
      <c r="B999" s="3" t="str">
        <f t="shared" si="285"/>
        <v>110617-ED-SKI</v>
      </c>
      <c r="C999" s="3">
        <v>40711</v>
      </c>
      <c r="D999" s="3">
        <f t="shared" si="287"/>
        <v>40725</v>
      </c>
      <c r="E999" s="3">
        <f t="shared" si="288"/>
        <v>40772</v>
      </c>
      <c r="F999" s="3">
        <f t="shared" si="289"/>
        <v>40724</v>
      </c>
      <c r="G999" s="76">
        <f t="shared" si="290"/>
        <v>2011</v>
      </c>
      <c r="H999" s="76">
        <f t="shared" si="291"/>
        <v>6</v>
      </c>
      <c r="I999" s="76" t="str">
        <f>VLOOKUP(H999,'Lookup Values'!$C$2:$D$13,2,FALSE)</f>
        <v>JUN</v>
      </c>
      <c r="J999" s="76">
        <f t="shared" si="292"/>
        <v>17</v>
      </c>
      <c r="K999" s="76">
        <f t="shared" si="293"/>
        <v>6</v>
      </c>
      <c r="L999" s="76" t="str">
        <f>VLOOKUP(K999,'Lookup Values'!$F$2:$G$8,2,FALSE)</f>
        <v>Friday</v>
      </c>
      <c r="M999" s="3">
        <v>40712</v>
      </c>
      <c r="N999" s="78">
        <f t="shared" si="286"/>
        <v>1</v>
      </c>
      <c r="O999" s="11">
        <v>0.25045444746271017</v>
      </c>
      <c r="P999" s="94">
        <f t="shared" si="294"/>
        <v>6</v>
      </c>
      <c r="Q999" s="94">
        <f t="shared" si="295"/>
        <v>0</v>
      </c>
      <c r="R999" s="94">
        <f t="shared" si="296"/>
        <v>39</v>
      </c>
      <c r="S999" s="94" t="str">
        <f>VLOOKUP(O999,'Lookup Values'!$I$2:$L$8,4,TRUE)</f>
        <v>Early Morning</v>
      </c>
      <c r="T999" t="s">
        <v>86</v>
      </c>
      <c r="U999" t="s">
        <v>98</v>
      </c>
      <c r="V999" t="str">
        <f t="shared" si="297"/>
        <v>Education: Professional Development</v>
      </c>
      <c r="W999" t="s">
        <v>97</v>
      </c>
      <c r="X999" t="s">
        <v>91</v>
      </c>
      <c r="Y999" s="1">
        <v>139</v>
      </c>
      <c r="Z999" s="1" t="str">
        <f t="shared" si="298"/>
        <v>Education: $139.00</v>
      </c>
      <c r="AA999" s="1">
        <f>IF(Y999="","",ROUND(Y999*'Lookup Values'!$A$2,2))</f>
        <v>12.34</v>
      </c>
      <c r="AB999" s="12" t="str">
        <f t="shared" si="299"/>
        <v>Expense</v>
      </c>
      <c r="AC999" s="2" t="s">
        <v>956</v>
      </c>
      <c r="AD999" s="3">
        <f t="shared" si="300"/>
        <v>40711</v>
      </c>
      <c r="AE999" s="93" t="str">
        <f t="shared" si="301"/>
        <v>YES</v>
      </c>
      <c r="AF999" s="2" t="str">
        <f t="shared" si="302"/>
        <v>NO</v>
      </c>
      <c r="AG999" t="str">
        <f t="shared" si="303"/>
        <v>CRAP Transaction</v>
      </c>
    </row>
    <row r="1000" spans="1:33" x14ac:dyDescent="0.25">
      <c r="A1000" s="2">
        <v>999</v>
      </c>
      <c r="B1000" s="3" t="str">
        <f t="shared" si="285"/>
        <v>070722-FO-CIT</v>
      </c>
      <c r="C1000" s="3">
        <v>39285</v>
      </c>
      <c r="D1000" s="3">
        <f t="shared" si="287"/>
        <v>39297</v>
      </c>
      <c r="E1000" s="3">
        <f t="shared" si="288"/>
        <v>39347</v>
      </c>
      <c r="F1000" s="3">
        <f t="shared" si="289"/>
        <v>39294</v>
      </c>
      <c r="G1000" s="76">
        <f t="shared" si="290"/>
        <v>2007</v>
      </c>
      <c r="H1000" s="76">
        <f t="shared" si="291"/>
        <v>7</v>
      </c>
      <c r="I1000" s="76" t="str">
        <f>VLOOKUP(H1000,'Lookup Values'!$C$2:$D$13,2,FALSE)</f>
        <v>JUL</v>
      </c>
      <c r="J1000" s="76">
        <f t="shared" si="292"/>
        <v>22</v>
      </c>
      <c r="K1000" s="76">
        <f t="shared" si="293"/>
        <v>1</v>
      </c>
      <c r="L1000" s="76" t="str">
        <f>VLOOKUP(K1000,'Lookup Values'!$F$2:$G$8,2,FALSE)</f>
        <v>Sunday</v>
      </c>
      <c r="M1000" s="3">
        <v>39291</v>
      </c>
      <c r="N1000" s="78">
        <f t="shared" si="286"/>
        <v>6</v>
      </c>
      <c r="O1000" s="11">
        <v>7.8185565777123656E-2</v>
      </c>
      <c r="P1000" s="94">
        <f t="shared" si="294"/>
        <v>1</v>
      </c>
      <c r="Q1000" s="94">
        <f t="shared" si="295"/>
        <v>52</v>
      </c>
      <c r="R1000" s="94">
        <f t="shared" si="296"/>
        <v>35</v>
      </c>
      <c r="S1000" s="94" t="str">
        <f>VLOOKUP(O1000,'Lookup Values'!$I$2:$L$8,4,TRUE)</f>
        <v>Dead of Night</v>
      </c>
      <c r="T1000" t="s">
        <v>80</v>
      </c>
      <c r="U1000" t="s">
        <v>105</v>
      </c>
      <c r="V1000" t="str">
        <f t="shared" si="297"/>
        <v>Food: Coffee</v>
      </c>
      <c r="W1000" t="s">
        <v>104</v>
      </c>
      <c r="X1000" t="s">
        <v>78</v>
      </c>
      <c r="Y1000" s="1">
        <v>398</v>
      </c>
      <c r="Z1000" s="1" t="str">
        <f t="shared" si="298"/>
        <v>Food: $398.00</v>
      </c>
      <c r="AA1000" s="1">
        <f>IF(Y1000="","",ROUND(Y1000*'Lookup Values'!$A$2,2))</f>
        <v>35.32</v>
      </c>
      <c r="AB1000" s="12" t="str">
        <f t="shared" si="299"/>
        <v>Expense</v>
      </c>
      <c r="AC1000" s="2" t="s">
        <v>391</v>
      </c>
      <c r="AD1000" s="3">
        <f t="shared" si="300"/>
        <v>39285</v>
      </c>
      <c r="AE1000" s="93" t="str">
        <f t="shared" si="301"/>
        <v>NO</v>
      </c>
      <c r="AF1000" s="2" t="str">
        <f t="shared" si="302"/>
        <v>NO</v>
      </c>
      <c r="AG1000" t="str">
        <f t="shared" si="303"/>
        <v>Awesome Transaction</v>
      </c>
    </row>
    <row r="1001" spans="1:33" x14ac:dyDescent="0.25">
      <c r="A1001" s="2">
        <v>1000</v>
      </c>
      <c r="B1001" s="3" t="str">
        <f t="shared" si="285"/>
        <v>071224-HE-FRE</v>
      </c>
      <c r="C1001" s="3">
        <v>39440</v>
      </c>
      <c r="D1001" s="3">
        <f t="shared" si="287"/>
        <v>39454</v>
      </c>
      <c r="E1001" s="3">
        <f t="shared" si="288"/>
        <v>39502</v>
      </c>
      <c r="F1001" s="3">
        <f t="shared" si="289"/>
        <v>39447</v>
      </c>
      <c r="G1001" s="76">
        <f t="shared" si="290"/>
        <v>2007</v>
      </c>
      <c r="H1001" s="76">
        <f t="shared" si="291"/>
        <v>12</v>
      </c>
      <c r="I1001" s="76" t="str">
        <f>VLOOKUP(H1001,'Lookup Values'!$C$2:$D$13,2,FALSE)</f>
        <v>DEC</v>
      </c>
      <c r="J1001" s="76">
        <f t="shared" si="292"/>
        <v>24</v>
      </c>
      <c r="K1001" s="76">
        <f t="shared" si="293"/>
        <v>2</v>
      </c>
      <c r="L1001" s="76" t="str">
        <f>VLOOKUP(K1001,'Lookup Values'!$F$2:$G$8,2,FALSE)</f>
        <v>Monday</v>
      </c>
      <c r="M1001" s="3">
        <v>39449</v>
      </c>
      <c r="N1001" s="78">
        <f t="shared" si="286"/>
        <v>9</v>
      </c>
      <c r="O1001" s="11">
        <v>4.159113477658738E-3</v>
      </c>
      <c r="P1001" s="94">
        <f t="shared" si="294"/>
        <v>0</v>
      </c>
      <c r="Q1001" s="94">
        <f t="shared" si="295"/>
        <v>5</v>
      </c>
      <c r="R1001" s="94">
        <f t="shared" si="296"/>
        <v>59</v>
      </c>
      <c r="S1001" s="94" t="str">
        <f>VLOOKUP(O1001,'Lookup Values'!$I$2:$L$8,4,TRUE)</f>
        <v>Dead of Night</v>
      </c>
      <c r="T1001" t="s">
        <v>107</v>
      </c>
      <c r="U1001" t="s">
        <v>108</v>
      </c>
      <c r="V1001" t="str">
        <f t="shared" si="297"/>
        <v>Health: Insurance Premium</v>
      </c>
      <c r="W1001" t="s">
        <v>106</v>
      </c>
      <c r="X1001" t="s">
        <v>78</v>
      </c>
      <c r="Y1001" s="1">
        <v>453</v>
      </c>
      <c r="Z1001" s="1" t="str">
        <f t="shared" si="298"/>
        <v>Health: $453.00</v>
      </c>
      <c r="AA1001" s="1">
        <f>IF(Y1001="","",ROUND(Y1001*'Lookup Values'!$A$2,2))</f>
        <v>40.200000000000003</v>
      </c>
      <c r="AB1001" s="12" t="str">
        <f t="shared" si="299"/>
        <v>Expense</v>
      </c>
      <c r="AC1001" s="2" t="s">
        <v>957</v>
      </c>
      <c r="AD1001" s="3">
        <f t="shared" si="300"/>
        <v>39440</v>
      </c>
      <c r="AE1001" s="93" t="str">
        <f t="shared" si="301"/>
        <v>NO</v>
      </c>
      <c r="AF1001" s="2" t="str">
        <f t="shared" si="302"/>
        <v>NO</v>
      </c>
      <c r="AG1001" t="str">
        <f t="shared" si="303"/>
        <v>Late Transaction</v>
      </c>
    </row>
  </sheetData>
  <conditionalFormatting sqref="AB1 AB1002:AB1048576">
    <cfRule type="cellIs" dxfId="1" priority="1" operator="equal">
      <formula>"INCOME"</formula>
    </cfRule>
    <cfRule type="cellIs" dxfId="0" priority="2" operator="equal">
      <formula>"EXPENSE"</formula>
    </cfRule>
  </conditionalFormatting>
  <pageMargins left="0.7" right="0.7" top="0.75" bottom="0.75" header="0.3" footer="0.3"/>
  <pageSetup paperSize="15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125" zoomScaleNormal="125" workbookViewId="0">
      <selection activeCell="L2" sqref="L2"/>
    </sheetView>
  </sheetViews>
  <sheetFormatPr defaultRowHeight="15" x14ac:dyDescent="0.25"/>
  <cols>
    <col min="2" max="2" width="2.7109375" customWidth="1"/>
    <col min="3" max="3" width="7.85546875" customWidth="1"/>
    <col min="5" max="5" width="2.7109375" customWidth="1"/>
    <col min="6" max="6" width="10.28515625" customWidth="1"/>
    <col min="7" max="7" width="11.42578125" bestFit="1" customWidth="1"/>
    <col min="11" max="11" width="18.85546875" bestFit="1" customWidth="1"/>
    <col min="12" max="12" width="13.28515625" bestFit="1" customWidth="1"/>
  </cols>
  <sheetData>
    <row r="1" spans="1:12" s="71" customFormat="1" ht="30" x14ac:dyDescent="0.25">
      <c r="A1" s="71" t="s">
        <v>1074</v>
      </c>
      <c r="C1" s="71" t="s">
        <v>1140</v>
      </c>
      <c r="D1" s="71" t="s">
        <v>1141</v>
      </c>
      <c r="F1" s="71" t="s">
        <v>1154</v>
      </c>
      <c r="G1" s="71" t="s">
        <v>1075</v>
      </c>
      <c r="I1" s="71" t="s">
        <v>1178</v>
      </c>
      <c r="J1" s="95" t="s">
        <v>1179</v>
      </c>
      <c r="K1" s="95" t="s">
        <v>1180</v>
      </c>
      <c r="L1" s="71" t="s">
        <v>1181</v>
      </c>
    </row>
    <row r="2" spans="1:12" x14ac:dyDescent="0.25">
      <c r="A2" s="80">
        <v>8.8749999999999996E-2</v>
      </c>
      <c r="C2">
        <v>1</v>
      </c>
      <c r="D2" t="s">
        <v>1142</v>
      </c>
      <c r="F2">
        <v>1</v>
      </c>
      <c r="G2" t="s">
        <v>1155</v>
      </c>
      <c r="I2" s="11">
        <v>0</v>
      </c>
      <c r="J2" s="96">
        <v>0.16597222222222222</v>
      </c>
      <c r="K2" s="96" t="str">
        <f>TEXT(I2,"hh:mm AM/PM") &amp; " - " &amp; TEXT(J2,"hh:mm AM/PM")</f>
        <v>12:00 AM - 03:59 AM</v>
      </c>
      <c r="L2" t="s">
        <v>1188</v>
      </c>
    </row>
    <row r="3" spans="1:12" x14ac:dyDescent="0.25">
      <c r="C3">
        <v>2</v>
      </c>
      <c r="D3" t="s">
        <v>1143</v>
      </c>
      <c r="F3">
        <v>2</v>
      </c>
      <c r="G3" t="s">
        <v>1156</v>
      </c>
      <c r="I3" s="11">
        <v>0.16666666666666666</v>
      </c>
      <c r="J3" s="96">
        <v>0.29097222222222224</v>
      </c>
      <c r="K3" s="96" t="str">
        <f t="shared" ref="K3:K8" si="0">TEXT(I3,"hh:mm AM/PM") &amp; " - " &amp; TEXT(J3,"hh:mm AM/PM")</f>
        <v>04:00 AM - 06:59 AM</v>
      </c>
      <c r="L3" t="s">
        <v>1182</v>
      </c>
    </row>
    <row r="4" spans="1:12" x14ac:dyDescent="0.25">
      <c r="C4">
        <v>3</v>
      </c>
      <c r="D4" t="s">
        <v>1144</v>
      </c>
      <c r="F4">
        <v>3</v>
      </c>
      <c r="G4" t="s">
        <v>1157</v>
      </c>
      <c r="I4" s="11">
        <v>0.29166666666666669</v>
      </c>
      <c r="J4" s="96">
        <v>0.41597222222222219</v>
      </c>
      <c r="K4" s="96" t="str">
        <f t="shared" si="0"/>
        <v>07:00 AM - 09:59 AM</v>
      </c>
      <c r="L4" t="s">
        <v>1183</v>
      </c>
    </row>
    <row r="5" spans="1:12" x14ac:dyDescent="0.25">
      <c r="C5">
        <v>4</v>
      </c>
      <c r="D5" t="s">
        <v>1145</v>
      </c>
      <c r="F5">
        <v>4</v>
      </c>
      <c r="G5" t="s">
        <v>1158</v>
      </c>
      <c r="I5" s="11">
        <v>0.41666666666666669</v>
      </c>
      <c r="J5" s="96">
        <v>0.4993055555555555</v>
      </c>
      <c r="K5" s="96" t="str">
        <f t="shared" si="0"/>
        <v>10:00 AM - 11:59 AM</v>
      </c>
      <c r="L5" t="s">
        <v>1184</v>
      </c>
    </row>
    <row r="6" spans="1:12" x14ac:dyDescent="0.25">
      <c r="C6">
        <v>5</v>
      </c>
      <c r="D6" t="s">
        <v>1146</v>
      </c>
      <c r="F6">
        <v>5</v>
      </c>
      <c r="G6" t="s">
        <v>1159</v>
      </c>
      <c r="I6" s="11">
        <v>0.5</v>
      </c>
      <c r="J6" s="96">
        <v>0.70763888888888893</v>
      </c>
      <c r="K6" s="96" t="str">
        <f t="shared" si="0"/>
        <v>12:00 PM - 04:59 PM</v>
      </c>
      <c r="L6" t="s">
        <v>1185</v>
      </c>
    </row>
    <row r="7" spans="1:12" x14ac:dyDescent="0.25">
      <c r="C7">
        <v>6</v>
      </c>
      <c r="D7" t="s">
        <v>1147</v>
      </c>
      <c r="F7">
        <v>6</v>
      </c>
      <c r="G7" t="s">
        <v>1160</v>
      </c>
      <c r="I7" s="11">
        <v>0.70833333333333337</v>
      </c>
      <c r="J7" s="96">
        <v>0.87430555555555556</v>
      </c>
      <c r="K7" s="96" t="str">
        <f t="shared" si="0"/>
        <v>05:00 PM - 08:59 PM</v>
      </c>
      <c r="L7" t="s">
        <v>1186</v>
      </c>
    </row>
    <row r="8" spans="1:12" x14ac:dyDescent="0.25">
      <c r="C8">
        <v>7</v>
      </c>
      <c r="D8" t="s">
        <v>1148</v>
      </c>
      <c r="F8">
        <v>7</v>
      </c>
      <c r="G8" t="s">
        <v>1161</v>
      </c>
      <c r="I8" s="11">
        <v>0.875</v>
      </c>
      <c r="J8" s="96">
        <v>0.99930555555555556</v>
      </c>
      <c r="K8" s="96" t="str">
        <f t="shared" si="0"/>
        <v>09:00 PM - 11:59 PM</v>
      </c>
      <c r="L8" t="s">
        <v>1187</v>
      </c>
    </row>
    <row r="9" spans="1:12" x14ac:dyDescent="0.25">
      <c r="C9">
        <v>8</v>
      </c>
      <c r="D9" t="s">
        <v>1149</v>
      </c>
    </row>
    <row r="10" spans="1:12" x14ac:dyDescent="0.25">
      <c r="C10">
        <v>9</v>
      </c>
      <c r="D10" t="s">
        <v>1150</v>
      </c>
    </row>
    <row r="11" spans="1:12" x14ac:dyDescent="0.25">
      <c r="C11">
        <v>10</v>
      </c>
      <c r="D11" t="s">
        <v>1151</v>
      </c>
    </row>
    <row r="12" spans="1:12" x14ac:dyDescent="0.25">
      <c r="C12">
        <v>11</v>
      </c>
      <c r="D12" t="s">
        <v>1152</v>
      </c>
    </row>
    <row r="13" spans="1:12" x14ac:dyDescent="0.25">
      <c r="C13">
        <v>12</v>
      </c>
      <c r="D13" t="s">
        <v>1153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125" zoomScaleNormal="125" workbookViewId="0"/>
  </sheetViews>
  <sheetFormatPr defaultRowHeight="15" x14ac:dyDescent="0.25"/>
  <cols>
    <col min="1" max="1" width="5.28515625" bestFit="1" customWidth="1"/>
    <col min="2" max="2" width="26.42578125" customWidth="1"/>
    <col min="3" max="3" width="16.28515625" customWidth="1"/>
    <col min="4" max="4" width="8.85546875" customWidth="1"/>
    <col min="5" max="5" width="2.7109375" customWidth="1"/>
    <col min="6" max="6" width="9.7109375" bestFit="1" customWidth="1"/>
    <col min="7" max="7" width="15.7109375" bestFit="1" customWidth="1"/>
    <col min="8" max="8" width="11.28515625" bestFit="1" customWidth="1"/>
    <col min="9" max="9" width="14.7109375" bestFit="1" customWidth="1"/>
    <col min="10" max="10" width="13.28515625" bestFit="1" customWidth="1"/>
  </cols>
  <sheetData>
    <row r="1" spans="1:10" s="37" customFormat="1" ht="30" x14ac:dyDescent="0.25">
      <c r="A1" s="40" t="s">
        <v>1125</v>
      </c>
      <c r="B1" s="41" t="s">
        <v>1006</v>
      </c>
      <c r="C1" s="41" t="s">
        <v>1007</v>
      </c>
      <c r="D1" s="42" t="s">
        <v>1008</v>
      </c>
    </row>
    <row r="2" spans="1:10" x14ac:dyDescent="0.25">
      <c r="A2" s="43">
        <v>1</v>
      </c>
      <c r="B2" s="12" t="s">
        <v>1011</v>
      </c>
      <c r="C2" s="12" t="s">
        <v>1005</v>
      </c>
      <c r="D2" s="44">
        <v>31886</v>
      </c>
    </row>
    <row r="3" spans="1:10" x14ac:dyDescent="0.25">
      <c r="A3" s="43">
        <v>2</v>
      </c>
      <c r="B3" s="12" t="s">
        <v>1014</v>
      </c>
      <c r="C3" s="12" t="s">
        <v>1034</v>
      </c>
      <c r="D3" s="44">
        <v>31886</v>
      </c>
    </row>
    <row r="4" spans="1:10" x14ac:dyDescent="0.25">
      <c r="A4" s="43">
        <v>3</v>
      </c>
      <c r="B4" s="12" t="s">
        <v>1015</v>
      </c>
      <c r="C4" s="12" t="s">
        <v>1004</v>
      </c>
      <c r="D4" s="44">
        <v>31886</v>
      </c>
    </row>
    <row r="5" spans="1:10" x14ac:dyDescent="0.25">
      <c r="A5" s="43">
        <v>4</v>
      </c>
      <c r="B5" s="12" t="s">
        <v>1016</v>
      </c>
      <c r="C5" s="12" t="s">
        <v>1009</v>
      </c>
      <c r="D5" s="44">
        <v>31886</v>
      </c>
    </row>
    <row r="6" spans="1:10" x14ac:dyDescent="0.25">
      <c r="A6" s="43">
        <v>5</v>
      </c>
      <c r="B6" s="12" t="s">
        <v>1017</v>
      </c>
      <c r="C6" s="12" t="s">
        <v>1035</v>
      </c>
      <c r="D6" s="44">
        <v>31886</v>
      </c>
    </row>
    <row r="7" spans="1:10" x14ac:dyDescent="0.25">
      <c r="A7" s="43">
        <v>6</v>
      </c>
      <c r="B7" s="12" t="s">
        <v>1018</v>
      </c>
      <c r="C7" s="12" t="s">
        <v>1034</v>
      </c>
      <c r="D7" s="44">
        <v>32523</v>
      </c>
      <c r="F7" s="2"/>
      <c r="G7" s="2"/>
      <c r="H7" s="2"/>
      <c r="I7" s="2"/>
    </row>
    <row r="8" spans="1:10" x14ac:dyDescent="0.25">
      <c r="A8" s="43">
        <v>7</v>
      </c>
      <c r="B8" s="12" t="s">
        <v>1019</v>
      </c>
      <c r="C8" s="12" t="s">
        <v>1034</v>
      </c>
      <c r="D8" s="44">
        <v>32859</v>
      </c>
      <c r="F8" s="47" t="s">
        <v>1125</v>
      </c>
      <c r="G8" s="49" t="s">
        <v>1010</v>
      </c>
      <c r="H8" t="s">
        <v>1012</v>
      </c>
    </row>
    <row r="9" spans="1:10" x14ac:dyDescent="0.25">
      <c r="A9" s="43">
        <v>8</v>
      </c>
      <c r="B9" s="12" t="s">
        <v>1020</v>
      </c>
      <c r="C9" s="12" t="s">
        <v>1003</v>
      </c>
      <c r="D9" s="44">
        <v>32859</v>
      </c>
      <c r="F9" s="48">
        <v>9</v>
      </c>
      <c r="G9" s="50" t="str">
        <f>VLOOKUP(F9,$A$2:$D$22,2,FALSE)</f>
        <v>Moe Szyslak</v>
      </c>
      <c r="H9" t="str">
        <f>VLOOKUP(F9,$A$2:$D$22,3,FALSE)</f>
        <v>Hank Azaria</v>
      </c>
    </row>
    <row r="10" spans="1:10" x14ac:dyDescent="0.25">
      <c r="A10" s="43">
        <v>9</v>
      </c>
      <c r="B10" s="12" t="s">
        <v>1021</v>
      </c>
      <c r="C10" s="12" t="s">
        <v>1036</v>
      </c>
      <c r="D10" s="44">
        <v>32859</v>
      </c>
    </row>
    <row r="11" spans="1:10" x14ac:dyDescent="0.25">
      <c r="A11" s="43">
        <v>10</v>
      </c>
      <c r="B11" s="12" t="s">
        <v>1022</v>
      </c>
      <c r="C11" s="12" t="s">
        <v>1003</v>
      </c>
      <c r="D11" s="44">
        <v>32859</v>
      </c>
    </row>
    <row r="12" spans="1:10" x14ac:dyDescent="0.25">
      <c r="A12" s="43">
        <v>20</v>
      </c>
      <c r="B12" s="12" t="s">
        <v>1023</v>
      </c>
      <c r="C12" s="12" t="s">
        <v>1005</v>
      </c>
      <c r="D12" s="44">
        <v>32908</v>
      </c>
    </row>
    <row r="13" spans="1:10" x14ac:dyDescent="0.25">
      <c r="A13" s="43">
        <v>21</v>
      </c>
      <c r="B13" s="12" t="s">
        <v>1024</v>
      </c>
      <c r="C13" s="12" t="s">
        <v>1005</v>
      </c>
      <c r="D13" s="44">
        <v>32915</v>
      </c>
    </row>
    <row r="14" spans="1:10" x14ac:dyDescent="0.25">
      <c r="A14" s="43">
        <v>22</v>
      </c>
      <c r="B14" s="12" t="s">
        <v>1025</v>
      </c>
      <c r="C14" s="12" t="s">
        <v>1036</v>
      </c>
      <c r="D14" s="44">
        <v>32929</v>
      </c>
      <c r="G14" s="32" t="s">
        <v>995</v>
      </c>
      <c r="H14" s="33" t="s">
        <v>997</v>
      </c>
      <c r="I14" s="34" t="s">
        <v>999</v>
      </c>
      <c r="J14" s="33" t="s">
        <v>1001</v>
      </c>
    </row>
    <row r="15" spans="1:10" x14ac:dyDescent="0.25">
      <c r="A15" s="43">
        <v>23</v>
      </c>
      <c r="B15" s="12" t="s">
        <v>1026</v>
      </c>
      <c r="C15" s="12" t="s">
        <v>1037</v>
      </c>
      <c r="D15" s="44">
        <v>32929</v>
      </c>
      <c r="F15" s="35" t="s">
        <v>132</v>
      </c>
      <c r="G15" s="36" t="s">
        <v>1042</v>
      </c>
      <c r="H15" s="36" t="s">
        <v>1041</v>
      </c>
      <c r="I15" s="36">
        <v>2</v>
      </c>
      <c r="J15" s="36" t="b">
        <v>0</v>
      </c>
    </row>
    <row r="16" spans="1:10" x14ac:dyDescent="0.25">
      <c r="A16" s="43">
        <v>24</v>
      </c>
      <c r="B16" s="12" t="s">
        <v>1027</v>
      </c>
      <c r="C16" s="12" t="s">
        <v>1003</v>
      </c>
      <c r="D16" s="44">
        <v>32992</v>
      </c>
    </row>
    <row r="17" spans="1:4" x14ac:dyDescent="0.25">
      <c r="A17" s="43">
        <v>25</v>
      </c>
      <c r="B17" s="12" t="s">
        <v>1028</v>
      </c>
      <c r="C17" s="12" t="s">
        <v>1038</v>
      </c>
      <c r="D17" s="44">
        <v>33276</v>
      </c>
    </row>
    <row r="18" spans="1:4" x14ac:dyDescent="0.25">
      <c r="A18" s="43">
        <v>26</v>
      </c>
      <c r="B18" s="12" t="s">
        <v>1029</v>
      </c>
      <c r="C18" s="12" t="s">
        <v>1034</v>
      </c>
      <c r="D18" s="44">
        <v>33283</v>
      </c>
    </row>
    <row r="19" spans="1:4" x14ac:dyDescent="0.25">
      <c r="A19" s="43">
        <v>27</v>
      </c>
      <c r="B19" s="12" t="s">
        <v>1030</v>
      </c>
      <c r="C19" s="12" t="s">
        <v>1034</v>
      </c>
      <c r="D19" s="44">
        <v>33283</v>
      </c>
    </row>
    <row r="20" spans="1:4" x14ac:dyDescent="0.25">
      <c r="A20" s="43">
        <v>28</v>
      </c>
      <c r="B20" s="12" t="s">
        <v>1031</v>
      </c>
      <c r="C20" s="12" t="s">
        <v>1036</v>
      </c>
      <c r="D20" s="44">
        <v>33911</v>
      </c>
    </row>
    <row r="21" spans="1:4" x14ac:dyDescent="0.25">
      <c r="A21" s="43">
        <v>29</v>
      </c>
      <c r="B21" s="12" t="s">
        <v>1032</v>
      </c>
      <c r="C21" s="12" t="s">
        <v>1036</v>
      </c>
      <c r="D21" s="44">
        <v>34088</v>
      </c>
    </row>
    <row r="22" spans="1:4" x14ac:dyDescent="0.25">
      <c r="A22" s="45">
        <v>30</v>
      </c>
      <c r="B22" s="38" t="s">
        <v>1033</v>
      </c>
      <c r="C22" s="38" t="s">
        <v>1036</v>
      </c>
      <c r="D22" s="46">
        <v>35078</v>
      </c>
    </row>
    <row r="24" spans="1:4" x14ac:dyDescent="0.25">
      <c r="B24" s="29" t="s">
        <v>992</v>
      </c>
      <c r="C24" s="30"/>
    </row>
    <row r="25" spans="1:4" x14ac:dyDescent="0.25">
      <c r="A25" s="5"/>
      <c r="B25" s="5" t="s">
        <v>993</v>
      </c>
      <c r="C25" s="31" t="s">
        <v>994</v>
      </c>
    </row>
    <row r="26" spans="1:4" x14ac:dyDescent="0.25">
      <c r="A26">
        <v>1</v>
      </c>
      <c r="B26" t="s">
        <v>995</v>
      </c>
      <c r="C26" s="30" t="s">
        <v>996</v>
      </c>
    </row>
    <row r="27" spans="1:4" x14ac:dyDescent="0.25">
      <c r="A27">
        <v>2</v>
      </c>
      <c r="B27" t="s">
        <v>997</v>
      </c>
      <c r="C27" s="30" t="s">
        <v>998</v>
      </c>
    </row>
    <row r="28" spans="1:4" x14ac:dyDescent="0.25">
      <c r="A28">
        <v>3</v>
      </c>
      <c r="B28" t="s">
        <v>999</v>
      </c>
      <c r="C28" s="30" t="s">
        <v>1000</v>
      </c>
    </row>
    <row r="29" spans="1:4" x14ac:dyDescent="0.25">
      <c r="A29">
        <v>4</v>
      </c>
      <c r="B29" t="s">
        <v>1001</v>
      </c>
      <c r="C29" s="30" t="s">
        <v>1002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125" zoomScaleNormal="125" workbookViewId="0">
      <selection activeCell="C11" sqref="C11"/>
    </sheetView>
  </sheetViews>
  <sheetFormatPr defaultRowHeight="15" x14ac:dyDescent="0.25"/>
  <cols>
    <col min="1" max="1" width="5.28515625" bestFit="1" customWidth="1"/>
    <col min="2" max="2" width="26.42578125" customWidth="1"/>
    <col min="3" max="3" width="16.28515625" customWidth="1"/>
    <col min="4" max="4" width="8.85546875" customWidth="1"/>
    <col min="5" max="5" width="2.7109375" customWidth="1"/>
    <col min="7" max="7" width="9.7109375" bestFit="1" customWidth="1"/>
    <col min="8" max="8" width="27.7109375" customWidth="1"/>
    <col min="9" max="9" width="16.28515625" customWidth="1"/>
    <col min="10" max="10" width="14.7109375" bestFit="1" customWidth="1"/>
    <col min="11" max="11" width="19.7109375" bestFit="1" customWidth="1"/>
  </cols>
  <sheetData>
    <row r="1" spans="1:11" s="37" customFormat="1" ht="30" x14ac:dyDescent="0.25">
      <c r="A1" s="40" t="s">
        <v>1125</v>
      </c>
      <c r="B1" s="41" t="s">
        <v>1006</v>
      </c>
      <c r="C1" s="41" t="s">
        <v>1007</v>
      </c>
      <c r="D1" s="42" t="s">
        <v>1008</v>
      </c>
    </row>
    <row r="2" spans="1:11" x14ac:dyDescent="0.25">
      <c r="A2" s="43">
        <v>1</v>
      </c>
      <c r="B2" s="12" t="s">
        <v>1011</v>
      </c>
      <c r="C2" s="12" t="s">
        <v>1005</v>
      </c>
      <c r="D2" s="44">
        <v>31886</v>
      </c>
    </row>
    <row r="3" spans="1:11" x14ac:dyDescent="0.25">
      <c r="A3" s="43">
        <v>2</v>
      </c>
      <c r="B3" s="12" t="s">
        <v>1014</v>
      </c>
      <c r="C3" s="12" t="s">
        <v>1034</v>
      </c>
      <c r="D3" s="44">
        <v>31886</v>
      </c>
    </row>
    <row r="4" spans="1:11" x14ac:dyDescent="0.25">
      <c r="A4" s="43">
        <v>3</v>
      </c>
      <c r="B4" s="12" t="s">
        <v>1015</v>
      </c>
      <c r="C4" s="12" t="s">
        <v>1004</v>
      </c>
      <c r="D4" s="44">
        <v>31886</v>
      </c>
    </row>
    <row r="5" spans="1:11" x14ac:dyDescent="0.25">
      <c r="A5" s="43">
        <v>4</v>
      </c>
      <c r="B5" s="12" t="s">
        <v>1016</v>
      </c>
      <c r="C5" s="12" t="s">
        <v>1009</v>
      </c>
      <c r="D5" s="44">
        <v>31886</v>
      </c>
    </row>
    <row r="6" spans="1:11" x14ac:dyDescent="0.25">
      <c r="A6" s="43">
        <v>5</v>
      </c>
      <c r="B6" s="12" t="s">
        <v>1017</v>
      </c>
      <c r="C6" s="12" t="s">
        <v>1035</v>
      </c>
      <c r="D6" s="44">
        <v>31886</v>
      </c>
    </row>
    <row r="7" spans="1:11" x14ac:dyDescent="0.25">
      <c r="A7" s="43">
        <v>6</v>
      </c>
      <c r="B7" s="12" t="s">
        <v>1018</v>
      </c>
      <c r="C7" s="12" t="s">
        <v>1034</v>
      </c>
      <c r="D7" s="44">
        <v>32523</v>
      </c>
      <c r="F7" t="s">
        <v>1039</v>
      </c>
      <c r="G7" s="2">
        <v>1</v>
      </c>
      <c r="H7" s="2">
        <v>2</v>
      </c>
      <c r="I7" s="2">
        <v>3</v>
      </c>
      <c r="J7" s="2">
        <v>4</v>
      </c>
    </row>
    <row r="8" spans="1:11" x14ac:dyDescent="0.25">
      <c r="A8" s="43">
        <v>7</v>
      </c>
      <c r="B8" s="12" t="s">
        <v>1019</v>
      </c>
      <c r="C8" s="12" t="s">
        <v>1034</v>
      </c>
      <c r="D8" s="44">
        <v>32859</v>
      </c>
      <c r="G8" s="47" t="s">
        <v>1125</v>
      </c>
      <c r="H8" s="49" t="s">
        <v>1010</v>
      </c>
      <c r="I8" s="52" t="s">
        <v>1012</v>
      </c>
      <c r="J8" s="49" t="s">
        <v>1013</v>
      </c>
      <c r="K8" s="53" t="s">
        <v>1040</v>
      </c>
    </row>
    <row r="9" spans="1:11" x14ac:dyDescent="0.25">
      <c r="A9" s="43">
        <v>8</v>
      </c>
      <c r="B9" s="12" t="s">
        <v>1020</v>
      </c>
      <c r="C9" s="12" t="s">
        <v>1003</v>
      </c>
      <c r="D9" s="44">
        <v>32859</v>
      </c>
      <c r="G9" s="54">
        <v>3</v>
      </c>
      <c r="H9" s="58" t="str">
        <f>VLOOKUP($G9,$A$2:$D$22,H$7,$K9)</f>
        <v>Lisa Simpson</v>
      </c>
      <c r="I9" s="39" t="str">
        <f t="shared" ref="I9:J9" si="0">VLOOKUP($G9,$A$2:$D$22,I$7,$K9)</f>
        <v>Yeardley Smith</v>
      </c>
      <c r="J9" s="59">
        <f t="shared" si="0"/>
        <v>31886</v>
      </c>
      <c r="K9" s="55" t="b">
        <v>0</v>
      </c>
    </row>
    <row r="10" spans="1:11" x14ac:dyDescent="0.25">
      <c r="A10" s="43">
        <v>9</v>
      </c>
      <c r="B10" s="12" t="s">
        <v>1021</v>
      </c>
      <c r="C10" s="12" t="s">
        <v>1036</v>
      </c>
      <c r="D10" s="44">
        <v>32859</v>
      </c>
      <c r="G10" s="54">
        <v>15</v>
      </c>
      <c r="H10" s="58" t="e">
        <f t="shared" ref="H10:J12" si="1">VLOOKUP($G10,$A$2:$D$22,H$7,$K10)</f>
        <v>#N/A</v>
      </c>
      <c r="I10" s="39" t="e">
        <f t="shared" si="1"/>
        <v>#N/A</v>
      </c>
      <c r="J10" s="59" t="e">
        <f t="shared" si="1"/>
        <v>#N/A</v>
      </c>
      <c r="K10" s="55" t="b">
        <v>0</v>
      </c>
    </row>
    <row r="11" spans="1:11" x14ac:dyDescent="0.25">
      <c r="A11" s="43">
        <v>10</v>
      </c>
      <c r="B11" s="12" t="s">
        <v>1022</v>
      </c>
      <c r="C11" s="12" t="s">
        <v>1003</v>
      </c>
      <c r="D11" s="44">
        <v>32859</v>
      </c>
      <c r="G11" s="54">
        <v>3</v>
      </c>
      <c r="H11" s="58" t="str">
        <f t="shared" si="1"/>
        <v>Lisa Simpson</v>
      </c>
      <c r="I11" s="39" t="str">
        <f t="shared" si="1"/>
        <v>Yeardley Smith</v>
      </c>
      <c r="J11" s="59">
        <f t="shared" si="1"/>
        <v>31886</v>
      </c>
      <c r="K11" s="55" t="b">
        <v>1</v>
      </c>
    </row>
    <row r="12" spans="1:11" x14ac:dyDescent="0.25">
      <c r="A12" s="43">
        <v>20</v>
      </c>
      <c r="B12" s="12" t="s">
        <v>1023</v>
      </c>
      <c r="C12" s="12" t="s">
        <v>1005</v>
      </c>
      <c r="D12" s="44">
        <v>32908</v>
      </c>
      <c r="G12" s="48">
        <v>15</v>
      </c>
      <c r="H12" s="50" t="str">
        <f t="shared" si="1"/>
        <v>Ned Flanders</v>
      </c>
      <c r="I12" s="56" t="str">
        <f t="shared" si="1"/>
        <v>Harry Shearer</v>
      </c>
      <c r="J12" s="60">
        <f t="shared" si="1"/>
        <v>32859</v>
      </c>
      <c r="K12" s="57" t="b">
        <v>1</v>
      </c>
    </row>
    <row r="13" spans="1:11" x14ac:dyDescent="0.25">
      <c r="A13" s="43">
        <v>21</v>
      </c>
      <c r="B13" s="12" t="s">
        <v>1024</v>
      </c>
      <c r="C13" s="12" t="s">
        <v>1005</v>
      </c>
      <c r="D13" s="44">
        <v>32915</v>
      </c>
    </row>
    <row r="14" spans="1:11" x14ac:dyDescent="0.25">
      <c r="A14" s="43">
        <v>22</v>
      </c>
      <c r="B14" s="12" t="s">
        <v>1025</v>
      </c>
      <c r="C14" s="12" t="s">
        <v>1036</v>
      </c>
      <c r="D14" s="44">
        <v>32929</v>
      </c>
      <c r="H14" s="32" t="s">
        <v>995</v>
      </c>
      <c r="I14" s="33" t="s">
        <v>997</v>
      </c>
      <c r="J14" s="34" t="s">
        <v>999</v>
      </c>
      <c r="K14" s="33" t="s">
        <v>1001</v>
      </c>
    </row>
    <row r="15" spans="1:11" x14ac:dyDescent="0.25">
      <c r="A15" s="43">
        <v>23</v>
      </c>
      <c r="B15" s="12" t="s">
        <v>1026</v>
      </c>
      <c r="C15" s="12" t="s">
        <v>1037</v>
      </c>
      <c r="D15" s="44">
        <v>32929</v>
      </c>
      <c r="G15" s="35" t="s">
        <v>132</v>
      </c>
      <c r="H15" s="36" t="s">
        <v>1042</v>
      </c>
      <c r="I15" s="36" t="s">
        <v>1041</v>
      </c>
      <c r="J15" s="36">
        <v>2</v>
      </c>
      <c r="K15" s="36" t="b">
        <v>0</v>
      </c>
    </row>
    <row r="16" spans="1:11" x14ac:dyDescent="0.25">
      <c r="A16" s="43">
        <v>24</v>
      </c>
      <c r="B16" s="12" t="s">
        <v>1027</v>
      </c>
      <c r="C16" s="12" t="s">
        <v>1003</v>
      </c>
      <c r="D16" s="44">
        <v>32992</v>
      </c>
    </row>
    <row r="17" spans="1:4" x14ac:dyDescent="0.25">
      <c r="A17" s="43">
        <v>25</v>
      </c>
      <c r="B17" s="12" t="s">
        <v>1028</v>
      </c>
      <c r="C17" s="12" t="s">
        <v>1038</v>
      </c>
      <c r="D17" s="44">
        <v>33276</v>
      </c>
    </row>
    <row r="18" spans="1:4" x14ac:dyDescent="0.25">
      <c r="A18" s="43">
        <v>26</v>
      </c>
      <c r="B18" s="12" t="s">
        <v>1029</v>
      </c>
      <c r="C18" s="12" t="s">
        <v>1034</v>
      </c>
      <c r="D18" s="44">
        <v>33283</v>
      </c>
    </row>
    <row r="19" spans="1:4" x14ac:dyDescent="0.25">
      <c r="A19" s="43">
        <v>27</v>
      </c>
      <c r="B19" s="12" t="s">
        <v>1030</v>
      </c>
      <c r="C19" s="12" t="s">
        <v>1034</v>
      </c>
      <c r="D19" s="44">
        <v>33283</v>
      </c>
    </row>
    <row r="20" spans="1:4" x14ac:dyDescent="0.25">
      <c r="A20" s="43">
        <v>28</v>
      </c>
      <c r="B20" s="12" t="s">
        <v>1031</v>
      </c>
      <c r="C20" s="12" t="s">
        <v>1036</v>
      </c>
      <c r="D20" s="44">
        <v>33911</v>
      </c>
    </row>
    <row r="21" spans="1:4" x14ac:dyDescent="0.25">
      <c r="A21" s="43">
        <v>29</v>
      </c>
      <c r="B21" s="12" t="s">
        <v>1032</v>
      </c>
      <c r="C21" s="12" t="s">
        <v>1036</v>
      </c>
      <c r="D21" s="44">
        <v>34088</v>
      </c>
    </row>
    <row r="22" spans="1:4" x14ac:dyDescent="0.25">
      <c r="A22" s="45">
        <v>30</v>
      </c>
      <c r="B22" s="38" t="s">
        <v>1033</v>
      </c>
      <c r="C22" s="38" t="s">
        <v>1036</v>
      </c>
      <c r="D22" s="46">
        <v>35078</v>
      </c>
    </row>
    <row r="24" spans="1:4" x14ac:dyDescent="0.25">
      <c r="B24" s="29" t="s">
        <v>992</v>
      </c>
      <c r="C24" s="30"/>
    </row>
    <row r="25" spans="1:4" x14ac:dyDescent="0.25">
      <c r="A25" s="5"/>
      <c r="B25" s="5" t="s">
        <v>993</v>
      </c>
      <c r="C25" s="31" t="s">
        <v>994</v>
      </c>
    </row>
    <row r="26" spans="1:4" x14ac:dyDescent="0.25">
      <c r="A26">
        <v>1</v>
      </c>
      <c r="B26" t="s">
        <v>995</v>
      </c>
      <c r="C26" s="30" t="s">
        <v>996</v>
      </c>
    </row>
    <row r="27" spans="1:4" x14ac:dyDescent="0.25">
      <c r="A27">
        <v>2</v>
      </c>
      <c r="B27" t="s">
        <v>997</v>
      </c>
      <c r="C27" s="30" t="s">
        <v>998</v>
      </c>
    </row>
    <row r="28" spans="1:4" x14ac:dyDescent="0.25">
      <c r="A28">
        <v>3</v>
      </c>
      <c r="B28" t="s">
        <v>999</v>
      </c>
      <c r="C28" s="30" t="s">
        <v>1000</v>
      </c>
    </row>
    <row r="29" spans="1:4" x14ac:dyDescent="0.25">
      <c r="A29">
        <v>4</v>
      </c>
      <c r="B29" t="s">
        <v>1001</v>
      </c>
      <c r="C29" s="30" t="s">
        <v>1002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125" zoomScaleNormal="125" workbookViewId="0"/>
  </sheetViews>
  <sheetFormatPr defaultRowHeight="15" x14ac:dyDescent="0.25"/>
  <cols>
    <col min="1" max="1" width="11.7109375" bestFit="1" customWidth="1"/>
    <col min="2" max="2" width="8.42578125" customWidth="1"/>
    <col min="5" max="5" width="11.7109375" bestFit="1" customWidth="1"/>
    <col min="6" max="6" width="11.7109375" customWidth="1"/>
    <col min="7" max="7" width="18" customWidth="1"/>
  </cols>
  <sheetData>
    <row r="1" spans="1:7" s="19" customFormat="1" x14ac:dyDescent="0.25">
      <c r="A1" s="17" t="s">
        <v>985</v>
      </c>
      <c r="B1" s="18" t="s">
        <v>979</v>
      </c>
      <c r="C1" s="18" t="s">
        <v>120</v>
      </c>
      <c r="D1" s="18" t="s">
        <v>121</v>
      </c>
      <c r="E1" s="18" t="s">
        <v>983</v>
      </c>
      <c r="F1" s="18" t="s">
        <v>122</v>
      </c>
      <c r="G1" s="18" t="s">
        <v>984</v>
      </c>
    </row>
    <row r="2" spans="1:7" x14ac:dyDescent="0.25">
      <c r="A2">
        <v>75</v>
      </c>
      <c r="B2" t="s">
        <v>980</v>
      </c>
      <c r="C2" t="b">
        <f>AND(A2&gt;=70,B2="sunny")</f>
        <v>1</v>
      </c>
      <c r="D2" t="b">
        <f>OR(A2&gt;=70,B2="Sunny")</f>
        <v>1</v>
      </c>
      <c r="E2" t="b">
        <f>AND(A2&gt;=70,OR(B2="Sunny",B2="Rain"))</f>
        <v>1</v>
      </c>
      <c r="F2" t="b">
        <f>NOT(E2)</f>
        <v>0</v>
      </c>
      <c r="G2" t="str">
        <f>IF(OR(AND(A2&gt;=40,A2&lt;=60),B2="Rain",B2="Snow"),"Bring jacket","Do Not Bring Jacket")</f>
        <v>Do Not Bring Jacket</v>
      </c>
    </row>
    <row r="3" spans="1:7" x14ac:dyDescent="0.25">
      <c r="A3">
        <v>55</v>
      </c>
      <c r="B3" t="s">
        <v>980</v>
      </c>
      <c r="C3" t="b">
        <f t="shared" ref="C3:C21" si="0">AND(A3&gt;=70,B3="sunny")</f>
        <v>0</v>
      </c>
      <c r="D3" t="b">
        <f t="shared" ref="D3:D21" si="1">OR(A3&gt;=70,B3="Sunny")</f>
        <v>1</v>
      </c>
      <c r="E3" t="b">
        <f t="shared" ref="E3:E21" si="2">AND(A3&gt;=70,OR(B3="Sunny",B3="Rain"))</f>
        <v>0</v>
      </c>
      <c r="F3" t="b">
        <f t="shared" ref="F3:F21" si="3">NOT(E3)</f>
        <v>1</v>
      </c>
      <c r="G3" t="str">
        <f t="shared" ref="G3:G21" si="4">IF(OR(AND(A3&gt;=40,A3&lt;=60),B3="Rain",B3="Snow"),"Bring jacket","Do Not Bring Jacket")</f>
        <v>Bring jacket</v>
      </c>
    </row>
    <row r="4" spans="1:7" x14ac:dyDescent="0.25">
      <c r="A4">
        <v>71</v>
      </c>
      <c r="B4" t="s">
        <v>981</v>
      </c>
      <c r="C4" t="b">
        <f t="shared" si="0"/>
        <v>0</v>
      </c>
      <c r="D4" t="b">
        <f t="shared" si="1"/>
        <v>1</v>
      </c>
      <c r="E4" t="b">
        <f t="shared" si="2"/>
        <v>1</v>
      </c>
      <c r="F4" t="b">
        <f t="shared" si="3"/>
        <v>0</v>
      </c>
      <c r="G4" t="str">
        <f t="shared" si="4"/>
        <v>Bring jacket</v>
      </c>
    </row>
    <row r="5" spans="1:7" x14ac:dyDescent="0.25">
      <c r="A5">
        <v>25</v>
      </c>
      <c r="B5" t="s">
        <v>982</v>
      </c>
      <c r="C5" t="b">
        <f t="shared" si="0"/>
        <v>0</v>
      </c>
      <c r="D5" t="b">
        <f t="shared" si="1"/>
        <v>0</v>
      </c>
      <c r="E5" t="b">
        <f t="shared" si="2"/>
        <v>0</v>
      </c>
      <c r="F5" t="b">
        <f t="shared" si="3"/>
        <v>1</v>
      </c>
      <c r="G5" t="str">
        <f t="shared" si="4"/>
        <v>Bring jacket</v>
      </c>
    </row>
    <row r="6" spans="1:7" x14ac:dyDescent="0.25">
      <c r="A6">
        <v>71</v>
      </c>
      <c r="B6" t="s">
        <v>980</v>
      </c>
      <c r="C6" t="b">
        <f t="shared" si="0"/>
        <v>1</v>
      </c>
      <c r="D6" t="b">
        <f t="shared" si="1"/>
        <v>1</v>
      </c>
      <c r="E6" t="b">
        <f t="shared" si="2"/>
        <v>1</v>
      </c>
      <c r="F6" t="b">
        <f t="shared" si="3"/>
        <v>0</v>
      </c>
      <c r="G6" t="str">
        <f t="shared" si="4"/>
        <v>Do Not Bring Jacket</v>
      </c>
    </row>
    <row r="7" spans="1:7" x14ac:dyDescent="0.25">
      <c r="A7">
        <v>69</v>
      </c>
      <c r="B7" t="s">
        <v>980</v>
      </c>
      <c r="C7" t="b">
        <f t="shared" si="0"/>
        <v>0</v>
      </c>
      <c r="D7" t="b">
        <f t="shared" si="1"/>
        <v>1</v>
      </c>
      <c r="E7" t="b">
        <f t="shared" si="2"/>
        <v>0</v>
      </c>
      <c r="F7" t="b">
        <f t="shared" si="3"/>
        <v>1</v>
      </c>
      <c r="G7" t="str">
        <f t="shared" si="4"/>
        <v>Do Not Bring Jacket</v>
      </c>
    </row>
    <row r="8" spans="1:7" x14ac:dyDescent="0.25">
      <c r="A8">
        <v>45</v>
      </c>
      <c r="B8" t="s">
        <v>981</v>
      </c>
      <c r="C8" t="b">
        <f t="shared" si="0"/>
        <v>0</v>
      </c>
      <c r="D8" t="b">
        <f t="shared" si="1"/>
        <v>0</v>
      </c>
      <c r="E8" t="b">
        <f t="shared" si="2"/>
        <v>0</v>
      </c>
      <c r="F8" t="b">
        <f t="shared" si="3"/>
        <v>1</v>
      </c>
      <c r="G8" t="str">
        <f t="shared" si="4"/>
        <v>Bring jacket</v>
      </c>
    </row>
    <row r="9" spans="1:7" x14ac:dyDescent="0.25">
      <c r="A9">
        <v>32</v>
      </c>
      <c r="B9" t="s">
        <v>982</v>
      </c>
      <c r="C9" t="b">
        <f t="shared" si="0"/>
        <v>0</v>
      </c>
      <c r="D9" t="b">
        <f t="shared" si="1"/>
        <v>0</v>
      </c>
      <c r="E9" t="b">
        <f t="shared" si="2"/>
        <v>0</v>
      </c>
      <c r="F9" t="b">
        <f t="shared" si="3"/>
        <v>1</v>
      </c>
      <c r="G9" t="str">
        <f t="shared" si="4"/>
        <v>Bring jacket</v>
      </c>
    </row>
    <row r="10" spans="1:7" x14ac:dyDescent="0.25">
      <c r="A10">
        <v>65</v>
      </c>
      <c r="B10" t="s">
        <v>980</v>
      </c>
      <c r="C10" t="b">
        <f t="shared" si="0"/>
        <v>0</v>
      </c>
      <c r="D10" t="b">
        <f t="shared" si="1"/>
        <v>1</v>
      </c>
      <c r="E10" t="b">
        <f t="shared" si="2"/>
        <v>0</v>
      </c>
      <c r="F10" t="b">
        <f t="shared" si="3"/>
        <v>1</v>
      </c>
      <c r="G10" t="str">
        <f t="shared" si="4"/>
        <v>Do Not Bring Jacket</v>
      </c>
    </row>
    <row r="11" spans="1:7" x14ac:dyDescent="0.25">
      <c r="A11">
        <v>41</v>
      </c>
      <c r="B11" t="s">
        <v>980</v>
      </c>
      <c r="C11" t="b">
        <f t="shared" si="0"/>
        <v>0</v>
      </c>
      <c r="D11" t="b">
        <f t="shared" si="1"/>
        <v>1</v>
      </c>
      <c r="E11" t="b">
        <f t="shared" si="2"/>
        <v>0</v>
      </c>
      <c r="F11" t="b">
        <f t="shared" si="3"/>
        <v>1</v>
      </c>
      <c r="G11" t="str">
        <f t="shared" si="4"/>
        <v>Bring jacket</v>
      </c>
    </row>
    <row r="12" spans="1:7" x14ac:dyDescent="0.25">
      <c r="A12">
        <v>73</v>
      </c>
      <c r="B12" t="s">
        <v>981</v>
      </c>
      <c r="C12" t="b">
        <f t="shared" si="0"/>
        <v>0</v>
      </c>
      <c r="D12" t="b">
        <f t="shared" si="1"/>
        <v>1</v>
      </c>
      <c r="E12" t="b">
        <f t="shared" si="2"/>
        <v>1</v>
      </c>
      <c r="F12" t="b">
        <f t="shared" si="3"/>
        <v>0</v>
      </c>
      <c r="G12" t="str">
        <f t="shared" si="4"/>
        <v>Bring jacket</v>
      </c>
    </row>
    <row r="13" spans="1:7" x14ac:dyDescent="0.25">
      <c r="A13">
        <v>30</v>
      </c>
      <c r="B13" t="s">
        <v>982</v>
      </c>
      <c r="C13" t="b">
        <f t="shared" si="0"/>
        <v>0</v>
      </c>
      <c r="D13" t="b">
        <f t="shared" si="1"/>
        <v>0</v>
      </c>
      <c r="E13" t="b">
        <f t="shared" si="2"/>
        <v>0</v>
      </c>
      <c r="F13" t="b">
        <f t="shared" si="3"/>
        <v>1</v>
      </c>
      <c r="G13" t="str">
        <f t="shared" si="4"/>
        <v>Bring jacket</v>
      </c>
    </row>
    <row r="14" spans="1:7" x14ac:dyDescent="0.25">
      <c r="A14">
        <v>48</v>
      </c>
      <c r="B14" t="s">
        <v>980</v>
      </c>
      <c r="C14" t="b">
        <f t="shared" si="0"/>
        <v>0</v>
      </c>
      <c r="D14" t="b">
        <f t="shared" si="1"/>
        <v>1</v>
      </c>
      <c r="E14" t="b">
        <f t="shared" si="2"/>
        <v>0</v>
      </c>
      <c r="F14" t="b">
        <f t="shared" si="3"/>
        <v>1</v>
      </c>
      <c r="G14" t="str">
        <f t="shared" si="4"/>
        <v>Bring jacket</v>
      </c>
    </row>
    <row r="15" spans="1:7" x14ac:dyDescent="0.25">
      <c r="A15">
        <v>70</v>
      </c>
      <c r="B15" t="s">
        <v>980</v>
      </c>
      <c r="C15" t="b">
        <f t="shared" si="0"/>
        <v>1</v>
      </c>
      <c r="D15" t="b">
        <f t="shared" si="1"/>
        <v>1</v>
      </c>
      <c r="E15" t="b">
        <f t="shared" si="2"/>
        <v>1</v>
      </c>
      <c r="F15" t="b">
        <f t="shared" si="3"/>
        <v>0</v>
      </c>
      <c r="G15" t="str">
        <f t="shared" si="4"/>
        <v>Do Not Bring Jacket</v>
      </c>
    </row>
    <row r="16" spans="1:7" x14ac:dyDescent="0.25">
      <c r="A16">
        <v>76</v>
      </c>
      <c r="B16" t="s">
        <v>981</v>
      </c>
      <c r="C16" t="b">
        <f t="shared" si="0"/>
        <v>0</v>
      </c>
      <c r="D16" t="b">
        <f t="shared" si="1"/>
        <v>1</v>
      </c>
      <c r="E16" t="b">
        <f t="shared" si="2"/>
        <v>1</v>
      </c>
      <c r="F16" t="b">
        <f t="shared" si="3"/>
        <v>0</v>
      </c>
      <c r="G16" t="str">
        <f t="shared" si="4"/>
        <v>Bring jacket</v>
      </c>
    </row>
    <row r="17" spans="1:7" x14ac:dyDescent="0.25">
      <c r="A17">
        <v>31</v>
      </c>
      <c r="B17" t="s">
        <v>982</v>
      </c>
      <c r="C17" t="b">
        <f t="shared" si="0"/>
        <v>0</v>
      </c>
      <c r="D17" t="b">
        <f t="shared" si="1"/>
        <v>0</v>
      </c>
      <c r="E17" t="b">
        <f t="shared" si="2"/>
        <v>0</v>
      </c>
      <c r="F17" t="b">
        <f t="shared" si="3"/>
        <v>1</v>
      </c>
      <c r="G17" t="str">
        <f t="shared" si="4"/>
        <v>Bring jacket</v>
      </c>
    </row>
    <row r="18" spans="1:7" x14ac:dyDescent="0.25">
      <c r="A18">
        <v>71</v>
      </c>
      <c r="B18" t="s">
        <v>980</v>
      </c>
      <c r="C18" t="b">
        <f t="shared" si="0"/>
        <v>1</v>
      </c>
      <c r="D18" t="b">
        <f t="shared" si="1"/>
        <v>1</v>
      </c>
      <c r="E18" t="b">
        <f t="shared" si="2"/>
        <v>1</v>
      </c>
      <c r="F18" t="b">
        <f t="shared" si="3"/>
        <v>0</v>
      </c>
      <c r="G18" t="str">
        <f t="shared" si="4"/>
        <v>Do Not Bring Jacket</v>
      </c>
    </row>
    <row r="19" spans="1:7" x14ac:dyDescent="0.25">
      <c r="A19">
        <v>53</v>
      </c>
      <c r="B19" t="s">
        <v>980</v>
      </c>
      <c r="C19" t="b">
        <f t="shared" si="0"/>
        <v>0</v>
      </c>
      <c r="D19" t="b">
        <f t="shared" si="1"/>
        <v>1</v>
      </c>
      <c r="E19" t="b">
        <f t="shared" si="2"/>
        <v>0</v>
      </c>
      <c r="F19" t="b">
        <f t="shared" si="3"/>
        <v>1</v>
      </c>
      <c r="G19" t="str">
        <f t="shared" si="4"/>
        <v>Bring jacket</v>
      </c>
    </row>
    <row r="20" spans="1:7" x14ac:dyDescent="0.25">
      <c r="A20">
        <v>42</v>
      </c>
      <c r="B20" t="s">
        <v>981</v>
      </c>
      <c r="C20" t="b">
        <f t="shared" si="0"/>
        <v>0</v>
      </c>
      <c r="D20" t="b">
        <f t="shared" si="1"/>
        <v>0</v>
      </c>
      <c r="E20" t="b">
        <f t="shared" si="2"/>
        <v>0</v>
      </c>
      <c r="F20" t="b">
        <f t="shared" si="3"/>
        <v>1</v>
      </c>
      <c r="G20" t="str">
        <f t="shared" si="4"/>
        <v>Bring jacket</v>
      </c>
    </row>
    <row r="21" spans="1:7" x14ac:dyDescent="0.25">
      <c r="A21">
        <v>23</v>
      </c>
      <c r="B21" t="s">
        <v>982</v>
      </c>
      <c r="C21" t="b">
        <f t="shared" si="0"/>
        <v>0</v>
      </c>
      <c r="D21" t="b">
        <f t="shared" si="1"/>
        <v>0</v>
      </c>
      <c r="E21" t="b">
        <f t="shared" si="2"/>
        <v>0</v>
      </c>
      <c r="F21" t="b">
        <f t="shared" si="3"/>
        <v>1</v>
      </c>
      <c r="G21" t="str">
        <f t="shared" si="4"/>
        <v>Bring jacket</v>
      </c>
    </row>
    <row r="23" spans="1:7" x14ac:dyDescent="0.25">
      <c r="A23" t="s">
        <v>120</v>
      </c>
      <c r="B23" t="s">
        <v>986</v>
      </c>
    </row>
    <row r="24" spans="1:7" x14ac:dyDescent="0.25">
      <c r="A24" t="s">
        <v>121</v>
      </c>
      <c r="B24" t="s">
        <v>987</v>
      </c>
    </row>
    <row r="25" spans="1:7" x14ac:dyDescent="0.25">
      <c r="A25" t="s">
        <v>983</v>
      </c>
      <c r="B25" t="s">
        <v>988</v>
      </c>
    </row>
    <row r="26" spans="1:7" x14ac:dyDescent="0.25">
      <c r="A26" t="s">
        <v>122</v>
      </c>
      <c r="B26" t="s">
        <v>989</v>
      </c>
    </row>
    <row r="27" spans="1:7" x14ac:dyDescent="0.25">
      <c r="A27" t="s">
        <v>984</v>
      </c>
      <c r="B27" t="s">
        <v>990</v>
      </c>
    </row>
  </sheetData>
  <pageMargins left="0.7" right="0.7" top="0.75" bottom="0.75" header="0.3" footer="0.3"/>
  <pageSetup paperSize="12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Layout" zoomScaleNormal="125" workbookViewId="0">
      <selection activeCell="A3" sqref="A3"/>
    </sheetView>
  </sheetViews>
  <sheetFormatPr defaultRowHeight="14.25" x14ac:dyDescent="0.25"/>
  <cols>
    <col min="1" max="1" width="2.140625" style="20" customWidth="1"/>
    <col min="2" max="2" width="36" style="20" customWidth="1"/>
    <col min="3" max="3" width="11.42578125" style="20" bestFit="1" customWidth="1"/>
    <col min="4" max="4" width="9.140625" style="20"/>
    <col min="5" max="5" width="9.140625" style="20" customWidth="1"/>
    <col min="6" max="10" width="9.140625" style="20"/>
    <col min="11" max="11" width="10.85546875" style="20" bestFit="1" customWidth="1"/>
    <col min="12" max="16384" width="9.140625" style="20"/>
  </cols>
  <sheetData>
    <row r="1" spans="1:5" ht="18.75" x14ac:dyDescent="0.3">
      <c r="B1" s="10" t="s">
        <v>64</v>
      </c>
    </row>
    <row r="2" spans="1:5" ht="15.75" x14ac:dyDescent="0.25">
      <c r="B2" s="8" t="s">
        <v>65</v>
      </c>
    </row>
    <row r="3" spans="1:5" x14ac:dyDescent="0.25">
      <c r="B3" s="21" t="s">
        <v>1044</v>
      </c>
    </row>
    <row r="4" spans="1:5" x14ac:dyDescent="0.25">
      <c r="B4" s="21" t="s">
        <v>991</v>
      </c>
    </row>
    <row r="5" spans="1:5" x14ac:dyDescent="0.25">
      <c r="A5" s="23"/>
      <c r="B5" s="23"/>
      <c r="C5" s="61"/>
      <c r="D5" s="61"/>
      <c r="E5" s="62"/>
    </row>
    <row r="6" spans="1:5" x14ac:dyDescent="0.25">
      <c r="B6" s="24" t="s">
        <v>62</v>
      </c>
    </row>
    <row r="7" spans="1:5" x14ac:dyDescent="0.25">
      <c r="A7" s="20">
        <v>1</v>
      </c>
      <c r="B7" s="20" t="s">
        <v>969</v>
      </c>
    </row>
    <row r="8" spans="1:5" x14ac:dyDescent="0.25">
      <c r="A8" s="20">
        <v>2</v>
      </c>
      <c r="B8" s="20" t="s">
        <v>959</v>
      </c>
    </row>
    <row r="9" spans="1:5" x14ac:dyDescent="0.25">
      <c r="A9" s="20">
        <v>3</v>
      </c>
      <c r="B9" s="20" t="s">
        <v>964</v>
      </c>
    </row>
    <row r="10" spans="1:5" x14ac:dyDescent="0.25">
      <c r="A10" s="20">
        <v>4</v>
      </c>
      <c r="B10" s="20" t="s">
        <v>960</v>
      </c>
    </row>
    <row r="11" spans="1:5" x14ac:dyDescent="0.25">
      <c r="A11" s="20">
        <v>5</v>
      </c>
      <c r="B11" s="20" t="s">
        <v>961</v>
      </c>
    </row>
    <row r="12" spans="1:5" x14ac:dyDescent="0.25">
      <c r="A12" s="20">
        <v>6</v>
      </c>
      <c r="B12" s="20" t="s">
        <v>962</v>
      </c>
    </row>
    <row r="13" spans="1:5" x14ac:dyDescent="0.25">
      <c r="A13" s="20">
        <v>7</v>
      </c>
      <c r="B13" s="20" t="s">
        <v>63</v>
      </c>
    </row>
    <row r="14" spans="1:5" x14ac:dyDescent="0.25">
      <c r="A14" s="20">
        <v>8</v>
      </c>
      <c r="B14" s="20" t="s">
        <v>963</v>
      </c>
    </row>
    <row r="16" spans="1:5" x14ac:dyDescent="0.25">
      <c r="B16" s="24" t="s">
        <v>144</v>
      </c>
    </row>
    <row r="17" spans="1:12" x14ac:dyDescent="0.25">
      <c r="A17" s="20">
        <v>1</v>
      </c>
      <c r="B17" s="20" t="s">
        <v>970</v>
      </c>
    </row>
    <row r="18" spans="1:12" x14ac:dyDescent="0.25">
      <c r="A18" s="20">
        <v>2</v>
      </c>
      <c r="B18" s="20" t="s">
        <v>965</v>
      </c>
    </row>
    <row r="19" spans="1:12" x14ac:dyDescent="0.25">
      <c r="A19" s="20">
        <v>3</v>
      </c>
      <c r="B19" s="20" t="s">
        <v>966</v>
      </c>
      <c r="D19" s="25"/>
      <c r="K19" s="26"/>
      <c r="L19" s="27"/>
    </row>
    <row r="20" spans="1:12" x14ac:dyDescent="0.25">
      <c r="A20" s="20">
        <v>4</v>
      </c>
      <c r="B20" s="20" t="s">
        <v>971</v>
      </c>
    </row>
    <row r="21" spans="1:12" x14ac:dyDescent="0.25">
      <c r="A21" s="20">
        <v>5</v>
      </c>
      <c r="B21" s="20" t="s">
        <v>978</v>
      </c>
    </row>
    <row r="22" spans="1:12" x14ac:dyDescent="0.25">
      <c r="A22" s="20">
        <v>6</v>
      </c>
      <c r="B22" s="20" t="s">
        <v>973</v>
      </c>
    </row>
    <row r="23" spans="1:12" x14ac:dyDescent="0.25">
      <c r="B23" s="20" t="s">
        <v>975</v>
      </c>
    </row>
    <row r="24" spans="1:12" x14ac:dyDescent="0.25">
      <c r="A24" s="20">
        <v>7</v>
      </c>
      <c r="B24" s="20" t="s">
        <v>974</v>
      </c>
    </row>
    <row r="25" spans="1:12" x14ac:dyDescent="0.25">
      <c r="B25" s="20" t="s">
        <v>976</v>
      </c>
    </row>
    <row r="26" spans="1:12" x14ac:dyDescent="0.25">
      <c r="A26" s="20">
        <v>8</v>
      </c>
      <c r="B26" s="20" t="s">
        <v>977</v>
      </c>
    </row>
    <row r="28" spans="1:12" x14ac:dyDescent="0.25">
      <c r="B28" s="24" t="s">
        <v>155</v>
      </c>
    </row>
    <row r="29" spans="1:12" ht="15" customHeight="1" x14ac:dyDescent="0.25">
      <c r="B29" s="100" t="s">
        <v>154</v>
      </c>
      <c r="C29" s="100"/>
      <c r="D29" s="100"/>
      <c r="E29" s="100"/>
      <c r="F29" s="100"/>
      <c r="G29" s="100"/>
      <c r="H29" s="100"/>
    </row>
    <row r="30" spans="1:12" x14ac:dyDescent="0.25">
      <c r="B30" s="100"/>
      <c r="C30" s="100"/>
      <c r="D30" s="100"/>
      <c r="E30" s="100"/>
      <c r="F30" s="100"/>
      <c r="G30" s="100"/>
      <c r="H30" s="100"/>
    </row>
    <row r="31" spans="1:12" x14ac:dyDescent="0.25">
      <c r="B31" s="100"/>
      <c r="C31" s="100"/>
      <c r="D31" s="100"/>
      <c r="E31" s="100"/>
      <c r="F31" s="100"/>
      <c r="G31" s="100"/>
      <c r="H31" s="100"/>
    </row>
    <row r="32" spans="1:12" x14ac:dyDescent="0.25">
      <c r="B32" s="100"/>
      <c r="C32" s="100"/>
      <c r="D32" s="100"/>
      <c r="E32" s="100"/>
      <c r="F32" s="100"/>
      <c r="G32" s="100"/>
      <c r="H32" s="100"/>
    </row>
    <row r="33" spans="1:8" x14ac:dyDescent="0.25">
      <c r="B33" s="28"/>
      <c r="C33" s="28"/>
      <c r="D33" s="28"/>
      <c r="E33" s="28"/>
      <c r="F33" s="28"/>
      <c r="G33" s="28"/>
      <c r="H33" s="28"/>
    </row>
    <row r="34" spans="1:8" x14ac:dyDescent="0.25">
      <c r="B34" s="22" t="s">
        <v>118</v>
      </c>
      <c r="C34" s="28"/>
      <c r="D34" s="28"/>
      <c r="E34" s="28"/>
      <c r="F34" s="28"/>
      <c r="G34" s="28"/>
      <c r="H34" s="28"/>
    </row>
    <row r="35" spans="1:8" x14ac:dyDescent="0.25">
      <c r="A35" s="20">
        <v>1</v>
      </c>
      <c r="B35" s="20" t="s">
        <v>145</v>
      </c>
    </row>
    <row r="36" spans="1:8" x14ac:dyDescent="0.25">
      <c r="A36" s="20">
        <v>2</v>
      </c>
      <c r="B36" s="20" t="s">
        <v>146</v>
      </c>
    </row>
    <row r="37" spans="1:8" x14ac:dyDescent="0.25">
      <c r="A37" s="20">
        <v>3</v>
      </c>
      <c r="B37" s="20" t="s">
        <v>153</v>
      </c>
    </row>
    <row r="38" spans="1:8" x14ac:dyDescent="0.25">
      <c r="A38" s="20">
        <v>4</v>
      </c>
      <c r="B38" s="20" t="s">
        <v>147</v>
      </c>
    </row>
    <row r="39" spans="1:8" x14ac:dyDescent="0.25">
      <c r="A39" s="20">
        <v>5</v>
      </c>
      <c r="B39" s="20" t="s">
        <v>148</v>
      </c>
    </row>
  </sheetData>
  <mergeCells count="1">
    <mergeCell ref="B29:H32"/>
  </mergeCells>
  <pageMargins left="0.55000000000000004" right="0.55000000000000004" top="0.75" bottom="0.25" header="0.3" footer="0.3"/>
  <pageSetup paperSize="12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1.0 Whiteboard</vt:lpstr>
      <vt:lpstr>1.0 Transactions</vt:lpstr>
      <vt:lpstr>Lookup Values</vt:lpstr>
      <vt:lpstr>VLOOKUP Sandbox - Basic</vt:lpstr>
      <vt:lpstr>VLOOKUP Sandbox - Advanced</vt:lpstr>
      <vt:lpstr>Logical Function Sandbox</vt:lpstr>
      <vt:lpstr>1.0 Whiteboard Printable</vt:lpstr>
    </vt:vector>
  </TitlesOfParts>
  <Company>School of Business Administration, UVM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dc:creator>
  <cp:lastModifiedBy>Windows User</cp:lastModifiedBy>
  <cp:lastPrinted>2013-01-09T19:43:56Z</cp:lastPrinted>
  <dcterms:created xsi:type="dcterms:W3CDTF">2012-03-31T16:07:34Z</dcterms:created>
  <dcterms:modified xsi:type="dcterms:W3CDTF">2013-05-07T14:51:17Z</dcterms:modified>
</cp:coreProperties>
</file>