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xcel 18July2014\"/>
    </mc:Choice>
  </mc:AlternateContent>
  <bookViews>
    <workbookView xWindow="420" yWindow="90" windowWidth="16215" windowHeight="7095" activeTab="1"/>
  </bookViews>
  <sheets>
    <sheet name="Continuum" sheetId="4" r:id="rId1"/>
    <sheet name="JSCE" sheetId="1" r:id="rId2"/>
  </sheets>
  <definedNames>
    <definedName name="_xlnm.Print_Area" localSheetId="0">Continuum!$A$1:$W$49</definedName>
    <definedName name="_xlnm.Print_Area" localSheetId="1">JSCE!$A$1:$Z$87</definedName>
  </definedNames>
  <calcPr calcId="152511"/>
</workbook>
</file>

<file path=xl/calcChain.xml><?xml version="1.0" encoding="utf-8"?>
<calcChain xmlns="http://schemas.openxmlformats.org/spreadsheetml/2006/main">
  <c r="G5" i="4" l="1"/>
  <c r="H7" i="1" l="1"/>
  <c r="H3" i="1"/>
  <c r="K5" i="4" l="1"/>
  <c r="C9" i="4"/>
  <c r="C8" i="4"/>
  <c r="F8" i="4" l="1"/>
  <c r="B21" i="4" s="1"/>
  <c r="H47" i="4"/>
  <c r="H45" i="4"/>
  <c r="H43" i="4"/>
  <c r="H41" i="4"/>
  <c r="H39" i="4"/>
  <c r="H37" i="4"/>
  <c r="H35" i="4"/>
  <c r="H31" i="4"/>
  <c r="H27" i="4"/>
  <c r="H23" i="4"/>
  <c r="H19" i="4"/>
  <c r="H15" i="4"/>
  <c r="H48" i="4"/>
  <c r="H46" i="4"/>
  <c r="H44" i="4"/>
  <c r="H42" i="4"/>
  <c r="H40" i="4"/>
  <c r="H38" i="4"/>
  <c r="H36" i="4"/>
  <c r="H34" i="4"/>
  <c r="H32" i="4"/>
  <c r="H30" i="4"/>
  <c r="H28" i="4"/>
  <c r="H26" i="4"/>
  <c r="H24" i="4"/>
  <c r="H22" i="4"/>
  <c r="H20" i="4"/>
  <c r="H18" i="4"/>
  <c r="H16" i="4"/>
  <c r="H14" i="4"/>
  <c r="H12" i="4"/>
  <c r="H33" i="4"/>
  <c r="H29" i="4"/>
  <c r="H25" i="4"/>
  <c r="H21" i="4"/>
  <c r="H17" i="4"/>
  <c r="H13" i="4"/>
  <c r="G47" i="4"/>
  <c r="G45" i="4"/>
  <c r="G43" i="4"/>
  <c r="G41" i="4"/>
  <c r="G39" i="4"/>
  <c r="G37" i="4"/>
  <c r="G35" i="4"/>
  <c r="G33" i="4"/>
  <c r="G31" i="4"/>
  <c r="G29" i="4"/>
  <c r="G27" i="4"/>
  <c r="G25" i="4"/>
  <c r="G23" i="4"/>
  <c r="G21" i="4"/>
  <c r="G17" i="4"/>
  <c r="G13" i="4"/>
  <c r="F46" i="4"/>
  <c r="F42" i="4"/>
  <c r="F38" i="4"/>
  <c r="F34" i="4"/>
  <c r="F30" i="4"/>
  <c r="F26" i="4"/>
  <c r="F22" i="4"/>
  <c r="F18" i="4"/>
  <c r="F14" i="4"/>
  <c r="G48" i="4"/>
  <c r="G46" i="4"/>
  <c r="G44" i="4"/>
  <c r="G42" i="4"/>
  <c r="G40" i="4"/>
  <c r="G38" i="4"/>
  <c r="G36" i="4"/>
  <c r="G34" i="4"/>
  <c r="G32" i="4"/>
  <c r="G30" i="4"/>
  <c r="G28" i="4"/>
  <c r="G26" i="4"/>
  <c r="G24" i="4"/>
  <c r="G22" i="4"/>
  <c r="G20" i="4"/>
  <c r="G18" i="4"/>
  <c r="G16" i="4"/>
  <c r="G14" i="4"/>
  <c r="G12" i="4"/>
  <c r="F47" i="4"/>
  <c r="F45" i="4"/>
  <c r="F43" i="4"/>
  <c r="F41" i="4"/>
  <c r="F39" i="4"/>
  <c r="F37" i="4"/>
  <c r="F35" i="4"/>
  <c r="F33" i="4"/>
  <c r="F31" i="4"/>
  <c r="F29" i="4"/>
  <c r="F27" i="4"/>
  <c r="F25" i="4"/>
  <c r="F23" i="4"/>
  <c r="F21" i="4"/>
  <c r="F19" i="4"/>
  <c r="F17" i="4"/>
  <c r="F15" i="4"/>
  <c r="F13" i="4"/>
  <c r="G19" i="4"/>
  <c r="G15" i="4"/>
  <c r="F48" i="4"/>
  <c r="F44" i="4"/>
  <c r="F40" i="4"/>
  <c r="F36" i="4"/>
  <c r="F32" i="4"/>
  <c r="F28" i="4"/>
  <c r="F24" i="4"/>
  <c r="F20" i="4"/>
  <c r="F16" i="4"/>
  <c r="F12" i="4"/>
  <c r="C13" i="4"/>
  <c r="D13" i="4" s="1"/>
  <c r="C48" i="4"/>
  <c r="D48" i="4" s="1"/>
  <c r="C42" i="4"/>
  <c r="D42" i="4" s="1"/>
  <c r="C38" i="4"/>
  <c r="D38" i="4" s="1"/>
  <c r="C32" i="4"/>
  <c r="D32" i="4" s="1"/>
  <c r="C14" i="4"/>
  <c r="D14" i="4" s="1"/>
  <c r="C46" i="4"/>
  <c r="D46" i="4" s="1"/>
  <c r="C44" i="4"/>
  <c r="D44" i="4" s="1"/>
  <c r="C40" i="4"/>
  <c r="D40" i="4" s="1"/>
  <c r="C36" i="4"/>
  <c r="D36" i="4" s="1"/>
  <c r="C34" i="4"/>
  <c r="D34" i="4" s="1"/>
  <c r="C30" i="4"/>
  <c r="D30" i="4" s="1"/>
  <c r="C28" i="4"/>
  <c r="D28" i="4" s="1"/>
  <c r="C26" i="4"/>
  <c r="D26" i="4" s="1"/>
  <c r="C24" i="4"/>
  <c r="D24" i="4" s="1"/>
  <c r="C22" i="4"/>
  <c r="D22" i="4" s="1"/>
  <c r="C20" i="4"/>
  <c r="D20" i="4" s="1"/>
  <c r="C18" i="4"/>
  <c r="D18" i="4" s="1"/>
  <c r="C16" i="4"/>
  <c r="D16" i="4" s="1"/>
  <c r="C12" i="4"/>
  <c r="D12" i="4" s="1"/>
  <c r="C47" i="4"/>
  <c r="D47" i="4" s="1"/>
  <c r="C45" i="4"/>
  <c r="D45" i="4" s="1"/>
  <c r="C43" i="4"/>
  <c r="D43" i="4" s="1"/>
  <c r="C41" i="4"/>
  <c r="D41" i="4" s="1"/>
  <c r="C39" i="4"/>
  <c r="D39" i="4" s="1"/>
  <c r="C37" i="4"/>
  <c r="D37" i="4" s="1"/>
  <c r="C35" i="4"/>
  <c r="D35" i="4" s="1"/>
  <c r="C33" i="4"/>
  <c r="D33" i="4" s="1"/>
  <c r="C31" i="4"/>
  <c r="D31" i="4" s="1"/>
  <c r="C29" i="4"/>
  <c r="D29" i="4" s="1"/>
  <c r="C27" i="4"/>
  <c r="D27" i="4" s="1"/>
  <c r="C25" i="4"/>
  <c r="D25" i="4" s="1"/>
  <c r="C23" i="4"/>
  <c r="D23" i="4" s="1"/>
  <c r="C21" i="4"/>
  <c r="D21" i="4" s="1"/>
  <c r="C19" i="4"/>
  <c r="D19" i="4" s="1"/>
  <c r="C17" i="4"/>
  <c r="D17" i="4" s="1"/>
  <c r="C15" i="4"/>
  <c r="D15" i="4" s="1"/>
  <c r="B35" i="4" l="1"/>
  <c r="B38" i="4"/>
  <c r="B17" i="4"/>
  <c r="B22" i="4"/>
  <c r="B47" i="4"/>
  <c r="B27" i="4"/>
  <c r="B46" i="4"/>
  <c r="B30" i="4"/>
  <c r="B14" i="4"/>
  <c r="B41" i="4"/>
  <c r="B31" i="4"/>
  <c r="B23" i="4"/>
  <c r="B13" i="4"/>
  <c r="B42" i="4"/>
  <c r="B34" i="4"/>
  <c r="B26" i="4"/>
  <c r="B18" i="4"/>
  <c r="B39" i="4"/>
  <c r="B12" i="4"/>
  <c r="B43" i="4"/>
  <c r="B37" i="4"/>
  <c r="B33" i="4"/>
  <c r="B29" i="4"/>
  <c r="B25" i="4"/>
  <c r="B19" i="4"/>
  <c r="B15" i="4"/>
  <c r="B48" i="4"/>
  <c r="B44" i="4"/>
  <c r="B40" i="4"/>
  <c r="B36" i="4"/>
  <c r="B32" i="4"/>
  <c r="B28" i="4"/>
  <c r="B24" i="4"/>
  <c r="B20" i="4"/>
  <c r="B16" i="4"/>
  <c r="B45" i="4"/>
  <c r="G158" i="1" l="1"/>
  <c r="G142" i="1"/>
  <c r="G126" i="1"/>
  <c r="G110" i="1"/>
  <c r="G94" i="1"/>
  <c r="E158" i="1"/>
  <c r="E142" i="1"/>
  <c r="E126" i="1"/>
  <c r="E110" i="1"/>
  <c r="E94" i="1"/>
  <c r="E78" i="1"/>
  <c r="E62" i="1"/>
  <c r="A158" i="1"/>
  <c r="A157" i="1"/>
  <c r="A156" i="1"/>
  <c r="A155" i="1"/>
  <c r="A154" i="1"/>
  <c r="A150" i="1"/>
  <c r="G150" i="1" s="1"/>
  <c r="A149" i="1"/>
  <c r="A148" i="1"/>
  <c r="A147" i="1"/>
  <c r="A146" i="1"/>
  <c r="A142" i="1"/>
  <c r="A141" i="1"/>
  <c r="A140" i="1"/>
  <c r="A139" i="1"/>
  <c r="A138" i="1"/>
  <c r="A134" i="1"/>
  <c r="G134" i="1" s="1"/>
  <c r="A133" i="1"/>
  <c r="A132" i="1"/>
  <c r="A131" i="1"/>
  <c r="A130" i="1"/>
  <c r="A126" i="1"/>
  <c r="A125" i="1"/>
  <c r="A124" i="1"/>
  <c r="A123" i="1"/>
  <c r="A122" i="1"/>
  <c r="A118" i="1"/>
  <c r="G118" i="1" s="1"/>
  <c r="A117" i="1"/>
  <c r="A116" i="1"/>
  <c r="A115" i="1"/>
  <c r="A114" i="1"/>
  <c r="A110" i="1"/>
  <c r="A109" i="1"/>
  <c r="A108" i="1"/>
  <c r="A107" i="1"/>
  <c r="A106" i="1"/>
  <c r="A102" i="1"/>
  <c r="G102" i="1" s="1"/>
  <c r="A101" i="1"/>
  <c r="A100" i="1"/>
  <c r="A99" i="1"/>
  <c r="A98" i="1"/>
  <c r="A94" i="1"/>
  <c r="A93" i="1"/>
  <c r="A92" i="1"/>
  <c r="A91" i="1"/>
  <c r="A90" i="1"/>
  <c r="A86" i="1"/>
  <c r="G86" i="1" s="1"/>
  <c r="A85" i="1"/>
  <c r="A84" i="1"/>
  <c r="A83" i="1"/>
  <c r="A82" i="1"/>
  <c r="A78" i="1"/>
  <c r="G78" i="1" s="1"/>
  <c r="A77" i="1"/>
  <c r="A76" i="1"/>
  <c r="A75" i="1"/>
  <c r="A74" i="1"/>
  <c r="A70" i="1"/>
  <c r="E70" i="1" s="1"/>
  <c r="A69" i="1"/>
  <c r="A68" i="1"/>
  <c r="A67" i="1"/>
  <c r="A66" i="1"/>
  <c r="A62" i="1"/>
  <c r="G62" i="1" s="1"/>
  <c r="A61" i="1"/>
  <c r="A60" i="1"/>
  <c r="A59" i="1"/>
  <c r="A58" i="1"/>
  <c r="A54" i="1"/>
  <c r="E54" i="1" s="1"/>
  <c r="A53" i="1"/>
  <c r="A52" i="1"/>
  <c r="A51" i="1"/>
  <c r="A50" i="1"/>
  <c r="G54" i="1" l="1"/>
  <c r="G70" i="1"/>
  <c r="E86" i="1"/>
  <c r="E102" i="1"/>
  <c r="E118" i="1"/>
  <c r="E134" i="1"/>
  <c r="E150" i="1"/>
  <c r="C158" i="1"/>
  <c r="C150" i="1"/>
  <c r="C142" i="1"/>
  <c r="C134" i="1"/>
  <c r="C126" i="1"/>
  <c r="C118" i="1"/>
  <c r="C110" i="1"/>
  <c r="C102" i="1"/>
  <c r="C94" i="1"/>
  <c r="C86" i="1"/>
  <c r="C78" i="1"/>
  <c r="C70" i="1"/>
  <c r="C62" i="1"/>
  <c r="C54" i="1"/>
  <c r="A46" i="1"/>
  <c r="A45" i="1"/>
  <c r="A44" i="1"/>
  <c r="A43" i="1"/>
  <c r="A42" i="1"/>
  <c r="A38" i="1"/>
  <c r="A37" i="1"/>
  <c r="A36" i="1"/>
  <c r="A35" i="1"/>
  <c r="A34" i="1"/>
  <c r="A30" i="1"/>
  <c r="A29" i="1"/>
  <c r="A28" i="1"/>
  <c r="A27" i="1"/>
  <c r="A26" i="1"/>
  <c r="A22" i="1"/>
  <c r="A21" i="1"/>
  <c r="A20" i="1"/>
  <c r="A19" i="1"/>
  <c r="A18" i="1"/>
  <c r="A14" i="1"/>
  <c r="A13" i="1"/>
  <c r="A12" i="1"/>
  <c r="A11" i="1"/>
  <c r="A10" i="1"/>
  <c r="H6" i="1"/>
  <c r="H5" i="1"/>
  <c r="H4" i="1"/>
  <c r="E22" i="1" l="1"/>
  <c r="G22" i="1"/>
  <c r="C22" i="1"/>
  <c r="E38" i="1"/>
  <c r="G38" i="1"/>
  <c r="E11" i="1"/>
  <c r="G14" i="1"/>
  <c r="C14" i="1"/>
  <c r="E14" i="1"/>
  <c r="G30" i="1"/>
  <c r="C30" i="1"/>
  <c r="E30" i="1"/>
  <c r="C46" i="1"/>
  <c r="G46" i="1"/>
  <c r="E46" i="1"/>
  <c r="G52" i="1"/>
  <c r="C51" i="1"/>
  <c r="C60" i="1"/>
  <c r="C59" i="1"/>
  <c r="G68" i="1"/>
  <c r="G67" i="1"/>
  <c r="C76" i="1"/>
  <c r="C75" i="1"/>
  <c r="G84" i="1"/>
  <c r="G83" i="1"/>
  <c r="C92" i="1"/>
  <c r="C91" i="1"/>
  <c r="C95" i="1" s="1"/>
  <c r="J20" i="1" s="1"/>
  <c r="J36" i="1" s="1"/>
  <c r="G100" i="1"/>
  <c r="C99" i="1"/>
  <c r="C108" i="1"/>
  <c r="C107" i="1"/>
  <c r="G116" i="1"/>
  <c r="G115" i="1"/>
  <c r="C124" i="1"/>
  <c r="C123" i="1"/>
  <c r="G132" i="1"/>
  <c r="G131" i="1"/>
  <c r="C140" i="1"/>
  <c r="C139" i="1"/>
  <c r="G148" i="1"/>
  <c r="G147" i="1"/>
  <c r="C156" i="1"/>
  <c r="C155" i="1"/>
  <c r="E147" i="1"/>
  <c r="E131" i="1"/>
  <c r="E115" i="1"/>
  <c r="G99" i="1"/>
  <c r="E83" i="1"/>
  <c r="E67" i="1"/>
  <c r="G51" i="1"/>
  <c r="E148" i="1"/>
  <c r="E132" i="1"/>
  <c r="E116" i="1"/>
  <c r="E100" i="1"/>
  <c r="E84" i="1"/>
  <c r="E68" i="1"/>
  <c r="E52" i="1"/>
  <c r="K7" i="1"/>
  <c r="G61" i="1" s="1"/>
  <c r="E12" i="1"/>
  <c r="C52" i="1"/>
  <c r="E51" i="1"/>
  <c r="G60" i="1"/>
  <c r="G59" i="1"/>
  <c r="C68" i="1"/>
  <c r="C67" i="1"/>
  <c r="G76" i="1"/>
  <c r="G75" i="1"/>
  <c r="C84" i="1"/>
  <c r="C83" i="1"/>
  <c r="G92" i="1"/>
  <c r="G91" i="1"/>
  <c r="C100" i="1"/>
  <c r="E99" i="1"/>
  <c r="G108" i="1"/>
  <c r="G107" i="1"/>
  <c r="C116" i="1"/>
  <c r="C115" i="1"/>
  <c r="G124" i="1"/>
  <c r="G123" i="1"/>
  <c r="C132" i="1"/>
  <c r="C131" i="1"/>
  <c r="G140" i="1"/>
  <c r="G139" i="1"/>
  <c r="C148" i="1"/>
  <c r="C147" i="1"/>
  <c r="G156" i="1"/>
  <c r="G155" i="1"/>
  <c r="E156" i="1"/>
  <c r="E140" i="1"/>
  <c r="E124" i="1"/>
  <c r="E108" i="1"/>
  <c r="E92" i="1"/>
  <c r="E76" i="1"/>
  <c r="E60" i="1"/>
  <c r="E155" i="1"/>
  <c r="E139" i="1"/>
  <c r="E123" i="1"/>
  <c r="E107" i="1"/>
  <c r="E91" i="1"/>
  <c r="E75" i="1"/>
  <c r="E59" i="1"/>
  <c r="G77" i="1"/>
  <c r="G93" i="1" s="1"/>
  <c r="C13" i="1"/>
  <c r="C157" i="1" s="1"/>
  <c r="E77" i="1"/>
  <c r="E93" i="1" s="1"/>
  <c r="E53" i="1"/>
  <c r="E117" i="1" s="1"/>
  <c r="E45" i="1"/>
  <c r="E125" i="1" s="1"/>
  <c r="E37" i="1"/>
  <c r="E133" i="1" s="1"/>
  <c r="E21" i="1"/>
  <c r="E149" i="1" s="1"/>
  <c r="C29" i="1"/>
  <c r="C141" i="1" s="1"/>
  <c r="E26" i="1"/>
  <c r="C53" i="1"/>
  <c r="C117" i="1" s="1"/>
  <c r="G50" i="1"/>
  <c r="G58" i="1"/>
  <c r="C69" i="1"/>
  <c r="C101" i="1" s="1"/>
  <c r="C66" i="1"/>
  <c r="G74" i="1"/>
  <c r="C82" i="1"/>
  <c r="C90" i="1"/>
  <c r="G98" i="1"/>
  <c r="G106" i="1"/>
  <c r="G114" i="1"/>
  <c r="C122" i="1"/>
  <c r="G130" i="1"/>
  <c r="C138" i="1"/>
  <c r="C146" i="1"/>
  <c r="C154" i="1"/>
  <c r="E138" i="1"/>
  <c r="E106" i="1"/>
  <c r="E74" i="1"/>
  <c r="E146" i="1"/>
  <c r="G82" i="1"/>
  <c r="E130" i="1"/>
  <c r="E66" i="1"/>
  <c r="E18" i="1"/>
  <c r="C45" i="1"/>
  <c r="C125" i="1" s="1"/>
  <c r="C127" i="1" s="1"/>
  <c r="J24" i="1" s="1"/>
  <c r="J32" i="1" s="1"/>
  <c r="C50" i="1"/>
  <c r="C61" i="1"/>
  <c r="C109" i="1" s="1"/>
  <c r="C111" i="1" s="1"/>
  <c r="J22" i="1" s="1"/>
  <c r="J34" i="1" s="1"/>
  <c r="C58" i="1"/>
  <c r="G66" i="1"/>
  <c r="C77" i="1"/>
  <c r="C93" i="1" s="1"/>
  <c r="C74" i="1"/>
  <c r="C85" i="1"/>
  <c r="E82" i="1"/>
  <c r="G90" i="1"/>
  <c r="C98" i="1"/>
  <c r="C106" i="1"/>
  <c r="C114" i="1"/>
  <c r="G122" i="1"/>
  <c r="C130" i="1"/>
  <c r="G138" i="1"/>
  <c r="G146" i="1"/>
  <c r="G154" i="1"/>
  <c r="E154" i="1"/>
  <c r="E122" i="1"/>
  <c r="E90" i="1"/>
  <c r="E58" i="1"/>
  <c r="E114" i="1"/>
  <c r="E119" i="1" s="1"/>
  <c r="K23" i="1" s="1"/>
  <c r="K33" i="1" s="1"/>
  <c r="E50" i="1"/>
  <c r="E98" i="1"/>
  <c r="C79" i="1"/>
  <c r="J18" i="1" s="1"/>
  <c r="J38" i="1" s="1"/>
  <c r="C37" i="1"/>
  <c r="C133" i="1" s="1"/>
  <c r="C38" i="1"/>
  <c r="C20" i="1"/>
  <c r="C18" i="1"/>
  <c r="E20" i="1"/>
  <c r="E27" i="1"/>
  <c r="E28" i="1"/>
  <c r="G34" i="1"/>
  <c r="G36" i="1"/>
  <c r="E43" i="1"/>
  <c r="E44" i="1"/>
  <c r="E19" i="1"/>
  <c r="C27" i="1"/>
  <c r="G35" i="1"/>
  <c r="E42" i="1"/>
  <c r="C43" i="1"/>
  <c r="G42" i="1"/>
  <c r="G44" i="1"/>
  <c r="C42" i="1"/>
  <c r="G43" i="1"/>
  <c r="C44" i="1"/>
  <c r="E34" i="1"/>
  <c r="E35" i="1"/>
  <c r="E36" i="1"/>
  <c r="C34" i="1"/>
  <c r="C35" i="1"/>
  <c r="C36" i="1"/>
  <c r="C26" i="1"/>
  <c r="G27" i="1"/>
  <c r="C28" i="1"/>
  <c r="G26" i="1"/>
  <c r="G28" i="1"/>
  <c r="G18" i="1"/>
  <c r="C19" i="1"/>
  <c r="G20" i="1"/>
  <c r="G19" i="1"/>
  <c r="E10" i="1"/>
  <c r="G10" i="1"/>
  <c r="G12" i="1"/>
  <c r="G11" i="1"/>
  <c r="C12" i="1"/>
  <c r="C11" i="1"/>
  <c r="C10" i="1"/>
  <c r="C135" i="1" l="1"/>
  <c r="J25" i="1" s="1"/>
  <c r="J31" i="1" s="1"/>
  <c r="C87" i="1"/>
  <c r="J19" i="1" s="1"/>
  <c r="J37" i="1" s="1"/>
  <c r="E151" i="1"/>
  <c r="K27" i="1" s="1"/>
  <c r="K29" i="1" s="1"/>
  <c r="G95" i="1"/>
  <c r="L20" i="1" s="1"/>
  <c r="L36" i="1" s="1"/>
  <c r="E61" i="1"/>
  <c r="E109" i="1" s="1"/>
  <c r="E111" i="1" s="1"/>
  <c r="K22" i="1" s="1"/>
  <c r="K34" i="1" s="1"/>
  <c r="G37" i="1"/>
  <c r="G133" i="1" s="1"/>
  <c r="G13" i="1"/>
  <c r="G157" i="1" s="1"/>
  <c r="G159" i="1" s="1"/>
  <c r="L28" i="1" s="1"/>
  <c r="E79" i="1"/>
  <c r="K18" i="1" s="1"/>
  <c r="K38" i="1" s="1"/>
  <c r="E69" i="1"/>
  <c r="E101" i="1" s="1"/>
  <c r="E103" i="1" s="1"/>
  <c r="K21" i="1" s="1"/>
  <c r="K35" i="1" s="1"/>
  <c r="E85" i="1"/>
  <c r="G69" i="1"/>
  <c r="G101" i="1" s="1"/>
  <c r="G103" i="1" s="1"/>
  <c r="L21" i="1" s="1"/>
  <c r="L35" i="1" s="1"/>
  <c r="E29" i="1"/>
  <c r="E141" i="1" s="1"/>
  <c r="E143" i="1" s="1"/>
  <c r="K26" i="1" s="1"/>
  <c r="K30" i="1" s="1"/>
  <c r="G45" i="1"/>
  <c r="G125" i="1" s="1"/>
  <c r="G127" i="1" s="1"/>
  <c r="L24" i="1" s="1"/>
  <c r="L32" i="1" s="1"/>
  <c r="E95" i="1"/>
  <c r="K20" i="1" s="1"/>
  <c r="K36" i="1" s="1"/>
  <c r="E23" i="1"/>
  <c r="K11" i="1" s="1"/>
  <c r="K45" i="1" s="1"/>
  <c r="G135" i="1"/>
  <c r="L25" i="1" s="1"/>
  <c r="L31" i="1" s="1"/>
  <c r="C159" i="1"/>
  <c r="J28" i="1" s="1"/>
  <c r="C143" i="1"/>
  <c r="J26" i="1" s="1"/>
  <c r="J30" i="1" s="1"/>
  <c r="E87" i="1"/>
  <c r="K19" i="1" s="1"/>
  <c r="K37" i="1" s="1"/>
  <c r="C103" i="1"/>
  <c r="J21" i="1" s="1"/>
  <c r="J35" i="1" s="1"/>
  <c r="G109" i="1"/>
  <c r="G111" i="1" s="1"/>
  <c r="L22" i="1" s="1"/>
  <c r="L34" i="1" s="1"/>
  <c r="G63" i="1"/>
  <c r="L16" i="1" s="1"/>
  <c r="L40" i="1" s="1"/>
  <c r="C119" i="1"/>
  <c r="J23" i="1" s="1"/>
  <c r="J33" i="1" s="1"/>
  <c r="C71" i="1"/>
  <c r="J17" i="1" s="1"/>
  <c r="J39" i="1" s="1"/>
  <c r="C55" i="1"/>
  <c r="J15" i="1" s="1"/>
  <c r="J41" i="1" s="1"/>
  <c r="G71" i="1"/>
  <c r="L17" i="1" s="1"/>
  <c r="L39" i="1" s="1"/>
  <c r="G79" i="1"/>
  <c r="L18" i="1" s="1"/>
  <c r="L38" i="1" s="1"/>
  <c r="G21" i="1"/>
  <c r="G149" i="1" s="1"/>
  <c r="G151" i="1" s="1"/>
  <c r="L27" i="1" s="1"/>
  <c r="L29" i="1" s="1"/>
  <c r="G53" i="1"/>
  <c r="G85" i="1"/>
  <c r="G87" i="1" s="1"/>
  <c r="L19" i="1" s="1"/>
  <c r="L37" i="1" s="1"/>
  <c r="E13" i="1"/>
  <c r="E157" i="1" s="1"/>
  <c r="E159" i="1" s="1"/>
  <c r="K28" i="1" s="1"/>
  <c r="C21" i="1"/>
  <c r="C149" i="1" s="1"/>
  <c r="C151" i="1" s="1"/>
  <c r="J27" i="1" s="1"/>
  <c r="J29" i="1" s="1"/>
  <c r="G29" i="1"/>
  <c r="G141" i="1" s="1"/>
  <c r="G143" i="1" s="1"/>
  <c r="L26" i="1" s="1"/>
  <c r="L30" i="1" s="1"/>
  <c r="C63" i="1"/>
  <c r="J16" i="1" s="1"/>
  <c r="J40" i="1" s="1"/>
  <c r="E55" i="1"/>
  <c r="K15" i="1" s="1"/>
  <c r="K41" i="1" s="1"/>
  <c r="E63" i="1"/>
  <c r="K16" i="1" s="1"/>
  <c r="K40" i="1" s="1"/>
  <c r="E127" i="1"/>
  <c r="K24" i="1" s="1"/>
  <c r="K32" i="1" s="1"/>
  <c r="E135" i="1"/>
  <c r="K25" i="1" s="1"/>
  <c r="K31" i="1" s="1"/>
  <c r="G39" i="1"/>
  <c r="L13" i="1" s="1"/>
  <c r="L43" i="1" s="1"/>
  <c r="E47" i="1"/>
  <c r="K14" i="1" s="1"/>
  <c r="K42" i="1" s="1"/>
  <c r="C47" i="1"/>
  <c r="J14" i="1" s="1"/>
  <c r="J42" i="1" s="1"/>
  <c r="E39" i="1"/>
  <c r="K13" i="1" s="1"/>
  <c r="K43" i="1" s="1"/>
  <c r="C39" i="1"/>
  <c r="J13" i="1" s="1"/>
  <c r="J43" i="1" s="1"/>
  <c r="C31" i="1"/>
  <c r="J12" i="1" s="1"/>
  <c r="J44" i="1" s="1"/>
  <c r="G31" i="1"/>
  <c r="L12" i="1" s="1"/>
  <c r="L44" i="1" s="1"/>
  <c r="G23" i="1"/>
  <c r="L11" i="1" s="1"/>
  <c r="L45" i="1" s="1"/>
  <c r="C15" i="1"/>
  <c r="J10" i="1" s="1"/>
  <c r="J46" i="1" s="1"/>
  <c r="G15" i="1" l="1"/>
  <c r="L10" i="1" s="1"/>
  <c r="L46" i="1" s="1"/>
  <c r="G47" i="1"/>
  <c r="L14" i="1" s="1"/>
  <c r="L42" i="1" s="1"/>
  <c r="E71" i="1"/>
  <c r="K17" i="1" s="1"/>
  <c r="K39" i="1" s="1"/>
  <c r="E31" i="1"/>
  <c r="K12" i="1" s="1"/>
  <c r="K44" i="1" s="1"/>
  <c r="G117" i="1"/>
  <c r="G119" i="1" s="1"/>
  <c r="L23" i="1" s="1"/>
  <c r="L33" i="1" s="1"/>
  <c r="G55" i="1"/>
  <c r="L15" i="1" s="1"/>
  <c r="L41" i="1" s="1"/>
  <c r="C23" i="1"/>
  <c r="J11" i="1" s="1"/>
  <c r="J45" i="1" s="1"/>
  <c r="E15" i="1"/>
  <c r="K10" i="1" s="1"/>
  <c r="K46" i="1" s="1"/>
</calcChain>
</file>

<file path=xl/comments1.xml><?xml version="1.0" encoding="utf-8"?>
<comments xmlns="http://schemas.openxmlformats.org/spreadsheetml/2006/main">
  <authors>
    <author>punlop.v</author>
  </authors>
  <commentList>
    <comment ref="J4" authorId="0" shapeId="0">
      <text>
        <r>
          <rPr>
            <b/>
            <sz val="8"/>
            <color indexed="81"/>
            <rFont val="Tahoma"/>
            <family val="2"/>
          </rPr>
          <t>punlop.v:</t>
        </r>
        <r>
          <rPr>
            <sz val="8"/>
            <color indexed="81"/>
            <rFont val="Tahoma"/>
            <family val="2"/>
          </rPr>
          <t xml:space="preserve">
Coeff. Of earth pressure</t>
        </r>
      </text>
    </comment>
  </commentList>
</comments>
</file>

<file path=xl/comments2.xml><?xml version="1.0" encoding="utf-8"?>
<comments xmlns="http://schemas.openxmlformats.org/spreadsheetml/2006/main">
  <authors>
    <author>punlop.v</author>
  </authors>
  <commentList>
    <comment ref="B3" authorId="0" shapeId="0">
      <text>
        <r>
          <rPr>
            <b/>
            <sz val="8"/>
            <color indexed="81"/>
            <rFont val="Tahoma"/>
            <family val="2"/>
          </rPr>
          <t>punlop.v:</t>
        </r>
        <r>
          <rPr>
            <sz val="8"/>
            <color indexed="81"/>
            <rFont val="Tahoma"/>
            <family val="2"/>
          </rPr>
          <t xml:space="preserve">
radius of centroid of lining</t>
        </r>
      </text>
    </comment>
    <comment ref="E3" authorId="0" shapeId="0">
      <text>
        <r>
          <rPr>
            <b/>
            <sz val="8"/>
            <color indexed="81"/>
            <rFont val="Tahoma"/>
            <family val="2"/>
          </rPr>
          <t>punlop.v:</t>
        </r>
        <r>
          <rPr>
            <sz val="8"/>
            <color indexed="81"/>
            <rFont val="Tahoma"/>
            <family val="2"/>
          </rPr>
          <t xml:space="preserve">
modulus of lining</t>
        </r>
      </text>
    </comment>
    <comment ref="H3" authorId="0" shapeId="0">
      <text>
        <r>
          <rPr>
            <b/>
            <sz val="8"/>
            <color indexed="81"/>
            <rFont val="Tahoma"/>
            <family val="2"/>
          </rPr>
          <t>punlop.v:</t>
        </r>
        <r>
          <rPr>
            <sz val="8"/>
            <color indexed="81"/>
            <rFont val="Tahoma"/>
            <family val="2"/>
          </rPr>
          <t xml:space="preserve">
moment of inertia</t>
        </r>
      </text>
    </comment>
    <comment ref="K3" authorId="0" shapeId="0">
      <text>
        <r>
          <rPr>
            <b/>
            <sz val="8"/>
            <color indexed="81"/>
            <rFont val="Tahoma"/>
            <family val="2"/>
          </rPr>
          <t>punlop.v:</t>
        </r>
        <r>
          <rPr>
            <sz val="8"/>
            <color indexed="81"/>
            <rFont val="Tahoma"/>
            <family val="2"/>
          </rPr>
          <t xml:space="preserve">
Coeff. Of subgrade reaction</t>
        </r>
      </text>
    </comment>
    <comment ref="B4" authorId="0" shapeId="0">
      <text>
        <r>
          <rPr>
            <b/>
            <sz val="8"/>
            <color indexed="81"/>
            <rFont val="Tahoma"/>
            <family val="2"/>
          </rPr>
          <t>punlop.v:</t>
        </r>
        <r>
          <rPr>
            <sz val="8"/>
            <color indexed="81"/>
            <rFont val="Tahoma"/>
            <family val="2"/>
          </rPr>
          <t xml:space="preserve">
vert. earth pressure at crown</t>
        </r>
      </text>
    </comment>
    <comment ref="E4" authorId="0" shapeId="0">
      <text>
        <r>
          <rPr>
            <b/>
            <sz val="8"/>
            <color indexed="81"/>
            <rFont val="Tahoma"/>
            <family val="2"/>
          </rPr>
          <t>punlop.v:</t>
        </r>
        <r>
          <rPr>
            <sz val="8"/>
            <color indexed="81"/>
            <rFont val="Tahoma"/>
            <family val="2"/>
          </rPr>
          <t xml:space="preserve">
vert. water pressure at crown</t>
        </r>
      </text>
    </comment>
    <comment ref="B5" authorId="0" shapeId="0">
      <text>
        <r>
          <rPr>
            <b/>
            <sz val="8"/>
            <color indexed="81"/>
            <rFont val="Tahoma"/>
            <family val="2"/>
          </rPr>
          <t>punlop.v:</t>
        </r>
        <r>
          <rPr>
            <sz val="8"/>
            <color indexed="81"/>
            <rFont val="Tahoma"/>
            <family val="2"/>
          </rPr>
          <t xml:space="preserve">
Hor. Earth pressure at crown</t>
        </r>
      </text>
    </comment>
    <comment ref="E5" authorId="0" shapeId="0">
      <text>
        <r>
          <rPr>
            <b/>
            <sz val="8"/>
            <color indexed="81"/>
            <rFont val="Tahoma"/>
            <family val="2"/>
          </rPr>
          <t>punlop.v:</t>
        </r>
        <r>
          <rPr>
            <sz val="8"/>
            <color indexed="81"/>
            <rFont val="Tahoma"/>
            <family val="2"/>
          </rPr>
          <t xml:space="preserve">
Hor. Water pressure at crown</t>
        </r>
      </text>
    </comment>
    <comment ref="B6" authorId="0" shapeId="0">
      <text>
        <r>
          <rPr>
            <b/>
            <sz val="8"/>
            <color indexed="81"/>
            <rFont val="Tahoma"/>
            <family val="2"/>
          </rPr>
          <t>punlop.v:</t>
        </r>
        <r>
          <rPr>
            <sz val="8"/>
            <color indexed="81"/>
            <rFont val="Tahoma"/>
            <family val="2"/>
          </rPr>
          <t xml:space="preserve">
Hor. Earth pressure at bottom</t>
        </r>
      </text>
    </comment>
    <comment ref="E6" authorId="0" shapeId="0">
      <text>
        <r>
          <rPr>
            <b/>
            <sz val="8"/>
            <color indexed="81"/>
            <rFont val="Tahoma"/>
            <family val="2"/>
          </rPr>
          <t>punlop.v:</t>
        </r>
        <r>
          <rPr>
            <sz val="8"/>
            <color indexed="81"/>
            <rFont val="Tahoma"/>
            <family val="2"/>
          </rPr>
          <t xml:space="preserve">
Hor. Water pressure at bottom</t>
        </r>
      </text>
    </comment>
    <comment ref="H7" authorId="0" shapeId="0">
      <text>
        <r>
          <rPr>
            <b/>
            <sz val="8"/>
            <color indexed="81"/>
            <rFont val="Tahoma"/>
            <family val="2"/>
          </rPr>
          <t>punlop.v:</t>
        </r>
        <r>
          <rPr>
            <sz val="8"/>
            <color indexed="81"/>
            <rFont val="Tahoma"/>
            <family val="2"/>
          </rPr>
          <t xml:space="preserve">
dead load</t>
        </r>
      </text>
    </comment>
    <comment ref="K7" authorId="0" shapeId="0">
      <text>
        <r>
          <rPr>
            <b/>
            <sz val="8"/>
            <color indexed="81"/>
            <rFont val="Tahoma"/>
            <family val="2"/>
          </rPr>
          <t>punlop.v:</t>
        </r>
        <r>
          <rPr>
            <sz val="8"/>
            <color indexed="81"/>
            <rFont val="Tahoma"/>
            <family val="2"/>
          </rPr>
          <t xml:space="preserve">
Lateral displacement at spring</t>
        </r>
      </text>
    </comment>
  </commentList>
</comments>
</file>

<file path=xl/sharedStrings.xml><?xml version="1.0" encoding="utf-8"?>
<sst xmlns="http://schemas.openxmlformats.org/spreadsheetml/2006/main" count="511" uniqueCount="80">
  <si>
    <r>
      <t>R</t>
    </r>
    <r>
      <rPr>
        <vertAlign val="subscript"/>
        <sz val="16"/>
        <color theme="1"/>
        <rFont val="AngsanaUPC"/>
        <family val="1"/>
      </rPr>
      <t>c</t>
    </r>
    <r>
      <rPr>
        <sz val="16"/>
        <color theme="1"/>
        <rFont val="AngsanaUPC"/>
        <family val="2"/>
      </rPr>
      <t xml:space="preserve"> =</t>
    </r>
  </si>
  <si>
    <t>m</t>
  </si>
  <si>
    <r>
      <t>P</t>
    </r>
    <r>
      <rPr>
        <vertAlign val="subscript"/>
        <sz val="16"/>
        <color theme="1"/>
        <rFont val="AngsanaUPC"/>
        <family val="1"/>
      </rPr>
      <t>e1</t>
    </r>
    <r>
      <rPr>
        <sz val="16"/>
        <color theme="1"/>
        <rFont val="AngsanaUPC"/>
        <family val="2"/>
      </rPr>
      <t xml:space="preserve"> =</t>
    </r>
  </si>
  <si>
    <r>
      <t>P</t>
    </r>
    <r>
      <rPr>
        <vertAlign val="subscript"/>
        <sz val="16"/>
        <color theme="1"/>
        <rFont val="AngsanaUPC"/>
        <family val="1"/>
      </rPr>
      <t>w1</t>
    </r>
    <r>
      <rPr>
        <sz val="16"/>
        <color theme="1"/>
        <rFont val="AngsanaUPC"/>
        <family val="2"/>
      </rPr>
      <t xml:space="preserve"> =</t>
    </r>
  </si>
  <si>
    <t>kPa</t>
  </si>
  <si>
    <t>P =</t>
  </si>
  <si>
    <r>
      <t>Q</t>
    </r>
    <r>
      <rPr>
        <vertAlign val="subscript"/>
        <sz val="16"/>
        <color theme="1"/>
        <rFont val="AngsanaUPC"/>
        <family val="1"/>
      </rPr>
      <t>e1</t>
    </r>
    <r>
      <rPr>
        <sz val="16"/>
        <color theme="1"/>
        <rFont val="AngsanaUPC"/>
        <family val="2"/>
      </rPr>
      <t xml:space="preserve"> =</t>
    </r>
  </si>
  <si>
    <r>
      <t>Q</t>
    </r>
    <r>
      <rPr>
        <vertAlign val="subscript"/>
        <sz val="16"/>
        <color theme="1"/>
        <rFont val="AngsanaUPC"/>
        <family val="1"/>
      </rPr>
      <t>w1</t>
    </r>
    <r>
      <rPr>
        <sz val="16"/>
        <color theme="1"/>
        <rFont val="AngsanaUPC"/>
        <family val="2"/>
      </rPr>
      <t xml:space="preserve"> =</t>
    </r>
  </si>
  <si>
    <t>Q =</t>
  </si>
  <si>
    <t>q</t>
  </si>
  <si>
    <t>Moment (kN.m/m)</t>
  </si>
  <si>
    <t>Axial (kN/m)</t>
  </si>
  <si>
    <t>M =</t>
  </si>
  <si>
    <t>N =</t>
  </si>
  <si>
    <t>Shear (kN/m)</t>
  </si>
  <si>
    <r>
      <t>Q</t>
    </r>
    <r>
      <rPr>
        <vertAlign val="subscript"/>
        <sz val="16"/>
        <color theme="1"/>
        <rFont val="AngsanaUPC"/>
        <family val="1"/>
      </rPr>
      <t>e2</t>
    </r>
    <r>
      <rPr>
        <sz val="16"/>
        <color theme="1"/>
        <rFont val="AngsanaUPC"/>
        <family val="2"/>
      </rPr>
      <t xml:space="preserve"> =</t>
    </r>
  </si>
  <si>
    <r>
      <t>Q</t>
    </r>
    <r>
      <rPr>
        <vertAlign val="subscript"/>
        <sz val="16"/>
        <color theme="1"/>
        <rFont val="AngsanaUPC"/>
        <family val="1"/>
      </rPr>
      <t>w2</t>
    </r>
    <r>
      <rPr>
        <sz val="16"/>
        <color theme="1"/>
        <rFont val="AngsanaUPC"/>
        <family val="2"/>
      </rPr>
      <t xml:space="preserve"> =</t>
    </r>
  </si>
  <si>
    <t>Q' =</t>
  </si>
  <si>
    <r>
      <t>m</t>
    </r>
    <r>
      <rPr>
        <vertAlign val="superscript"/>
        <sz val="16"/>
        <color theme="1"/>
        <rFont val="AngsanaUPC"/>
        <family val="1"/>
      </rPr>
      <t>4</t>
    </r>
    <r>
      <rPr>
        <sz val="16"/>
        <color theme="1"/>
        <rFont val="AngsanaUPC"/>
        <family val="2"/>
      </rPr>
      <t>/m</t>
    </r>
  </si>
  <si>
    <r>
      <t>kN/m</t>
    </r>
    <r>
      <rPr>
        <vertAlign val="superscript"/>
        <sz val="16"/>
        <color theme="1"/>
        <rFont val="AngsanaUPC"/>
        <family val="1"/>
      </rPr>
      <t>3</t>
    </r>
  </si>
  <si>
    <r>
      <rPr>
        <sz val="16"/>
        <color theme="1"/>
        <rFont val="Symbol"/>
        <family val="1"/>
        <charset val="2"/>
      </rPr>
      <t>d</t>
    </r>
    <r>
      <rPr>
        <sz val="16"/>
        <color theme="1"/>
        <rFont val="AngsanaUPC"/>
        <family val="2"/>
      </rPr>
      <t xml:space="preserve"> =</t>
    </r>
  </si>
  <si>
    <t>g =</t>
  </si>
  <si>
    <t>Moment</t>
  </si>
  <si>
    <t>Axial</t>
  </si>
  <si>
    <t>Shear</t>
  </si>
  <si>
    <t>mirror</t>
  </si>
  <si>
    <t>Segment Member Forces Computation by Elastic Equation Method by JSCE (1996, 2006) in ITA (2000)</t>
  </si>
  <si>
    <t>Segment Member Forces Computation by Continuum Model (Windels 1967, Curtis 1976, Einstein 1979, Ahrens 1980) in Duddeck and Erdmann (1982)</t>
  </si>
  <si>
    <t>Soil:</t>
  </si>
  <si>
    <t>Modulus =</t>
  </si>
  <si>
    <t>Poisson =</t>
  </si>
  <si>
    <t>(-)</t>
  </si>
  <si>
    <t>Tunnel:</t>
  </si>
  <si>
    <t>Radius =</t>
  </si>
  <si>
    <t>Moment of Inertia =</t>
  </si>
  <si>
    <t>Area =</t>
  </si>
  <si>
    <t>Alpha =</t>
  </si>
  <si>
    <t>Beta =</t>
  </si>
  <si>
    <t>Vertical =</t>
  </si>
  <si>
    <t>K =</t>
  </si>
  <si>
    <t>Horizontal =</t>
  </si>
  <si>
    <t>kN/m</t>
  </si>
  <si>
    <t>N (kN/m)</t>
  </si>
  <si>
    <t>M (kNm/m)</t>
  </si>
  <si>
    <r>
      <t>N</t>
    </r>
    <r>
      <rPr>
        <vertAlign val="subscript"/>
        <sz val="16"/>
        <color theme="1"/>
        <rFont val="AngsanaUPC"/>
      </rPr>
      <t>o</t>
    </r>
    <r>
      <rPr>
        <sz val="16"/>
        <color theme="1"/>
        <rFont val="AngsanaUPC"/>
        <family val="2"/>
      </rPr>
      <t xml:space="preserve"> =</t>
    </r>
  </si>
  <si>
    <t>Load:</t>
  </si>
  <si>
    <r>
      <t>m</t>
    </r>
    <r>
      <rPr>
        <vertAlign val="superscript"/>
        <sz val="16"/>
        <color theme="1"/>
        <rFont val="AngsanaUPC"/>
      </rPr>
      <t>4</t>
    </r>
    <r>
      <rPr>
        <sz val="16"/>
        <color theme="1"/>
        <rFont val="AngsanaUPC"/>
        <family val="2"/>
      </rPr>
      <t>/m run</t>
    </r>
  </si>
  <si>
    <r>
      <t>m</t>
    </r>
    <r>
      <rPr>
        <vertAlign val="superscript"/>
        <sz val="16"/>
        <color theme="1"/>
        <rFont val="AngsanaUPC"/>
      </rPr>
      <t>2</t>
    </r>
    <r>
      <rPr>
        <sz val="16"/>
        <color theme="1"/>
        <rFont val="AngsanaUPC"/>
        <family val="2"/>
      </rPr>
      <t>/m run</t>
    </r>
  </si>
  <si>
    <r>
      <t>E</t>
    </r>
    <r>
      <rPr>
        <vertAlign val="subscript"/>
        <sz val="16"/>
        <color theme="1"/>
        <rFont val="AngsanaUPC"/>
      </rPr>
      <t>conc</t>
    </r>
    <r>
      <rPr>
        <sz val="16"/>
        <color theme="1"/>
        <rFont val="AngsanaUPC"/>
        <family val="2"/>
      </rPr>
      <t xml:space="preserve"> =</t>
    </r>
  </si>
  <si>
    <r>
      <t>I</t>
    </r>
    <r>
      <rPr>
        <vertAlign val="subscript"/>
        <sz val="16"/>
        <color theme="1"/>
        <rFont val="AngsanaUPC"/>
      </rPr>
      <t xml:space="preserve">Lining </t>
    </r>
    <r>
      <rPr>
        <sz val="16"/>
        <color theme="1"/>
        <rFont val="AngsanaUPC"/>
        <family val="2"/>
      </rPr>
      <t>=</t>
    </r>
  </si>
  <si>
    <r>
      <t>k</t>
    </r>
    <r>
      <rPr>
        <vertAlign val="subscript"/>
        <sz val="16"/>
        <color theme="1"/>
        <rFont val="AngsanaUPC"/>
      </rPr>
      <t>soil</t>
    </r>
    <r>
      <rPr>
        <sz val="16"/>
        <color theme="1"/>
        <rFont val="AngsanaUPC"/>
        <family val="2"/>
      </rPr>
      <t xml:space="preserve"> =</t>
    </r>
  </si>
  <si>
    <r>
      <rPr>
        <sz val="16"/>
        <color theme="1"/>
        <rFont val="Symbol"/>
        <family val="1"/>
        <charset val="2"/>
      </rPr>
      <t>g</t>
    </r>
    <r>
      <rPr>
        <vertAlign val="subscript"/>
        <sz val="16"/>
        <color theme="1"/>
        <rFont val="AngsanaUPC"/>
      </rPr>
      <t>conc</t>
    </r>
    <r>
      <rPr>
        <sz val="16"/>
        <color theme="1"/>
        <rFont val="AngsanaUPC"/>
        <family val="2"/>
      </rPr>
      <t xml:space="preserve"> =</t>
    </r>
  </si>
  <si>
    <t>t =</t>
  </si>
  <si>
    <r>
      <t>M</t>
    </r>
    <r>
      <rPr>
        <vertAlign val="subscript"/>
        <sz val="12"/>
        <color theme="1"/>
        <rFont val="AngsanaUPC"/>
        <family val="2"/>
      </rPr>
      <t>1</t>
    </r>
  </si>
  <si>
    <r>
      <t>N</t>
    </r>
    <r>
      <rPr>
        <vertAlign val="subscript"/>
        <sz val="12"/>
        <color theme="1"/>
        <rFont val="AngsanaUPC"/>
        <family val="2"/>
      </rPr>
      <t>1</t>
    </r>
  </si>
  <si>
    <r>
      <t>Q</t>
    </r>
    <r>
      <rPr>
        <vertAlign val="subscript"/>
        <sz val="12"/>
        <color theme="1"/>
        <rFont val="AngsanaUPC"/>
        <family val="2"/>
      </rPr>
      <t>1</t>
    </r>
  </si>
  <si>
    <r>
      <t>M</t>
    </r>
    <r>
      <rPr>
        <vertAlign val="subscript"/>
        <sz val="12"/>
        <color theme="1"/>
        <rFont val="AngsanaUPC"/>
        <family val="2"/>
      </rPr>
      <t>2</t>
    </r>
    <r>
      <rPr>
        <sz val="16"/>
        <color theme="1"/>
        <rFont val="AngsanaUPC"/>
        <family val="2"/>
      </rPr>
      <t/>
    </r>
  </si>
  <si>
    <r>
      <t>N</t>
    </r>
    <r>
      <rPr>
        <vertAlign val="subscript"/>
        <sz val="12"/>
        <color theme="1"/>
        <rFont val="AngsanaUPC"/>
        <family val="2"/>
      </rPr>
      <t>2</t>
    </r>
    <r>
      <rPr>
        <sz val="16"/>
        <color theme="1"/>
        <rFont val="AngsanaUPC"/>
        <family val="2"/>
      </rPr>
      <t/>
    </r>
  </si>
  <si>
    <r>
      <t>Q</t>
    </r>
    <r>
      <rPr>
        <vertAlign val="subscript"/>
        <sz val="12"/>
        <color theme="1"/>
        <rFont val="AngsanaUPC"/>
        <family val="2"/>
      </rPr>
      <t>2</t>
    </r>
  </si>
  <si>
    <r>
      <t>M</t>
    </r>
    <r>
      <rPr>
        <vertAlign val="subscript"/>
        <sz val="12"/>
        <color theme="1"/>
        <rFont val="AngsanaUPC"/>
        <family val="2"/>
      </rPr>
      <t>3</t>
    </r>
    <r>
      <rPr>
        <sz val="16"/>
        <color theme="1"/>
        <rFont val="AngsanaUPC"/>
        <family val="2"/>
      </rPr>
      <t/>
    </r>
  </si>
  <si>
    <r>
      <t>N</t>
    </r>
    <r>
      <rPr>
        <vertAlign val="subscript"/>
        <sz val="12"/>
        <color theme="1"/>
        <rFont val="AngsanaUPC"/>
        <family val="2"/>
      </rPr>
      <t>3</t>
    </r>
    <r>
      <rPr>
        <sz val="16"/>
        <color theme="1"/>
        <rFont val="AngsanaUPC"/>
        <family val="2"/>
      </rPr>
      <t/>
    </r>
  </si>
  <si>
    <r>
      <t>Q</t>
    </r>
    <r>
      <rPr>
        <vertAlign val="subscript"/>
        <sz val="12"/>
        <color theme="1"/>
        <rFont val="AngsanaUPC"/>
        <family val="2"/>
      </rPr>
      <t>3</t>
    </r>
  </si>
  <si>
    <r>
      <t>M</t>
    </r>
    <r>
      <rPr>
        <vertAlign val="subscript"/>
        <sz val="12"/>
        <color theme="1"/>
        <rFont val="AngsanaUPC"/>
        <family val="2"/>
      </rPr>
      <t>4</t>
    </r>
    <r>
      <rPr>
        <sz val="16"/>
        <color theme="1"/>
        <rFont val="AngsanaUPC"/>
        <family val="2"/>
      </rPr>
      <t/>
    </r>
  </si>
  <si>
    <r>
      <t>N</t>
    </r>
    <r>
      <rPr>
        <vertAlign val="subscript"/>
        <sz val="12"/>
        <color theme="1"/>
        <rFont val="AngsanaUPC"/>
        <family val="2"/>
      </rPr>
      <t>4</t>
    </r>
    <r>
      <rPr>
        <sz val="16"/>
        <color theme="1"/>
        <rFont val="AngsanaUPC"/>
        <family val="2"/>
      </rPr>
      <t/>
    </r>
  </si>
  <si>
    <r>
      <t>Q</t>
    </r>
    <r>
      <rPr>
        <vertAlign val="subscript"/>
        <sz val="12"/>
        <color theme="1"/>
        <rFont val="AngsanaUPC"/>
        <family val="2"/>
      </rPr>
      <t>4</t>
    </r>
  </si>
  <si>
    <r>
      <t>M</t>
    </r>
    <r>
      <rPr>
        <vertAlign val="subscript"/>
        <sz val="12"/>
        <color theme="1"/>
        <rFont val="AngsanaUPC"/>
        <family val="2"/>
      </rPr>
      <t>5</t>
    </r>
    <r>
      <rPr>
        <sz val="16"/>
        <color theme="1"/>
        <rFont val="AngsanaUPC"/>
        <family val="2"/>
      </rPr>
      <t/>
    </r>
  </si>
  <si>
    <r>
      <t>N</t>
    </r>
    <r>
      <rPr>
        <vertAlign val="subscript"/>
        <sz val="12"/>
        <color theme="1"/>
        <rFont val="AngsanaUPC"/>
        <family val="2"/>
      </rPr>
      <t>5</t>
    </r>
    <r>
      <rPr>
        <sz val="16"/>
        <color theme="1"/>
        <rFont val="AngsanaUPC"/>
        <family val="2"/>
      </rPr>
      <t/>
    </r>
  </si>
  <si>
    <r>
      <t>Q</t>
    </r>
    <r>
      <rPr>
        <vertAlign val="subscript"/>
        <sz val="12"/>
        <color theme="1"/>
        <rFont val="AngsanaUPC"/>
        <family val="2"/>
      </rPr>
      <t>5</t>
    </r>
  </si>
  <si>
    <t>Q (kN/m)</t>
  </si>
  <si>
    <t>Ideal Case FYI Only</t>
  </si>
  <si>
    <t>at Crown</t>
  </si>
  <si>
    <t>at Bottom</t>
  </si>
  <si>
    <t>หมายเหตุ</t>
  </si>
  <si>
    <t>1)</t>
  </si>
  <si>
    <r>
      <t xml:space="preserve">ตารางคำนวณนี้เขียนขึ้นโดย </t>
    </r>
    <r>
      <rPr>
        <i/>
        <sz val="11"/>
        <color theme="1"/>
        <rFont val="Calibri"/>
        <family val="2"/>
        <scheme val="minor"/>
      </rPr>
      <t>พัลลภ วิสุทธิ์เมธานุกูล</t>
    </r>
    <r>
      <rPr>
        <sz val="11"/>
        <rFont val="Calibri"/>
        <family val="2"/>
        <scheme val="minor"/>
      </rPr>
      <t xml:space="preserve">  โดยมีวัตถุประสงค์ด้านวิชาการเพื่อใช้ประกอบหนังสือ </t>
    </r>
    <r>
      <rPr>
        <i/>
        <sz val="11"/>
        <color theme="1"/>
        <rFont val="Calibri"/>
        <family val="2"/>
        <scheme val="minor"/>
      </rPr>
      <t>คู่มือวิศวกรรมฐานราก</t>
    </r>
    <r>
      <rPr>
        <sz val="11"/>
        <rFont val="Calibri"/>
        <family val="2"/>
        <scheme val="minor"/>
      </rPr>
      <t xml:space="preserve">  ของผู้เขียนเดียวกัน</t>
    </r>
  </si>
  <si>
    <t>2)</t>
  </si>
  <si>
    <t>ถึงแม้ว่าผู้เขียนจะพัฒนาตารางคำนวณขึ้นมาอย่างระมัดระวัง แต่ก็อาจจะมีความผิดพลาด รวมทั้งไม่สามารถใช้ครอบคลุมและแก้ปัญหาทุกสิ่งทุกอย่างได้</t>
  </si>
  <si>
    <t>3)</t>
  </si>
  <si>
    <t>ผู้เขียนตารางคำนวณไม่จำเป็นต้องรับผิดชอบความผิดพลาดในตารางคำนวณ หรือรับผิดชอบความเสียหายที่เกิดจากผู้อื่นนำไปใช้</t>
  </si>
  <si>
    <t>ver 2014.07.18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</si>
</sst>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00"/>
    <numFmt numFmtId="165" formatCode="0.0"/>
    <numFmt numFmtId="166" formatCode="0.000000"/>
  </numFmts>
  <fonts count="20" x14ac:knownFonts="1">
    <font>
      <sz val="16"/>
      <color theme="1"/>
      <name val="AngsanaUPC"/>
      <family val="2"/>
    </font>
    <font>
      <vertAlign val="subscript"/>
      <sz val="16"/>
      <color theme="1"/>
      <name val="AngsanaUPC"/>
      <family val="1"/>
    </font>
    <font>
      <sz val="16"/>
      <color theme="1"/>
      <name val="Symbol"/>
      <family val="1"/>
      <charset val="2"/>
    </font>
    <font>
      <vertAlign val="superscript"/>
      <sz val="16"/>
      <color theme="1"/>
      <name val="AngsanaUPC"/>
      <family val="1"/>
    </font>
    <font>
      <b/>
      <sz val="16"/>
      <color rgb="FF0000FF"/>
      <name val="AngsanaUPC"/>
      <family val="1"/>
    </font>
    <font>
      <sz val="16"/>
      <color rgb="FFFF00FF"/>
      <name val="AngsanaUPC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vertAlign val="subscript"/>
      <sz val="16"/>
      <color theme="1"/>
      <name val="AngsanaUPC"/>
    </font>
    <font>
      <vertAlign val="superscript"/>
      <sz val="16"/>
      <color theme="1"/>
      <name val="AngsanaUPC"/>
    </font>
    <font>
      <sz val="12"/>
      <color theme="1"/>
      <name val="AngsanaUPC"/>
      <family val="2"/>
    </font>
    <font>
      <vertAlign val="subscript"/>
      <sz val="12"/>
      <color theme="1"/>
      <name val="AngsanaUPC"/>
      <family val="2"/>
    </font>
    <font>
      <b/>
      <sz val="16"/>
      <color rgb="FF0000FF"/>
      <name val="Symbol"/>
      <family val="1"/>
      <charset val="2"/>
    </font>
    <font>
      <sz val="16"/>
      <color rgb="FFFF0000"/>
      <name val="AngsanaUPC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6"/>
      <name val="AngsanaUPC"/>
      <family val="2"/>
    </font>
    <font>
      <b/>
      <sz val="16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right"/>
    </xf>
    <xf numFmtId="2" fontId="0" fillId="3" borderId="0" xfId="0" applyNumberForma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4" xfId="0" applyNumberFormat="1" applyBorder="1"/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6" xfId="0" applyNumberFormat="1" applyBorder="1"/>
    <xf numFmtId="164" fontId="0" fillId="0" borderId="0" xfId="0" applyNumberFormat="1" applyFill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2" fontId="0" fillId="0" borderId="4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2" fontId="0" fillId="0" borderId="6" xfId="0" applyNumberFormat="1" applyBorder="1" applyAlignment="1">
      <alignment horizontal="right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0" fillId="0" borderId="6" xfId="0" applyFont="1" applyBorder="1" applyAlignment="1">
      <alignment horizontal="left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0" fillId="0" borderId="4" xfId="0" applyBorder="1"/>
    <xf numFmtId="0" fontId="0" fillId="0" borderId="6" xfId="0" applyBorder="1"/>
    <xf numFmtId="2" fontId="0" fillId="0" borderId="14" xfId="0" applyNumberFormat="1" applyBorder="1"/>
    <xf numFmtId="0" fontId="0" fillId="0" borderId="16" xfId="0" applyBorder="1"/>
    <xf numFmtId="0" fontId="0" fillId="0" borderId="18" xfId="0" applyBorder="1"/>
    <xf numFmtId="0" fontId="0" fillId="0" borderId="0" xfId="0" applyBorder="1"/>
    <xf numFmtId="0" fontId="0" fillId="0" borderId="19" xfId="0" applyBorder="1"/>
    <xf numFmtId="0" fontId="0" fillId="0" borderId="0" xfId="0" applyBorder="1" applyAlignment="1">
      <alignment horizontal="right"/>
    </xf>
    <xf numFmtId="165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5" fillId="0" borderId="0" xfId="0" applyFont="1" applyBorder="1"/>
    <xf numFmtId="0" fontId="14" fillId="0" borderId="0" xfId="0" applyFont="1" applyBorder="1"/>
    <xf numFmtId="0" fontId="15" fillId="0" borderId="0" xfId="0" applyFont="1" applyBorder="1" applyAlignment="1">
      <alignment horizontal="right"/>
    </xf>
    <xf numFmtId="0" fontId="17" fillId="0" borderId="18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0" fillId="0" borderId="18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right"/>
    </xf>
    <xf numFmtId="0" fontId="12" fillId="4" borderId="20" xfId="0" applyFont="1" applyFill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0" fontId="10" fillId="0" borderId="21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10" fillId="0" borderId="28" xfId="0" applyFont="1" applyBorder="1" applyAlignment="1">
      <alignment horizontal="left"/>
    </xf>
    <xf numFmtId="0" fontId="5" fillId="0" borderId="29" xfId="0" applyFont="1" applyFill="1" applyBorder="1" applyAlignment="1">
      <alignment horizontal="center"/>
    </xf>
    <xf numFmtId="0" fontId="0" fillId="0" borderId="25" xfId="0" applyBorder="1" applyAlignment="1">
      <alignment horizontal="right"/>
    </xf>
    <xf numFmtId="2" fontId="0" fillId="3" borderId="25" xfId="0" applyNumberFormat="1" applyFill="1" applyBorder="1" applyAlignment="1">
      <alignment horizontal="center"/>
    </xf>
    <xf numFmtId="0" fontId="17" fillId="0" borderId="15" xfId="0" applyFont="1" applyBorder="1"/>
    <xf numFmtId="0" fontId="0" fillId="0" borderId="17" xfId="0" applyBorder="1" applyAlignment="1">
      <alignment horizontal="right"/>
    </xf>
    <xf numFmtId="0" fontId="0" fillId="2" borderId="1" xfId="0" applyFill="1" applyBorder="1" applyAlignment="1" applyProtection="1">
      <alignment horizontal="center"/>
      <protection locked="0"/>
    </xf>
    <xf numFmtId="11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1" fontId="0" fillId="2" borderId="1" xfId="0" applyNumberFormat="1" applyFill="1" applyBorder="1" applyProtection="1">
      <protection locked="0"/>
    </xf>
    <xf numFmtId="0" fontId="13" fillId="0" borderId="13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FF"/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689873224496012"/>
          <c:y val="6.4253570843391242E-2"/>
          <c:w val="0.72278053217508154"/>
          <c:h val="0.75914577404607531"/>
        </c:manualLayout>
      </c:layout>
      <c:scatterChart>
        <c:scatterStyle val="lineMarker"/>
        <c:varyColors val="0"/>
        <c:ser>
          <c:idx val="0"/>
          <c:order val="0"/>
          <c:xVal>
            <c:numRef>
              <c:f>Continuum!$A$12:$A$48</c:f>
              <c:numCache>
                <c:formatCode>General</c:formatCode>
                <c:ptCount val="3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</c:numCache>
            </c:numRef>
          </c:xVal>
          <c:yVal>
            <c:numRef>
              <c:f>Continuum!$B$12:$B$48</c:f>
              <c:numCache>
                <c:formatCode>0.00</c:formatCode>
                <c:ptCount val="37"/>
                <c:pt idx="0">
                  <c:v>-321.30145027169749</c:v>
                </c:pt>
                <c:pt idx="1">
                  <c:v>-322.35567783312212</c:v>
                </c:pt>
                <c:pt idx="2">
                  <c:v>-325.39120511474647</c:v>
                </c:pt>
                <c:pt idx="3">
                  <c:v>-330.04190272679529</c:v>
                </c:pt>
                <c:pt idx="4">
                  <c:v>-335.74682790026878</c:v>
                </c:pt>
                <c:pt idx="5">
                  <c:v>-341.81788246351749</c:v>
                </c:pt>
                <c:pt idx="6">
                  <c:v>-347.52280763699099</c:v>
                </c:pt>
                <c:pt idx="7">
                  <c:v>-352.17350524903981</c:v>
                </c:pt>
                <c:pt idx="8">
                  <c:v>-355.20903253066416</c:v>
                </c:pt>
                <c:pt idx="9">
                  <c:v>-356.26326009208879</c:v>
                </c:pt>
                <c:pt idx="10">
                  <c:v>-355.20903253066416</c:v>
                </c:pt>
                <c:pt idx="11">
                  <c:v>-352.17350524903981</c:v>
                </c:pt>
                <c:pt idx="12">
                  <c:v>-347.52280763699099</c:v>
                </c:pt>
                <c:pt idx="13">
                  <c:v>-341.81788246351749</c:v>
                </c:pt>
                <c:pt idx="14">
                  <c:v>-335.74682790026878</c:v>
                </c:pt>
                <c:pt idx="15">
                  <c:v>-330.04190272679529</c:v>
                </c:pt>
                <c:pt idx="16">
                  <c:v>-325.39120511474653</c:v>
                </c:pt>
                <c:pt idx="17">
                  <c:v>-322.35567783312212</c:v>
                </c:pt>
                <c:pt idx="18">
                  <c:v>-321.30145027169749</c:v>
                </c:pt>
                <c:pt idx="19">
                  <c:v>-322.35567783312212</c:v>
                </c:pt>
                <c:pt idx="20">
                  <c:v>-325.39120511474647</c:v>
                </c:pt>
                <c:pt idx="21">
                  <c:v>-330.04190272679529</c:v>
                </c:pt>
                <c:pt idx="22">
                  <c:v>-335.74682790026878</c:v>
                </c:pt>
                <c:pt idx="23">
                  <c:v>-341.81788246351749</c:v>
                </c:pt>
                <c:pt idx="24">
                  <c:v>-347.52280763699093</c:v>
                </c:pt>
                <c:pt idx="25">
                  <c:v>-352.17350524903981</c:v>
                </c:pt>
                <c:pt idx="26">
                  <c:v>-355.20903253066416</c:v>
                </c:pt>
                <c:pt idx="27">
                  <c:v>-356.26326009208879</c:v>
                </c:pt>
                <c:pt idx="28">
                  <c:v>-355.20903253066416</c:v>
                </c:pt>
                <c:pt idx="29">
                  <c:v>-352.17350524903975</c:v>
                </c:pt>
                <c:pt idx="30">
                  <c:v>-347.52280763699099</c:v>
                </c:pt>
                <c:pt idx="31">
                  <c:v>-341.81788246351749</c:v>
                </c:pt>
                <c:pt idx="32">
                  <c:v>-335.74682790026878</c:v>
                </c:pt>
                <c:pt idx="33">
                  <c:v>-330.04190272679534</c:v>
                </c:pt>
                <c:pt idx="34">
                  <c:v>-325.39120511474647</c:v>
                </c:pt>
                <c:pt idx="35">
                  <c:v>-322.35567783312212</c:v>
                </c:pt>
                <c:pt idx="36">
                  <c:v>-321.30145027169749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17736"/>
        <c:axId val="196216952"/>
      </c:scatterChart>
      <c:valAx>
        <c:axId val="196217736"/>
        <c:scaling>
          <c:orientation val="minMax"/>
          <c:max val="360"/>
          <c:min val="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GB"/>
                  <a:t>Clockwise Angle from Crown</a:t>
                </a:r>
              </a:p>
            </c:rich>
          </c:tx>
          <c:layout>
            <c:manualLayout>
              <c:xMode val="edge"/>
              <c:yMode val="edge"/>
              <c:x val="0.34650119918600431"/>
              <c:y val="0.93389225158598466"/>
            </c:manualLayout>
          </c:layout>
          <c:overlay val="0"/>
        </c:title>
        <c:numFmt formatCode="General" sourceLinked="1"/>
        <c:majorTickMark val="none"/>
        <c:minorTickMark val="in"/>
        <c:tickLblPos val="high"/>
        <c:txPr>
          <a:bodyPr/>
          <a:lstStyle/>
          <a:p>
            <a:pPr>
              <a:defRPr lang="en-GB"/>
            </a:pPr>
            <a:endParaRPr lang="en-US"/>
          </a:p>
        </c:txPr>
        <c:crossAx val="196216952"/>
        <c:crosses val="autoZero"/>
        <c:crossBetween val="midCat"/>
        <c:majorUnit val="45"/>
        <c:minorUnit val="5"/>
      </c:valAx>
      <c:valAx>
        <c:axId val="196216952"/>
        <c:scaling>
          <c:orientation val="maxMin"/>
          <c:max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GB"/>
                  <a:t>N</a:t>
                </a:r>
                <a:r>
                  <a:rPr lang="en-GB" baseline="0"/>
                  <a:t> (kN/m)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3.3849122563868732E-2"/>
              <c:y val="0.33961781557663118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9621773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283752635301413"/>
          <c:y val="4.6056613554236486E-2"/>
          <c:w val="0.7199189171573418"/>
          <c:h val="0.78101762767381822"/>
        </c:manualLayout>
      </c:layout>
      <c:scatterChart>
        <c:scatterStyle val="lineMarker"/>
        <c:varyColors val="0"/>
        <c:ser>
          <c:idx val="0"/>
          <c:order val="0"/>
          <c:xVal>
            <c:numRef>
              <c:f>Continuum!$A$12:$A$48</c:f>
              <c:numCache>
                <c:formatCode>General</c:formatCode>
                <c:ptCount val="3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</c:numCache>
            </c:numRef>
          </c:xVal>
          <c:yVal>
            <c:numRef>
              <c:f>Continuum!$C$12:$C$48</c:f>
              <c:numCache>
                <c:formatCode>0.00</c:formatCode>
                <c:ptCount val="37"/>
                <c:pt idx="0">
                  <c:v>3.9439957563397874</c:v>
                </c:pt>
                <c:pt idx="1">
                  <c:v>3.7061437086434359</c:v>
                </c:pt>
                <c:pt idx="2">
                  <c:v>3.0212760328289248</c:v>
                </c:pt>
                <c:pt idx="3">
                  <c:v>1.9719978781698941</c:v>
                </c:pt>
                <c:pt idx="4">
                  <c:v>0.68486767581451102</c:v>
                </c:pt>
                <c:pt idx="5">
                  <c:v>-0.68486767581451058</c:v>
                </c:pt>
                <c:pt idx="6">
                  <c:v>-1.9719978781698928</c:v>
                </c:pt>
                <c:pt idx="7">
                  <c:v>-3.0212760328289243</c:v>
                </c:pt>
                <c:pt idx="8">
                  <c:v>-3.7061437086434355</c:v>
                </c:pt>
                <c:pt idx="9">
                  <c:v>-3.9439957563397874</c:v>
                </c:pt>
                <c:pt idx="10">
                  <c:v>-3.7061437086434359</c:v>
                </c:pt>
                <c:pt idx="11">
                  <c:v>-3.0212760328289248</c:v>
                </c:pt>
                <c:pt idx="12">
                  <c:v>-1.9719978781698955</c:v>
                </c:pt>
                <c:pt idx="13">
                  <c:v>-0.68486767581451069</c:v>
                </c:pt>
                <c:pt idx="14">
                  <c:v>0.68486767581450925</c:v>
                </c:pt>
                <c:pt idx="15">
                  <c:v>1.9719978781698941</c:v>
                </c:pt>
                <c:pt idx="16">
                  <c:v>3.0212760328289239</c:v>
                </c:pt>
                <c:pt idx="17">
                  <c:v>3.7061437086434359</c:v>
                </c:pt>
                <c:pt idx="18">
                  <c:v>3.9439957563397874</c:v>
                </c:pt>
                <c:pt idx="19">
                  <c:v>3.7061437086434355</c:v>
                </c:pt>
                <c:pt idx="20">
                  <c:v>3.0212760328289252</c:v>
                </c:pt>
                <c:pt idx="21">
                  <c:v>1.9719978781698926</c:v>
                </c:pt>
                <c:pt idx="22">
                  <c:v>0.68486767581451113</c:v>
                </c:pt>
                <c:pt idx="23">
                  <c:v>-0.6848676758145088</c:v>
                </c:pt>
                <c:pt idx="24">
                  <c:v>-1.9719978781698906</c:v>
                </c:pt>
                <c:pt idx="25">
                  <c:v>-3.0212760328289261</c:v>
                </c:pt>
                <c:pt idx="26">
                  <c:v>-3.7061437086434359</c:v>
                </c:pt>
                <c:pt idx="27">
                  <c:v>-3.9439957563397874</c:v>
                </c:pt>
                <c:pt idx="28">
                  <c:v>-3.7061437086434368</c:v>
                </c:pt>
                <c:pt idx="29">
                  <c:v>-3.0212760328289234</c:v>
                </c:pt>
                <c:pt idx="30">
                  <c:v>-1.971997878169893</c:v>
                </c:pt>
                <c:pt idx="31">
                  <c:v>-0.68486767581451169</c:v>
                </c:pt>
                <c:pt idx="32">
                  <c:v>0.68486767581450825</c:v>
                </c:pt>
                <c:pt idx="33">
                  <c:v>1.9719978781698901</c:v>
                </c:pt>
                <c:pt idx="34">
                  <c:v>3.0212760328289257</c:v>
                </c:pt>
                <c:pt idx="35">
                  <c:v>3.7061437086434355</c:v>
                </c:pt>
                <c:pt idx="36">
                  <c:v>3.9439957563397874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11856"/>
        <c:axId val="196215776"/>
      </c:scatterChart>
      <c:valAx>
        <c:axId val="196211856"/>
        <c:scaling>
          <c:orientation val="minMax"/>
          <c:max val="3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GB"/>
                  <a:t>Clockwise Angle from Crown</a:t>
                </a:r>
              </a:p>
            </c:rich>
          </c:tx>
          <c:layout>
            <c:manualLayout>
              <c:xMode val="edge"/>
              <c:yMode val="edge"/>
              <c:x val="0.33547517322541059"/>
              <c:y val="0.93692489252792699"/>
            </c:manualLayout>
          </c:layout>
          <c:overlay val="0"/>
        </c:title>
        <c:numFmt formatCode="General" sourceLinked="1"/>
        <c:majorTickMark val="none"/>
        <c:minorTickMark val="out"/>
        <c:tickLblPos val="low"/>
        <c:txPr>
          <a:bodyPr/>
          <a:lstStyle/>
          <a:p>
            <a:pPr>
              <a:defRPr lang="en-GB"/>
            </a:pPr>
            <a:endParaRPr lang="en-US"/>
          </a:p>
        </c:txPr>
        <c:crossAx val="196215776"/>
        <c:crosses val="autoZero"/>
        <c:crossBetween val="midCat"/>
        <c:majorUnit val="45"/>
        <c:minorUnit val="5"/>
      </c:valAx>
      <c:valAx>
        <c:axId val="1962157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GB"/>
                  <a:t>M</a:t>
                </a:r>
                <a:r>
                  <a:rPr lang="en-GB" baseline="0"/>
                  <a:t> (kNm/m)</a:t>
                </a:r>
                <a:endParaRPr lang="en-GB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9621185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283397122442564"/>
          <c:y val="4.7924662308286028E-2"/>
          <c:w val="0.71642506315663934"/>
          <c:h val="0.77542108627822903"/>
        </c:manualLayout>
      </c:layout>
      <c:scatterChart>
        <c:scatterStyle val="lineMarker"/>
        <c:varyColors val="0"/>
        <c:ser>
          <c:idx val="0"/>
          <c:order val="0"/>
          <c:xVal>
            <c:numRef>
              <c:f>Continuum!$A$12:$A$48</c:f>
              <c:numCache>
                <c:formatCode>General</c:formatCode>
                <c:ptCount val="3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</c:numCache>
            </c:numRef>
          </c:xVal>
          <c:yVal>
            <c:numRef>
              <c:f>Continuum!$D$12:$D$48</c:f>
              <c:numCache>
                <c:formatCode>General</c:formatCode>
                <c:ptCount val="37"/>
                <c:pt idx="0">
                  <c:v>0</c:v>
                </c:pt>
                <c:pt idx="1">
                  <c:v>-1.6500623778093741</c:v>
                </c:pt>
                <c:pt idx="2">
                  <c:v>-3.1011028805278364</c:v>
                </c:pt>
                <c:pt idx="3">
                  <c:v>-4.1781046084504911</c:v>
                </c:pt>
                <c:pt idx="4">
                  <c:v>-4.7511652583372106</c:v>
                </c:pt>
                <c:pt idx="5">
                  <c:v>-4.7511652583372115</c:v>
                </c:pt>
                <c:pt idx="6">
                  <c:v>-4.178104608450492</c:v>
                </c:pt>
                <c:pt idx="7">
                  <c:v>-3.1011028805278373</c:v>
                </c:pt>
                <c:pt idx="8">
                  <c:v>-1.6500623778093748</c:v>
                </c:pt>
                <c:pt idx="9">
                  <c:v>-5.9106792746738153E-16</c:v>
                </c:pt>
                <c:pt idx="10">
                  <c:v>1.6500623778093739</c:v>
                </c:pt>
                <c:pt idx="11">
                  <c:v>3.1011028805278364</c:v>
                </c:pt>
                <c:pt idx="12">
                  <c:v>4.1781046084504911</c:v>
                </c:pt>
                <c:pt idx="13">
                  <c:v>4.7511652583372115</c:v>
                </c:pt>
                <c:pt idx="14">
                  <c:v>4.7511652583372115</c:v>
                </c:pt>
                <c:pt idx="15">
                  <c:v>4.178104608450492</c:v>
                </c:pt>
                <c:pt idx="16">
                  <c:v>3.1011028805278378</c:v>
                </c:pt>
                <c:pt idx="17">
                  <c:v>1.6500623778093733</c:v>
                </c:pt>
                <c:pt idx="18">
                  <c:v>1.1821358549347631E-15</c:v>
                </c:pt>
                <c:pt idx="19">
                  <c:v>-1.6500623778093753</c:v>
                </c:pt>
                <c:pt idx="20">
                  <c:v>-3.1011028805278364</c:v>
                </c:pt>
                <c:pt idx="21">
                  <c:v>-4.178104608450492</c:v>
                </c:pt>
                <c:pt idx="22">
                  <c:v>-4.7511652583372106</c:v>
                </c:pt>
                <c:pt idx="23">
                  <c:v>-4.7511652583372115</c:v>
                </c:pt>
                <c:pt idx="24">
                  <c:v>-4.1781046084504938</c:v>
                </c:pt>
                <c:pt idx="25">
                  <c:v>-3.1011028805278351</c:v>
                </c:pt>
                <c:pt idx="26">
                  <c:v>-1.6500623778093741</c:v>
                </c:pt>
                <c:pt idx="27">
                  <c:v>-1.7732037824021448E-15</c:v>
                </c:pt>
                <c:pt idx="28">
                  <c:v>1.6500623778093706</c:v>
                </c:pt>
                <c:pt idx="29">
                  <c:v>3.1011028805278391</c:v>
                </c:pt>
                <c:pt idx="30">
                  <c:v>4.178104608450492</c:v>
                </c:pt>
                <c:pt idx="31">
                  <c:v>4.7511652583372115</c:v>
                </c:pt>
                <c:pt idx="32">
                  <c:v>4.7511652583372115</c:v>
                </c:pt>
                <c:pt idx="33">
                  <c:v>4.1781046084504938</c:v>
                </c:pt>
                <c:pt idx="34">
                  <c:v>3.1011028805278356</c:v>
                </c:pt>
                <c:pt idx="35">
                  <c:v>1.6500623778093744</c:v>
                </c:pt>
                <c:pt idx="36">
                  <c:v>2.3642717098695261E-15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13032"/>
        <c:axId val="196216560"/>
      </c:scatterChart>
      <c:valAx>
        <c:axId val="196213032"/>
        <c:scaling>
          <c:orientation val="minMax"/>
          <c:max val="3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GB"/>
                  <a:t>Clockwise Angle from Crown</a:t>
                </a:r>
              </a:p>
            </c:rich>
          </c:tx>
          <c:overlay val="0"/>
        </c:title>
        <c:numFmt formatCode="General" sourceLinked="1"/>
        <c:majorTickMark val="none"/>
        <c:minorTickMark val="in"/>
        <c:tickLblPos val="low"/>
        <c:txPr>
          <a:bodyPr/>
          <a:lstStyle/>
          <a:p>
            <a:pPr>
              <a:defRPr lang="en-GB"/>
            </a:pPr>
            <a:endParaRPr lang="en-US"/>
          </a:p>
        </c:txPr>
        <c:crossAx val="196216560"/>
        <c:crosses val="autoZero"/>
        <c:crossBetween val="midCat"/>
        <c:majorUnit val="45"/>
        <c:minorUnit val="5"/>
      </c:valAx>
      <c:valAx>
        <c:axId val="1962165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GB" baseline="0"/>
                  <a:t>V (kN/m)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4.8944756317864824E-2"/>
              <c:y val="0.3112933307209852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9621303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283752635301407"/>
          <c:y val="4.6056613554236521E-2"/>
          <c:w val="0.7199189171573418"/>
          <c:h val="0.78101762767381844"/>
        </c:manualLayout>
      </c:layout>
      <c:scatterChart>
        <c:scatterStyle val="lineMarker"/>
        <c:varyColors val="0"/>
        <c:ser>
          <c:idx val="0"/>
          <c:order val="0"/>
          <c:xVal>
            <c:numRef>
              <c:f>JSCE!$I$10:$I$46</c:f>
              <c:numCache>
                <c:formatCode>General</c:formatCode>
                <c:ptCount val="3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</c:numCache>
            </c:numRef>
          </c:xVal>
          <c:yVal>
            <c:numRef>
              <c:f>JSCE!$J$10:$J$46</c:f>
              <c:numCache>
                <c:formatCode>0.00</c:formatCode>
                <c:ptCount val="37"/>
                <c:pt idx="0">
                  <c:v>6.3898116478658107</c:v>
                </c:pt>
                <c:pt idx="1">
                  <c:v>5.8198694488047469</c:v>
                </c:pt>
                <c:pt idx="2">
                  <c:v>4.2297415126029865</c:v>
                </c:pt>
                <c:pt idx="3">
                  <c:v>1.9504930808346645</c:v>
                </c:pt>
                <c:pt idx="4">
                  <c:v>-0.55234333968899352</c:v>
                </c:pt>
                <c:pt idx="5">
                  <c:v>-2.7848566470678442</c:v>
                </c:pt>
                <c:pt idx="6">
                  <c:v>-4.3458710545962411</c:v>
                </c:pt>
                <c:pt idx="7">
                  <c:v>-5.0180530933683904</c:v>
                </c:pt>
                <c:pt idx="8">
                  <c:v>-4.7998704286915981</c:v>
                </c:pt>
                <c:pt idx="9">
                  <c:v>-3.8806177068015373</c:v>
                </c:pt>
                <c:pt idx="10">
                  <c:v>-2.5526361396948163</c:v>
                </c:pt>
                <c:pt idx="11">
                  <c:v>-1.0991890204602819</c:v>
                </c:pt>
                <c:pt idx="12">
                  <c:v>0.21516893354746669</c:v>
                </c:pt>
                <c:pt idx="13">
                  <c:v>1.1986772646286772</c:v>
                </c:pt>
                <c:pt idx="14">
                  <c:v>1.7743138288791329</c:v>
                </c:pt>
                <c:pt idx="15">
                  <c:v>1.9807189158067775</c:v>
                </c:pt>
                <c:pt idx="16">
                  <c:v>1.9449161346529362</c:v>
                </c:pt>
                <c:pt idx="17">
                  <c:v>1.832289369297182</c:v>
                </c:pt>
                <c:pt idx="18">
                  <c:v>1.777594806852878</c:v>
                </c:pt>
                <c:pt idx="19">
                  <c:v>1.832289369297182</c:v>
                </c:pt>
                <c:pt idx="20">
                  <c:v>1.9449161346529362</c:v>
                </c:pt>
                <c:pt idx="21">
                  <c:v>1.9807189158067775</c:v>
                </c:pt>
                <c:pt idx="22">
                  <c:v>1.7743138288791329</c:v>
                </c:pt>
                <c:pt idx="23">
                  <c:v>1.1986772646286772</c:v>
                </c:pt>
                <c:pt idx="24">
                  <c:v>0.21516893354746669</c:v>
                </c:pt>
                <c:pt idx="25">
                  <c:v>-1.0991890204602819</c:v>
                </c:pt>
                <c:pt idx="26">
                  <c:v>-2.5526361396948163</c:v>
                </c:pt>
                <c:pt idx="27">
                  <c:v>-3.8806177068015373</c:v>
                </c:pt>
                <c:pt idx="28">
                  <c:v>-4.7998704286915981</c:v>
                </c:pt>
                <c:pt idx="29">
                  <c:v>-5.0180530933683904</c:v>
                </c:pt>
                <c:pt idx="30">
                  <c:v>-4.3458710545962411</c:v>
                </c:pt>
                <c:pt idx="31">
                  <c:v>-2.7848566470678442</c:v>
                </c:pt>
                <c:pt idx="32">
                  <c:v>-0.55234333968899352</c:v>
                </c:pt>
                <c:pt idx="33">
                  <c:v>1.9504930808346645</c:v>
                </c:pt>
                <c:pt idx="34">
                  <c:v>4.2297415126029865</c:v>
                </c:pt>
                <c:pt idx="35">
                  <c:v>5.8198694488047469</c:v>
                </c:pt>
                <c:pt idx="36">
                  <c:v>6.3898116478658107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13424"/>
        <c:axId val="196211072"/>
      </c:scatterChart>
      <c:valAx>
        <c:axId val="196213424"/>
        <c:scaling>
          <c:orientation val="minMax"/>
          <c:max val="3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GB"/>
                  <a:t>Clockwise Angle from Crown</a:t>
                </a:r>
              </a:p>
            </c:rich>
          </c:tx>
          <c:layout>
            <c:manualLayout>
              <c:xMode val="edge"/>
              <c:yMode val="edge"/>
              <c:x val="0.33547517322541093"/>
              <c:y val="0.93692489252792721"/>
            </c:manualLayout>
          </c:layout>
          <c:overlay val="0"/>
        </c:title>
        <c:numFmt formatCode="General" sourceLinked="1"/>
        <c:majorTickMark val="none"/>
        <c:minorTickMark val="out"/>
        <c:tickLblPos val="low"/>
        <c:txPr>
          <a:bodyPr/>
          <a:lstStyle/>
          <a:p>
            <a:pPr>
              <a:defRPr lang="en-GB"/>
            </a:pPr>
            <a:endParaRPr lang="en-US"/>
          </a:p>
        </c:txPr>
        <c:crossAx val="196211072"/>
        <c:crosses val="autoZero"/>
        <c:crossBetween val="midCat"/>
        <c:majorUnit val="45"/>
        <c:minorUnit val="5"/>
      </c:valAx>
      <c:valAx>
        <c:axId val="1962110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GB"/>
                  <a:t>M</a:t>
                </a:r>
                <a:r>
                  <a:rPr lang="en-GB" baseline="0"/>
                  <a:t> (kNm/m)</a:t>
                </a:r>
                <a:endParaRPr lang="en-GB"/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9621342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283397122442564"/>
          <c:y val="4.7924662308286028E-2"/>
          <c:w val="0.71642506315663934"/>
          <c:h val="0.77542108627822925"/>
        </c:manualLayout>
      </c:layout>
      <c:scatterChart>
        <c:scatterStyle val="lineMarker"/>
        <c:varyColors val="0"/>
        <c:ser>
          <c:idx val="0"/>
          <c:order val="0"/>
          <c:xVal>
            <c:numRef>
              <c:f>JSCE!$I$10:$I$46</c:f>
              <c:numCache>
                <c:formatCode>General</c:formatCode>
                <c:ptCount val="3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</c:numCache>
            </c:numRef>
          </c:xVal>
          <c:yVal>
            <c:numRef>
              <c:f>JSCE!$L$10:$L$46</c:f>
              <c:numCache>
                <c:formatCode>0.00</c:formatCode>
                <c:ptCount val="37"/>
                <c:pt idx="0">
                  <c:v>0</c:v>
                </c:pt>
                <c:pt idx="1">
                  <c:v>-3.9229194561642022</c:v>
                </c:pt>
                <c:pt idx="2">
                  <c:v>-7.0237201118242627</c:v>
                </c:pt>
                <c:pt idx="3">
                  <c:v>-8.6724246416373312</c:v>
                </c:pt>
                <c:pt idx="4">
                  <c:v>-8.5740660972695864</c:v>
                </c:pt>
                <c:pt idx="5">
                  <c:v>-6.8347663311798525</c:v>
                </c:pt>
                <c:pt idx="6">
                  <c:v>-3.9772442693906327</c:v>
                </c:pt>
                <c:pt idx="7">
                  <c:v>-0.73443878534326812</c:v>
                </c:pt>
                <c:pt idx="8">
                  <c:v>2.1484552523653826</c:v>
                </c:pt>
                <c:pt idx="9">
                  <c:v>4.1099131249999994</c:v>
                </c:pt>
                <c:pt idx="10">
                  <c:v>6.191541712200741</c:v>
                </c:pt>
                <c:pt idx="11">
                  <c:v>6.8640782376701139</c:v>
                </c:pt>
                <c:pt idx="12">
                  <c:v>6.260210021657576</c:v>
                </c:pt>
                <c:pt idx="13">
                  <c:v>4.8068371516689066</c:v>
                </c:pt>
                <c:pt idx="14">
                  <c:v>3.0675373855791253</c:v>
                </c:pt>
                <c:pt idx="15">
                  <c:v>1.5650296494108726</c:v>
                </c:pt>
                <c:pt idx="16">
                  <c:v>0.57479691118910425</c:v>
                </c:pt>
                <c:pt idx="17">
                  <c:v>0.12016700367114463</c:v>
                </c:pt>
                <c:pt idx="18">
                  <c:v>5.2629603739911043E-16</c:v>
                </c:pt>
                <c:pt idx="19">
                  <c:v>-0.12016700367114463</c:v>
                </c:pt>
                <c:pt idx="20">
                  <c:v>-0.57479691118910425</c:v>
                </c:pt>
                <c:pt idx="21">
                  <c:v>-1.5650296494108726</c:v>
                </c:pt>
                <c:pt idx="22">
                  <c:v>-3.0675373855791253</c:v>
                </c:pt>
                <c:pt idx="23">
                  <c:v>-4.8068371516689066</c:v>
                </c:pt>
                <c:pt idx="24">
                  <c:v>-6.260210021657576</c:v>
                </c:pt>
                <c:pt idx="25">
                  <c:v>-6.8640782376701139</c:v>
                </c:pt>
                <c:pt idx="26">
                  <c:v>-6.191541712200741</c:v>
                </c:pt>
                <c:pt idx="27">
                  <c:v>-4.1099131249999994</c:v>
                </c:pt>
                <c:pt idx="28">
                  <c:v>-2.1484552523653826</c:v>
                </c:pt>
                <c:pt idx="29">
                  <c:v>0.73443878534326812</c:v>
                </c:pt>
                <c:pt idx="30">
                  <c:v>3.9772442693906327</c:v>
                </c:pt>
                <c:pt idx="31">
                  <c:v>6.8347663311798525</c:v>
                </c:pt>
                <c:pt idx="32">
                  <c:v>8.5740660972695864</c:v>
                </c:pt>
                <c:pt idx="33">
                  <c:v>8.6724246416373312</c:v>
                </c:pt>
                <c:pt idx="34">
                  <c:v>7.0237201118242627</c:v>
                </c:pt>
                <c:pt idx="35">
                  <c:v>3.9229194561642022</c:v>
                </c:pt>
                <c:pt idx="36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14992"/>
        <c:axId val="196217344"/>
      </c:scatterChart>
      <c:valAx>
        <c:axId val="196214992"/>
        <c:scaling>
          <c:orientation val="minMax"/>
          <c:max val="3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GB"/>
                  <a:t>Clockwise Angle from Crown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in"/>
        <c:tickLblPos val="low"/>
        <c:txPr>
          <a:bodyPr/>
          <a:lstStyle/>
          <a:p>
            <a:pPr>
              <a:defRPr lang="en-GB"/>
            </a:pPr>
            <a:endParaRPr lang="en-US"/>
          </a:p>
        </c:txPr>
        <c:crossAx val="196217344"/>
        <c:crosses val="autoZero"/>
        <c:crossBetween val="midCat"/>
        <c:majorUnit val="45"/>
        <c:minorUnit val="5"/>
      </c:valAx>
      <c:valAx>
        <c:axId val="1962173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GB" baseline="0"/>
                  <a:t>V (kN/m)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4.8944756317864789E-2"/>
              <c:y val="0.31129333072098525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9621499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689873224496023"/>
          <c:y val="6.4253570843391297E-2"/>
          <c:w val="0.72278053217508198"/>
          <c:h val="0.75914577404607575"/>
        </c:manualLayout>
      </c:layout>
      <c:scatterChart>
        <c:scatterStyle val="lineMarker"/>
        <c:varyColors val="0"/>
        <c:ser>
          <c:idx val="0"/>
          <c:order val="0"/>
          <c:xVal>
            <c:numRef>
              <c:f>JSCE!$I$10:$I$46</c:f>
              <c:numCache>
                <c:formatCode>General</c:formatCode>
                <c:ptCount val="3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</c:numCache>
            </c:numRef>
          </c:xVal>
          <c:yVal>
            <c:numRef>
              <c:f>JSCE!$K$10:$K$46</c:f>
              <c:numCache>
                <c:formatCode>0.00</c:formatCode>
                <c:ptCount val="37"/>
                <c:pt idx="0">
                  <c:v>343.6751727898486</c:v>
                </c:pt>
                <c:pt idx="1">
                  <c:v>344.75484207274712</c:v>
                </c:pt>
                <c:pt idx="2">
                  <c:v>347.78770227341431</c:v>
                </c:pt>
                <c:pt idx="3">
                  <c:v>352.20546588354273</c:v>
                </c:pt>
                <c:pt idx="4">
                  <c:v>357.21509044455883</c:v>
                </c:pt>
                <c:pt idx="5">
                  <c:v>361.98028250409936</c:v>
                </c:pt>
                <c:pt idx="6">
                  <c:v>365.79112119823407</c:v>
                </c:pt>
                <c:pt idx="7">
                  <c:v>368.30329665624367</c:v>
                </c:pt>
                <c:pt idx="8">
                  <c:v>369.57468139976095</c:v>
                </c:pt>
                <c:pt idx="9">
                  <c:v>370.00881898150635</c:v>
                </c:pt>
                <c:pt idx="10">
                  <c:v>369.93349041400137</c:v>
                </c:pt>
                <c:pt idx="11">
                  <c:v>369.63081272732092</c:v>
                </c:pt>
                <c:pt idx="12">
                  <c:v>369.55889829879408</c:v>
                </c:pt>
                <c:pt idx="13">
                  <c:v>370.0023205890447</c:v>
                </c:pt>
                <c:pt idx="14">
                  <c:v>371.01193954712528</c:v>
                </c:pt>
                <c:pt idx="15">
                  <c:v>372.43560156420835</c:v>
                </c:pt>
                <c:pt idx="16">
                  <c:v>373.90874567682295</c:v>
                </c:pt>
                <c:pt idx="17">
                  <c:v>375.0115710402377</c:v>
                </c:pt>
                <c:pt idx="18">
                  <c:v>375.41965153984864</c:v>
                </c:pt>
                <c:pt idx="19">
                  <c:v>375.0115710402377</c:v>
                </c:pt>
                <c:pt idx="20">
                  <c:v>373.90874567682295</c:v>
                </c:pt>
                <c:pt idx="21">
                  <c:v>372.43560156420835</c:v>
                </c:pt>
                <c:pt idx="22">
                  <c:v>371.01193954712528</c:v>
                </c:pt>
                <c:pt idx="23">
                  <c:v>370.0023205890447</c:v>
                </c:pt>
                <c:pt idx="24">
                  <c:v>369.55889829879408</c:v>
                </c:pt>
                <c:pt idx="25">
                  <c:v>369.63081272732092</c:v>
                </c:pt>
                <c:pt idx="26">
                  <c:v>369.93349041400137</c:v>
                </c:pt>
                <c:pt idx="27">
                  <c:v>370.00881898150635</c:v>
                </c:pt>
                <c:pt idx="28">
                  <c:v>369.57468139976095</c:v>
                </c:pt>
                <c:pt idx="29">
                  <c:v>368.30329665624367</c:v>
                </c:pt>
                <c:pt idx="30">
                  <c:v>365.79112119823407</c:v>
                </c:pt>
                <c:pt idx="31">
                  <c:v>361.98028250409936</c:v>
                </c:pt>
                <c:pt idx="32">
                  <c:v>357.21509044455883</c:v>
                </c:pt>
                <c:pt idx="33">
                  <c:v>352.20546588354273</c:v>
                </c:pt>
                <c:pt idx="34">
                  <c:v>347.78770227341431</c:v>
                </c:pt>
                <c:pt idx="35">
                  <c:v>344.75484207274712</c:v>
                </c:pt>
                <c:pt idx="36">
                  <c:v>343.6751727898486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020176"/>
        <c:axId val="197020568"/>
      </c:scatterChart>
      <c:valAx>
        <c:axId val="197020176"/>
        <c:scaling>
          <c:orientation val="minMax"/>
          <c:max val="3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GB"/>
                  <a:t>Clockwise Angle from Crown</a:t>
                </a:r>
              </a:p>
            </c:rich>
          </c:tx>
          <c:layout>
            <c:manualLayout>
              <c:xMode val="edge"/>
              <c:yMode val="edge"/>
              <c:x val="0.34650119918600431"/>
              <c:y val="0.93389225158598488"/>
            </c:manualLayout>
          </c:layout>
          <c:overlay val="0"/>
        </c:title>
        <c:numFmt formatCode="General" sourceLinked="1"/>
        <c:majorTickMark val="none"/>
        <c:minorTickMark val="in"/>
        <c:tickLblPos val="low"/>
        <c:txPr>
          <a:bodyPr/>
          <a:lstStyle/>
          <a:p>
            <a:pPr>
              <a:defRPr lang="en-GB"/>
            </a:pPr>
            <a:endParaRPr lang="en-US"/>
          </a:p>
        </c:txPr>
        <c:crossAx val="197020568"/>
        <c:crosses val="autoZero"/>
        <c:crossBetween val="midCat"/>
        <c:majorUnit val="45"/>
        <c:minorUnit val="5"/>
      </c:valAx>
      <c:valAx>
        <c:axId val="19702056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GB"/>
                </a:pPr>
                <a:r>
                  <a:rPr lang="en-GB"/>
                  <a:t>N</a:t>
                </a:r>
                <a:r>
                  <a:rPr lang="en-GB" baseline="0"/>
                  <a:t> (kN/m)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3.3849122563868746E-2"/>
              <c:y val="0.33961781557663134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9702017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25563</xdr:colOff>
      <xdr:row>10</xdr:row>
      <xdr:rowOff>218891</xdr:rowOff>
    </xdr:from>
    <xdr:to>
      <xdr:col>22</xdr:col>
      <xdr:colOff>515883</xdr:colOff>
      <xdr:row>21</xdr:row>
      <xdr:rowOff>47797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43658</xdr:colOff>
      <xdr:row>10</xdr:row>
      <xdr:rowOff>247386</xdr:rowOff>
    </xdr:from>
    <xdr:to>
      <xdr:col>15</xdr:col>
      <xdr:colOff>533977</xdr:colOff>
      <xdr:row>21</xdr:row>
      <xdr:rowOff>59796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64122</xdr:colOff>
      <xdr:row>21</xdr:row>
      <xdr:rowOff>233556</xdr:rowOff>
    </xdr:from>
    <xdr:to>
      <xdr:col>15</xdr:col>
      <xdr:colOff>550194</xdr:colOff>
      <xdr:row>32</xdr:row>
      <xdr:rowOff>48931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129117</xdr:colOff>
      <xdr:row>8</xdr:row>
      <xdr:rowOff>1058</xdr:rowOff>
    </xdr:from>
    <xdr:to>
      <xdr:col>19</xdr:col>
      <xdr:colOff>5602</xdr:colOff>
      <xdr:row>18</xdr:row>
      <xdr:rowOff>99218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111125</xdr:colOff>
      <xdr:row>18</xdr:row>
      <xdr:rowOff>162984</xdr:rowOff>
    </xdr:from>
    <xdr:to>
      <xdr:col>18</xdr:col>
      <xdr:colOff>592963</xdr:colOff>
      <xdr:row>28</xdr:row>
      <xdr:rowOff>264109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182033</xdr:colOff>
      <xdr:row>8</xdr:row>
      <xdr:rowOff>3174</xdr:rowOff>
    </xdr:from>
    <xdr:to>
      <xdr:col>25</xdr:col>
      <xdr:colOff>668120</xdr:colOff>
      <xdr:row>18</xdr:row>
      <xdr:rowOff>117830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50"/>
  <sheetViews>
    <sheetView zoomScale="90" zoomScaleNormal="90" workbookViewId="0">
      <selection activeCell="Q5" sqref="Q5"/>
    </sheetView>
  </sheetViews>
  <sheetFormatPr defaultRowHeight="23.25" x14ac:dyDescent="0.5"/>
  <cols>
    <col min="2" max="2" width="9.42578125" customWidth="1"/>
    <col min="3" max="3" width="10.140625" customWidth="1"/>
    <col min="6" max="6" width="8.7109375" customWidth="1"/>
  </cols>
  <sheetData>
    <row r="1" spans="1:23" ht="24" thickTop="1" x14ac:dyDescent="0.5">
      <c r="A1" s="72" t="s">
        <v>27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73" t="s">
        <v>79</v>
      </c>
    </row>
    <row r="2" spans="1:23" x14ac:dyDescent="0.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7"/>
    </row>
    <row r="3" spans="1:23" x14ac:dyDescent="0.5">
      <c r="A3" s="53" t="s">
        <v>28</v>
      </c>
      <c r="B3" s="38" t="s">
        <v>29</v>
      </c>
      <c r="C3" s="74">
        <v>60000</v>
      </c>
      <c r="D3" s="36" t="s">
        <v>4</v>
      </c>
      <c r="E3" s="54" t="s">
        <v>32</v>
      </c>
      <c r="F3" s="38" t="s">
        <v>33</v>
      </c>
      <c r="G3" s="74">
        <v>1.635</v>
      </c>
      <c r="H3" s="36" t="s">
        <v>1</v>
      </c>
      <c r="I3" s="54" t="s">
        <v>45</v>
      </c>
      <c r="J3" s="38" t="s">
        <v>38</v>
      </c>
      <c r="K3" s="76">
        <v>221.2</v>
      </c>
      <c r="L3" s="36" t="s">
        <v>4</v>
      </c>
      <c r="M3" s="36"/>
      <c r="N3" s="36"/>
      <c r="O3" s="36"/>
      <c r="P3" s="36"/>
      <c r="Q3" s="36"/>
      <c r="R3" s="36"/>
      <c r="S3" s="36"/>
      <c r="T3" s="36"/>
      <c r="U3" s="36"/>
      <c r="V3" s="36"/>
      <c r="W3" s="37"/>
    </row>
    <row r="4" spans="1:23" x14ac:dyDescent="0.5">
      <c r="A4" s="35"/>
      <c r="B4" s="38" t="s">
        <v>30</v>
      </c>
      <c r="C4" s="74">
        <v>0.3</v>
      </c>
      <c r="D4" s="36" t="s">
        <v>31</v>
      </c>
      <c r="E4" s="36"/>
      <c r="F4" s="38" t="s">
        <v>29</v>
      </c>
      <c r="G4" s="75">
        <v>35000000</v>
      </c>
      <c r="H4" s="36" t="s">
        <v>4</v>
      </c>
      <c r="I4" s="36"/>
      <c r="J4" s="38" t="s">
        <v>39</v>
      </c>
      <c r="K4" s="77">
        <v>0.88</v>
      </c>
      <c r="L4" s="36" t="s">
        <v>31</v>
      </c>
      <c r="M4" s="36"/>
      <c r="N4" s="36"/>
      <c r="O4" s="36"/>
      <c r="P4" s="36"/>
      <c r="Q4" s="36"/>
      <c r="R4" s="36"/>
      <c r="S4" s="36"/>
      <c r="T4" s="36"/>
      <c r="U4" s="36"/>
      <c r="V4" s="36"/>
      <c r="W4" s="37"/>
    </row>
    <row r="5" spans="1:23" ht="25.5" x14ac:dyDescent="0.5">
      <c r="A5" s="35"/>
      <c r="B5" s="36"/>
      <c r="C5" s="36"/>
      <c r="D5" s="36"/>
      <c r="E5" s="36"/>
      <c r="F5" s="38" t="s">
        <v>34</v>
      </c>
      <c r="G5" s="74">
        <f>(1/12)*0.13^3</f>
        <v>1.8308333333333333E-4</v>
      </c>
      <c r="H5" s="36" t="s">
        <v>46</v>
      </c>
      <c r="I5" s="36"/>
      <c r="J5" s="38" t="s">
        <v>40</v>
      </c>
      <c r="K5" s="39">
        <f>$K$3*$K$4</f>
        <v>194.65599999999998</v>
      </c>
      <c r="L5" s="36" t="s">
        <v>4</v>
      </c>
      <c r="M5" s="36"/>
      <c r="N5" s="36"/>
      <c r="O5" s="36"/>
      <c r="P5" s="36"/>
      <c r="Q5" s="36"/>
      <c r="R5" s="36"/>
      <c r="S5" s="36"/>
      <c r="T5" s="36"/>
      <c r="U5" s="36"/>
      <c r="V5" s="36"/>
      <c r="W5" s="37"/>
    </row>
    <row r="6" spans="1:23" ht="25.5" x14ac:dyDescent="0.5">
      <c r="A6" s="35"/>
      <c r="B6" s="36"/>
      <c r="C6" s="36"/>
      <c r="D6" s="36"/>
      <c r="E6" s="36"/>
      <c r="F6" s="38" t="s">
        <v>35</v>
      </c>
      <c r="G6" s="74">
        <v>0.13</v>
      </c>
      <c r="H6" s="36" t="s">
        <v>47</v>
      </c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7"/>
    </row>
    <row r="7" spans="1:23" x14ac:dyDescent="0.5">
      <c r="A7" s="35"/>
      <c r="B7" s="36"/>
      <c r="C7" s="36"/>
      <c r="D7" s="36"/>
      <c r="E7" s="38"/>
      <c r="F7" s="36"/>
      <c r="G7" s="36"/>
      <c r="H7" s="36"/>
      <c r="I7" s="51" t="s">
        <v>72</v>
      </c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7"/>
    </row>
    <row r="8" spans="1:23" ht="24.75" x14ac:dyDescent="0.55000000000000004">
      <c r="A8" s="35"/>
      <c r="B8" s="38" t="s">
        <v>36</v>
      </c>
      <c r="C8" s="40">
        <f>($C$3*$G$3^3)/($G$4*$G$5)</f>
        <v>40.924903699850447</v>
      </c>
      <c r="D8" s="36"/>
      <c r="E8" s="38" t="s">
        <v>44</v>
      </c>
      <c r="F8" s="40">
        <f>-($G$3*($K$3+$K$5))/(2+(1-($K$5/$K$3))*((2*(1-$C$4))/((1-2*$C$4)*(1+$C$4)))*$C$9)</f>
        <v>-338.78235518189314</v>
      </c>
      <c r="G8" s="36" t="s">
        <v>41</v>
      </c>
      <c r="H8" s="36"/>
      <c r="I8" s="52" t="s">
        <v>73</v>
      </c>
      <c r="J8" s="50" t="s">
        <v>74</v>
      </c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7"/>
    </row>
    <row r="9" spans="1:23" x14ac:dyDescent="0.5">
      <c r="A9" s="35"/>
      <c r="B9" s="38" t="s">
        <v>37</v>
      </c>
      <c r="C9" s="41">
        <f>($C$3*$G$3)/($G$4*$G$6)</f>
        <v>2.156043956043956E-2</v>
      </c>
      <c r="D9" s="36"/>
      <c r="E9" s="36"/>
      <c r="F9" s="36"/>
      <c r="G9" s="36"/>
      <c r="H9" s="36"/>
      <c r="I9" s="52" t="s">
        <v>75</v>
      </c>
      <c r="J9" s="50" t="s">
        <v>76</v>
      </c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7"/>
    </row>
    <row r="10" spans="1:23" x14ac:dyDescent="0.5">
      <c r="A10" s="35"/>
      <c r="B10" s="36"/>
      <c r="C10" s="36"/>
      <c r="D10" s="36"/>
      <c r="E10" s="36"/>
      <c r="F10" s="79" t="s">
        <v>69</v>
      </c>
      <c r="G10" s="79"/>
      <c r="H10" s="79"/>
      <c r="I10" s="52" t="s">
        <v>77</v>
      </c>
      <c r="J10" s="50" t="s">
        <v>78</v>
      </c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7"/>
    </row>
    <row r="11" spans="1:23" ht="24" x14ac:dyDescent="0.5">
      <c r="A11" s="42" t="s">
        <v>9</v>
      </c>
      <c r="B11" s="55" t="s">
        <v>42</v>
      </c>
      <c r="C11" s="55" t="s">
        <v>43</v>
      </c>
      <c r="D11" s="55" t="s">
        <v>68</v>
      </c>
      <c r="E11" s="36"/>
      <c r="F11" s="55" t="s">
        <v>42</v>
      </c>
      <c r="G11" s="55" t="s">
        <v>43</v>
      </c>
      <c r="H11" s="55" t="s">
        <v>68</v>
      </c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7"/>
    </row>
    <row r="12" spans="1:23" x14ac:dyDescent="0.5">
      <c r="A12" s="43">
        <v>0</v>
      </c>
      <c r="B12" s="6">
        <f>$F$8+(($G$3*($K$3-$K$5))/(2+((4*$C$4*$C$8)/((3-4*$C$4)*(12*(1+$C$4)+$C$8)))))*COS(RADIANS(2*A12))</f>
        <v>-321.30145027169749</v>
      </c>
      <c r="C12" s="8">
        <f>((($K$3-$K$5)*$G$3^2)/(4+((3-2*$C$4)/(3*(1+$C$4)*(3-4*$C$4)))*$C$8))*COS(RADIANS(2*A12))</f>
        <v>3.9439957563397874</v>
      </c>
      <c r="D12" s="31">
        <f>-C12*2*TAN(RADIANS(2*A12))/$G$3</f>
        <v>0</v>
      </c>
      <c r="E12" s="36"/>
      <c r="F12" s="33">
        <f>-0.5*($K$3+$K$5)*$G$3+0.5*($K$3-$K$5)*$G$3*COS(RADIANS(2*A12))</f>
        <v>-318.26256000000001</v>
      </c>
      <c r="G12" s="33">
        <f>0.25*($K$3-$K$5)*$G$3^2*COS(RADIANS(2*A12))</f>
        <v>17.739521100000008</v>
      </c>
      <c r="H12" s="33">
        <f>-0.5*($K$3-$K$5)*$G$3*SIN(RADIANS(2*A12))</f>
        <v>0</v>
      </c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7"/>
    </row>
    <row r="13" spans="1:23" x14ac:dyDescent="0.5">
      <c r="A13" s="44">
        <v>10</v>
      </c>
      <c r="B13" s="10">
        <f t="shared" ref="B13:B48" si="0">$F$8+(($G$3*($K$3-$K$5))/(2+((4*$C$4*$C$8)/((3-4*$C$4)*(12*(1+$C$4)+$C$8)))))*COS(RADIANS(2*A13))</f>
        <v>-322.35567783312212</v>
      </c>
      <c r="C13" s="11">
        <f t="shared" ref="C13:C48" si="1">((($K$3-$K$5)*$G$3^2)/(4+((3-2*$C$4)/(3*(1+$C$4)*(3-4*$C$4)))*$C$8))*COS(RADIANS(2*A13))</f>
        <v>3.7061437086434359</v>
      </c>
      <c r="D13" s="32">
        <f t="shared" ref="D13:D48" si="2">-C13*2*TAN(RADIANS(2*A13))/$G$3</f>
        <v>-1.6500623778093741</v>
      </c>
      <c r="E13" s="36"/>
      <c r="F13" s="11">
        <f t="shared" ref="F13:F48" si="3">-0.5*($K$3+$K$5)*$G$3+0.5*($K$3-$K$5)*$G$3*COS(RADIANS(2*A13))</f>
        <v>-319.57121324287959</v>
      </c>
      <c r="G13" s="11">
        <f t="shared" ref="G13:G48" si="4">0.25*($K$3-$K$5)*$G$3^2*COS(RADIANS(2*A13))</f>
        <v>16.66969707394593</v>
      </c>
      <c r="H13" s="11">
        <f t="shared" ref="H13:H48" si="5">-0.5*($K$3-$K$5)*$G$3*SIN(RADIANS(2*A13))</f>
        <v>-7.4217413445268834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7"/>
    </row>
    <row r="14" spans="1:23" x14ac:dyDescent="0.5">
      <c r="A14" s="44">
        <v>20</v>
      </c>
      <c r="B14" s="10">
        <f t="shared" si="0"/>
        <v>-325.39120511474647</v>
      </c>
      <c r="C14" s="11">
        <f t="shared" si="1"/>
        <v>3.0212760328289248</v>
      </c>
      <c r="D14" s="32">
        <f t="shared" si="2"/>
        <v>-3.1011028805278364</v>
      </c>
      <c r="E14" s="36"/>
      <c r="F14" s="11">
        <f t="shared" si="3"/>
        <v>-323.33933007676228</v>
      </c>
      <c r="G14" s="11">
        <f t="shared" si="4"/>
        <v>13.589261562246866</v>
      </c>
      <c r="H14" s="11">
        <f t="shared" si="5"/>
        <v>-13.948311149667196</v>
      </c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7"/>
    </row>
    <row r="15" spans="1:23" x14ac:dyDescent="0.5">
      <c r="A15" s="44">
        <v>30</v>
      </c>
      <c r="B15" s="10">
        <f t="shared" si="0"/>
        <v>-330.04190272679529</v>
      </c>
      <c r="C15" s="11">
        <f t="shared" si="1"/>
        <v>1.9719978781698941</v>
      </c>
      <c r="D15" s="32">
        <f t="shared" si="2"/>
        <v>-4.1781046084504911</v>
      </c>
      <c r="E15" s="36"/>
      <c r="F15" s="11">
        <f t="shared" si="3"/>
        <v>-329.11242000000004</v>
      </c>
      <c r="G15" s="11">
        <f t="shared" si="4"/>
        <v>8.8697605500000058</v>
      </c>
      <c r="H15" s="11">
        <f t="shared" si="5"/>
        <v>-18.792508775009267</v>
      </c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7"/>
    </row>
    <row r="16" spans="1:23" x14ac:dyDescent="0.5">
      <c r="A16" s="44">
        <v>40</v>
      </c>
      <c r="B16" s="10">
        <f t="shared" si="0"/>
        <v>-335.74682790026878</v>
      </c>
      <c r="C16" s="11">
        <f t="shared" si="1"/>
        <v>0.68486767581451102</v>
      </c>
      <c r="D16" s="32">
        <f t="shared" si="2"/>
        <v>-4.7511652583372106</v>
      </c>
      <c r="E16" s="36"/>
      <c r="F16" s="11">
        <f t="shared" si="3"/>
        <v>-336.19416316611739</v>
      </c>
      <c r="G16" s="11">
        <f t="shared" si="4"/>
        <v>3.0804355116990623</v>
      </c>
      <c r="H16" s="11">
        <f t="shared" si="5"/>
        <v>-21.370052494194081</v>
      </c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7"/>
    </row>
    <row r="17" spans="1:23" x14ac:dyDescent="0.5">
      <c r="A17" s="44">
        <v>50</v>
      </c>
      <c r="B17" s="10">
        <f t="shared" si="0"/>
        <v>-341.81788246351749</v>
      </c>
      <c r="C17" s="11">
        <f t="shared" si="1"/>
        <v>-0.68486767581451058</v>
      </c>
      <c r="D17" s="32">
        <f t="shared" si="2"/>
        <v>-4.7511652583372115</v>
      </c>
      <c r="E17" s="36"/>
      <c r="F17" s="11">
        <f t="shared" si="3"/>
        <v>-343.73039683388265</v>
      </c>
      <c r="G17" s="11">
        <f t="shared" si="4"/>
        <v>-3.0804355116990605</v>
      </c>
      <c r="H17" s="11">
        <f t="shared" si="5"/>
        <v>-21.370052494194081</v>
      </c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7"/>
    </row>
    <row r="18" spans="1:23" x14ac:dyDescent="0.5">
      <c r="A18" s="44">
        <v>60</v>
      </c>
      <c r="B18" s="10">
        <f t="shared" si="0"/>
        <v>-347.52280763699099</v>
      </c>
      <c r="C18" s="11">
        <f t="shared" si="1"/>
        <v>-1.9719978781698928</v>
      </c>
      <c r="D18" s="32">
        <f t="shared" si="2"/>
        <v>-4.178104608450492</v>
      </c>
      <c r="E18" s="36"/>
      <c r="F18" s="11">
        <f t="shared" si="3"/>
        <v>-350.81214</v>
      </c>
      <c r="G18" s="11">
        <f t="shared" si="4"/>
        <v>-8.8697605500000005</v>
      </c>
      <c r="H18" s="11">
        <f t="shared" si="5"/>
        <v>-18.792508775009267</v>
      </c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7"/>
    </row>
    <row r="19" spans="1:23" x14ac:dyDescent="0.5">
      <c r="A19" s="44">
        <v>70</v>
      </c>
      <c r="B19" s="10">
        <f t="shared" si="0"/>
        <v>-352.17350524903981</v>
      </c>
      <c r="C19" s="11">
        <f t="shared" si="1"/>
        <v>-3.0212760328289243</v>
      </c>
      <c r="D19" s="32">
        <f t="shared" si="2"/>
        <v>-3.1011028805278373</v>
      </c>
      <c r="E19" s="36"/>
      <c r="F19" s="11">
        <f t="shared" si="3"/>
        <v>-356.58522992323776</v>
      </c>
      <c r="G19" s="11">
        <f t="shared" si="4"/>
        <v>-13.589261562246865</v>
      </c>
      <c r="H19" s="11">
        <f t="shared" si="5"/>
        <v>-13.9483111496672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7"/>
    </row>
    <row r="20" spans="1:23" x14ac:dyDescent="0.5">
      <c r="A20" s="44">
        <v>80</v>
      </c>
      <c r="B20" s="10">
        <f t="shared" si="0"/>
        <v>-355.20903253066416</v>
      </c>
      <c r="C20" s="11">
        <f t="shared" si="1"/>
        <v>-3.7061437086434355</v>
      </c>
      <c r="D20" s="32">
        <f t="shared" si="2"/>
        <v>-1.6500623778093748</v>
      </c>
      <c r="E20" s="36"/>
      <c r="F20" s="11">
        <f t="shared" si="3"/>
        <v>-360.35334675712045</v>
      </c>
      <c r="G20" s="11">
        <f t="shared" si="4"/>
        <v>-16.669697073945926</v>
      </c>
      <c r="H20" s="11">
        <f t="shared" si="5"/>
        <v>-7.4217413445268869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7"/>
    </row>
    <row r="21" spans="1:23" x14ac:dyDescent="0.5">
      <c r="A21" s="44">
        <v>90</v>
      </c>
      <c r="B21" s="10">
        <f t="shared" si="0"/>
        <v>-356.26326009208879</v>
      </c>
      <c r="C21" s="11">
        <f t="shared" si="1"/>
        <v>-3.9439957563397874</v>
      </c>
      <c r="D21" s="32">
        <f t="shared" si="2"/>
        <v>-5.9106792746738153E-16</v>
      </c>
      <c r="E21" s="36"/>
      <c r="F21" s="11">
        <f t="shared" si="3"/>
        <v>-361.66200000000003</v>
      </c>
      <c r="G21" s="11">
        <f t="shared" si="4"/>
        <v>-17.739521100000008</v>
      </c>
      <c r="H21" s="11">
        <f t="shared" si="5"/>
        <v>-2.6585378429949692E-15</v>
      </c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7"/>
    </row>
    <row r="22" spans="1:23" x14ac:dyDescent="0.5">
      <c r="A22" s="44">
        <v>100</v>
      </c>
      <c r="B22" s="10">
        <f t="shared" si="0"/>
        <v>-355.20903253066416</v>
      </c>
      <c r="C22" s="11">
        <f t="shared" si="1"/>
        <v>-3.7061437086434359</v>
      </c>
      <c r="D22" s="32">
        <f t="shared" si="2"/>
        <v>1.6500623778093739</v>
      </c>
      <c r="E22" s="36"/>
      <c r="F22" s="11">
        <f t="shared" si="3"/>
        <v>-360.35334675712045</v>
      </c>
      <c r="G22" s="11">
        <f t="shared" si="4"/>
        <v>-16.66969707394593</v>
      </c>
      <c r="H22" s="11">
        <f t="shared" si="5"/>
        <v>7.4217413445268825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7"/>
    </row>
    <row r="23" spans="1:23" x14ac:dyDescent="0.5">
      <c r="A23" s="44">
        <v>110</v>
      </c>
      <c r="B23" s="10">
        <f t="shared" si="0"/>
        <v>-352.17350524903981</v>
      </c>
      <c r="C23" s="11">
        <f t="shared" si="1"/>
        <v>-3.0212760328289248</v>
      </c>
      <c r="D23" s="32">
        <f t="shared" si="2"/>
        <v>3.1011028805278364</v>
      </c>
      <c r="E23" s="36"/>
      <c r="F23" s="11">
        <f t="shared" si="3"/>
        <v>-356.58522992323776</v>
      </c>
      <c r="G23" s="11">
        <f t="shared" si="4"/>
        <v>-13.589261562246866</v>
      </c>
      <c r="H23" s="11">
        <f t="shared" si="5"/>
        <v>13.948311149667196</v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7"/>
    </row>
    <row r="24" spans="1:23" x14ac:dyDescent="0.5">
      <c r="A24" s="44">
        <v>120</v>
      </c>
      <c r="B24" s="10">
        <f t="shared" si="0"/>
        <v>-347.52280763699099</v>
      </c>
      <c r="C24" s="11">
        <f t="shared" si="1"/>
        <v>-1.9719978781698955</v>
      </c>
      <c r="D24" s="32">
        <f t="shared" si="2"/>
        <v>4.1781046084504911</v>
      </c>
      <c r="E24" s="36"/>
      <c r="F24" s="11">
        <f t="shared" si="3"/>
        <v>-350.81214000000006</v>
      </c>
      <c r="G24" s="11">
        <f t="shared" si="4"/>
        <v>-8.8697605500000112</v>
      </c>
      <c r="H24" s="11">
        <f t="shared" si="5"/>
        <v>18.79250877500926</v>
      </c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7"/>
    </row>
    <row r="25" spans="1:23" x14ac:dyDescent="0.5">
      <c r="A25" s="44">
        <v>130</v>
      </c>
      <c r="B25" s="10">
        <f t="shared" si="0"/>
        <v>-341.81788246351749</v>
      </c>
      <c r="C25" s="11">
        <f t="shared" si="1"/>
        <v>-0.68486767581451069</v>
      </c>
      <c r="D25" s="32">
        <f t="shared" si="2"/>
        <v>4.7511652583372115</v>
      </c>
      <c r="E25" s="36"/>
      <c r="F25" s="11">
        <f t="shared" si="3"/>
        <v>-343.73039683388265</v>
      </c>
      <c r="G25" s="11">
        <f t="shared" si="4"/>
        <v>-3.0804355116990609</v>
      </c>
      <c r="H25" s="11">
        <f t="shared" si="5"/>
        <v>21.370052494194081</v>
      </c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7"/>
    </row>
    <row r="26" spans="1:23" x14ac:dyDescent="0.5">
      <c r="A26" s="44">
        <v>140</v>
      </c>
      <c r="B26" s="10">
        <f t="shared" si="0"/>
        <v>-335.74682790026878</v>
      </c>
      <c r="C26" s="11">
        <f t="shared" si="1"/>
        <v>0.68486767581450925</v>
      </c>
      <c r="D26" s="32">
        <f t="shared" si="2"/>
        <v>4.7511652583372115</v>
      </c>
      <c r="E26" s="36"/>
      <c r="F26" s="11">
        <f t="shared" si="3"/>
        <v>-336.19416316611739</v>
      </c>
      <c r="G26" s="11">
        <f t="shared" si="4"/>
        <v>3.0804355116990543</v>
      </c>
      <c r="H26" s="11">
        <f t="shared" si="5"/>
        <v>21.370052494194084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7"/>
    </row>
    <row r="27" spans="1:23" x14ac:dyDescent="0.5">
      <c r="A27" s="44">
        <v>150</v>
      </c>
      <c r="B27" s="10">
        <f t="shared" si="0"/>
        <v>-330.04190272679529</v>
      </c>
      <c r="C27" s="11">
        <f t="shared" si="1"/>
        <v>1.9719978781698941</v>
      </c>
      <c r="D27" s="32">
        <f t="shared" si="2"/>
        <v>4.178104608450492</v>
      </c>
      <c r="E27" s="36"/>
      <c r="F27" s="11">
        <f t="shared" si="3"/>
        <v>-329.11242000000004</v>
      </c>
      <c r="G27" s="11">
        <f t="shared" si="4"/>
        <v>8.8697605500000058</v>
      </c>
      <c r="H27" s="11">
        <f t="shared" si="5"/>
        <v>18.792508775009267</v>
      </c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7"/>
    </row>
    <row r="28" spans="1:23" x14ac:dyDescent="0.5">
      <c r="A28" s="44">
        <v>160</v>
      </c>
      <c r="B28" s="10">
        <f t="shared" si="0"/>
        <v>-325.39120511474653</v>
      </c>
      <c r="C28" s="11">
        <f t="shared" si="1"/>
        <v>3.0212760328289239</v>
      </c>
      <c r="D28" s="32">
        <f t="shared" si="2"/>
        <v>3.1011028805278378</v>
      </c>
      <c r="E28" s="36"/>
      <c r="F28" s="11">
        <f t="shared" si="3"/>
        <v>-323.33933007676228</v>
      </c>
      <c r="G28" s="11">
        <f t="shared" si="4"/>
        <v>13.589261562246863</v>
      </c>
      <c r="H28" s="11">
        <f t="shared" si="5"/>
        <v>13.948311149667203</v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7"/>
    </row>
    <row r="29" spans="1:23" x14ac:dyDescent="0.5">
      <c r="A29" s="44">
        <v>170</v>
      </c>
      <c r="B29" s="10">
        <f t="shared" si="0"/>
        <v>-322.35567783312212</v>
      </c>
      <c r="C29" s="11">
        <f t="shared" si="1"/>
        <v>3.7061437086434359</v>
      </c>
      <c r="D29" s="32">
        <f t="shared" si="2"/>
        <v>1.6500623778093733</v>
      </c>
      <c r="E29" s="36"/>
      <c r="F29" s="11">
        <f t="shared" si="3"/>
        <v>-319.57121324287959</v>
      </c>
      <c r="G29" s="11">
        <f t="shared" si="4"/>
        <v>16.66969707394593</v>
      </c>
      <c r="H29" s="11">
        <f t="shared" si="5"/>
        <v>7.4217413445268807</v>
      </c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7"/>
    </row>
    <row r="30" spans="1:23" x14ac:dyDescent="0.5">
      <c r="A30" s="44">
        <v>180</v>
      </c>
      <c r="B30" s="10">
        <f t="shared" si="0"/>
        <v>-321.30145027169749</v>
      </c>
      <c r="C30" s="11">
        <f t="shared" si="1"/>
        <v>3.9439957563397874</v>
      </c>
      <c r="D30" s="32">
        <f t="shared" si="2"/>
        <v>1.1821358549347631E-15</v>
      </c>
      <c r="E30" s="36"/>
      <c r="F30" s="11">
        <f t="shared" si="3"/>
        <v>-318.26256000000001</v>
      </c>
      <c r="G30" s="11">
        <f t="shared" si="4"/>
        <v>17.739521100000008</v>
      </c>
      <c r="H30" s="11">
        <f t="shared" si="5"/>
        <v>5.3170756859899384E-15</v>
      </c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7"/>
    </row>
    <row r="31" spans="1:23" x14ac:dyDescent="0.5">
      <c r="A31" s="44">
        <v>190</v>
      </c>
      <c r="B31" s="10">
        <f t="shared" si="0"/>
        <v>-322.35567783312212</v>
      </c>
      <c r="C31" s="11">
        <f t="shared" si="1"/>
        <v>3.7061437086434355</v>
      </c>
      <c r="D31" s="32">
        <f t="shared" si="2"/>
        <v>-1.6500623778093753</v>
      </c>
      <c r="E31" s="36"/>
      <c r="F31" s="11">
        <f t="shared" si="3"/>
        <v>-319.57121324287959</v>
      </c>
      <c r="G31" s="11">
        <f t="shared" si="4"/>
        <v>16.669697073945926</v>
      </c>
      <c r="H31" s="11">
        <f t="shared" si="5"/>
        <v>-7.4217413445268878</v>
      </c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7"/>
    </row>
    <row r="32" spans="1:23" x14ac:dyDescent="0.5">
      <c r="A32" s="44">
        <v>200</v>
      </c>
      <c r="B32" s="10">
        <f t="shared" si="0"/>
        <v>-325.39120511474647</v>
      </c>
      <c r="C32" s="11">
        <f t="shared" si="1"/>
        <v>3.0212760328289252</v>
      </c>
      <c r="D32" s="32">
        <f t="shared" si="2"/>
        <v>-3.1011028805278364</v>
      </c>
      <c r="E32" s="36"/>
      <c r="F32" s="11">
        <f t="shared" si="3"/>
        <v>-323.33933007676228</v>
      </c>
      <c r="G32" s="11">
        <f t="shared" si="4"/>
        <v>13.589261562246868</v>
      </c>
      <c r="H32" s="11">
        <f t="shared" si="5"/>
        <v>-13.948311149667193</v>
      </c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7"/>
    </row>
    <row r="33" spans="1:23" x14ac:dyDescent="0.5">
      <c r="A33" s="44">
        <v>210</v>
      </c>
      <c r="B33" s="10">
        <f t="shared" si="0"/>
        <v>-330.04190272679529</v>
      </c>
      <c r="C33" s="11">
        <f t="shared" si="1"/>
        <v>1.9719978781698926</v>
      </c>
      <c r="D33" s="32">
        <f t="shared" si="2"/>
        <v>-4.178104608450492</v>
      </c>
      <c r="E33" s="36"/>
      <c r="F33" s="11">
        <f t="shared" si="3"/>
        <v>-329.11242000000004</v>
      </c>
      <c r="G33" s="11">
        <f t="shared" si="4"/>
        <v>8.8697605499999987</v>
      </c>
      <c r="H33" s="11">
        <f t="shared" si="5"/>
        <v>-18.792508775009271</v>
      </c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7"/>
    </row>
    <row r="34" spans="1:23" x14ac:dyDescent="0.5">
      <c r="A34" s="44">
        <v>220</v>
      </c>
      <c r="B34" s="10">
        <f t="shared" si="0"/>
        <v>-335.74682790026878</v>
      </c>
      <c r="C34" s="11">
        <f t="shared" si="1"/>
        <v>0.68486767581451113</v>
      </c>
      <c r="D34" s="32">
        <f t="shared" si="2"/>
        <v>-4.7511652583372106</v>
      </c>
      <c r="E34" s="36"/>
      <c r="F34" s="11">
        <f t="shared" si="3"/>
        <v>-336.19416316611739</v>
      </c>
      <c r="G34" s="11">
        <f t="shared" si="4"/>
        <v>3.0804355116990627</v>
      </c>
      <c r="H34" s="11">
        <f t="shared" si="5"/>
        <v>-21.370052494194081</v>
      </c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7"/>
    </row>
    <row r="35" spans="1:23" x14ac:dyDescent="0.5">
      <c r="A35" s="44">
        <v>230</v>
      </c>
      <c r="B35" s="10">
        <f t="shared" si="0"/>
        <v>-341.81788246351749</v>
      </c>
      <c r="C35" s="11">
        <f t="shared" si="1"/>
        <v>-0.6848676758145088</v>
      </c>
      <c r="D35" s="32">
        <f t="shared" si="2"/>
        <v>-4.7511652583372115</v>
      </c>
      <c r="E35" s="36"/>
      <c r="F35" s="11">
        <f t="shared" si="3"/>
        <v>-343.73039683388265</v>
      </c>
      <c r="G35" s="11">
        <f t="shared" si="4"/>
        <v>-3.0804355116990525</v>
      </c>
      <c r="H35" s="11">
        <f t="shared" si="5"/>
        <v>-21.370052494194084</v>
      </c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7"/>
    </row>
    <row r="36" spans="1:23" x14ac:dyDescent="0.5">
      <c r="A36" s="44">
        <v>240</v>
      </c>
      <c r="B36" s="10">
        <f t="shared" si="0"/>
        <v>-347.52280763699093</v>
      </c>
      <c r="C36" s="11">
        <f t="shared" si="1"/>
        <v>-1.9719978781698906</v>
      </c>
      <c r="D36" s="32">
        <f t="shared" si="2"/>
        <v>-4.1781046084504938</v>
      </c>
      <c r="E36" s="36"/>
      <c r="F36" s="11">
        <f t="shared" si="3"/>
        <v>-350.81214</v>
      </c>
      <c r="G36" s="11">
        <f t="shared" si="4"/>
        <v>-8.8697605499999899</v>
      </c>
      <c r="H36" s="11">
        <f t="shared" si="5"/>
        <v>-18.792508775009278</v>
      </c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7"/>
    </row>
    <row r="37" spans="1:23" x14ac:dyDescent="0.5">
      <c r="A37" s="44">
        <v>250</v>
      </c>
      <c r="B37" s="10">
        <f t="shared" si="0"/>
        <v>-352.17350524903981</v>
      </c>
      <c r="C37" s="11">
        <f t="shared" si="1"/>
        <v>-3.0212760328289261</v>
      </c>
      <c r="D37" s="32">
        <f t="shared" si="2"/>
        <v>-3.1011028805278351</v>
      </c>
      <c r="E37" s="36"/>
      <c r="F37" s="11">
        <f t="shared" si="3"/>
        <v>-356.58522992323776</v>
      </c>
      <c r="G37" s="11">
        <f t="shared" si="4"/>
        <v>-13.589261562246872</v>
      </c>
      <c r="H37" s="11">
        <f t="shared" si="5"/>
        <v>-13.948311149667191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7"/>
    </row>
    <row r="38" spans="1:23" x14ac:dyDescent="0.5">
      <c r="A38" s="44">
        <v>260</v>
      </c>
      <c r="B38" s="10">
        <f t="shared" si="0"/>
        <v>-355.20903253066416</v>
      </c>
      <c r="C38" s="11">
        <f t="shared" si="1"/>
        <v>-3.7061437086434359</v>
      </c>
      <c r="D38" s="32">
        <f t="shared" si="2"/>
        <v>-1.6500623778093741</v>
      </c>
      <c r="E38" s="36"/>
      <c r="F38" s="11">
        <f t="shared" si="3"/>
        <v>-360.35334675712045</v>
      </c>
      <c r="G38" s="11">
        <f t="shared" si="4"/>
        <v>-16.66969707394593</v>
      </c>
      <c r="H38" s="11">
        <f t="shared" si="5"/>
        <v>-7.4217413445268834</v>
      </c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7"/>
    </row>
    <row r="39" spans="1:23" x14ac:dyDescent="0.5">
      <c r="A39" s="44">
        <v>270</v>
      </c>
      <c r="B39" s="10">
        <f t="shared" si="0"/>
        <v>-356.26326009208879</v>
      </c>
      <c r="C39" s="11">
        <f t="shared" si="1"/>
        <v>-3.9439957563397874</v>
      </c>
      <c r="D39" s="32">
        <f t="shared" si="2"/>
        <v>-1.7732037824021448E-15</v>
      </c>
      <c r="E39" s="36"/>
      <c r="F39" s="11">
        <f t="shared" si="3"/>
        <v>-361.66200000000003</v>
      </c>
      <c r="G39" s="11">
        <f t="shared" si="4"/>
        <v>-17.739521100000008</v>
      </c>
      <c r="H39" s="11">
        <f t="shared" si="5"/>
        <v>-7.9756135289849068E-15</v>
      </c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7"/>
    </row>
    <row r="40" spans="1:23" x14ac:dyDescent="0.5">
      <c r="A40" s="44">
        <v>280</v>
      </c>
      <c r="B40" s="10">
        <f t="shared" si="0"/>
        <v>-355.20903253066416</v>
      </c>
      <c r="C40" s="11">
        <f t="shared" si="1"/>
        <v>-3.7061437086434368</v>
      </c>
      <c r="D40" s="32">
        <f t="shared" si="2"/>
        <v>1.6500623778093706</v>
      </c>
      <c r="E40" s="36"/>
      <c r="F40" s="11">
        <f t="shared" si="3"/>
        <v>-360.35334675712045</v>
      </c>
      <c r="G40" s="11">
        <f t="shared" si="4"/>
        <v>-16.669697073945933</v>
      </c>
      <c r="H40" s="11">
        <f t="shared" si="5"/>
        <v>7.4217413445268674</v>
      </c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7"/>
    </row>
    <row r="41" spans="1:23" x14ac:dyDescent="0.5">
      <c r="A41" s="44">
        <v>290</v>
      </c>
      <c r="B41" s="10">
        <f t="shared" si="0"/>
        <v>-352.17350524903975</v>
      </c>
      <c r="C41" s="11">
        <f t="shared" si="1"/>
        <v>-3.0212760328289234</v>
      </c>
      <c r="D41" s="32">
        <f t="shared" si="2"/>
        <v>3.1011028805278391</v>
      </c>
      <c r="E41" s="36"/>
      <c r="F41" s="11">
        <f t="shared" si="3"/>
        <v>-356.58522992323776</v>
      </c>
      <c r="G41" s="11">
        <f t="shared" si="4"/>
        <v>-13.589261562246861</v>
      </c>
      <c r="H41" s="11">
        <f t="shared" si="5"/>
        <v>13.948311149667209</v>
      </c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7"/>
    </row>
    <row r="42" spans="1:23" x14ac:dyDescent="0.5">
      <c r="A42" s="44">
        <v>300</v>
      </c>
      <c r="B42" s="10">
        <f t="shared" si="0"/>
        <v>-347.52280763699099</v>
      </c>
      <c r="C42" s="11">
        <f t="shared" si="1"/>
        <v>-1.971997878169893</v>
      </c>
      <c r="D42" s="32">
        <f t="shared" si="2"/>
        <v>4.178104608450492</v>
      </c>
      <c r="E42" s="36"/>
      <c r="F42" s="11">
        <f t="shared" si="3"/>
        <v>-350.81214</v>
      </c>
      <c r="G42" s="11">
        <f t="shared" si="4"/>
        <v>-8.8697605500000005</v>
      </c>
      <c r="H42" s="11">
        <f t="shared" si="5"/>
        <v>18.792508775009267</v>
      </c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7"/>
    </row>
    <row r="43" spans="1:23" x14ac:dyDescent="0.5">
      <c r="A43" s="44">
        <v>310</v>
      </c>
      <c r="B43" s="10">
        <f t="shared" si="0"/>
        <v>-341.81788246351749</v>
      </c>
      <c r="C43" s="11">
        <f t="shared" si="1"/>
        <v>-0.68486767581451169</v>
      </c>
      <c r="D43" s="32">
        <f t="shared" si="2"/>
        <v>4.7511652583372115</v>
      </c>
      <c r="E43" s="36"/>
      <c r="F43" s="11">
        <f t="shared" si="3"/>
        <v>-343.73039683388265</v>
      </c>
      <c r="G43" s="11">
        <f t="shared" si="4"/>
        <v>-3.0804355116990654</v>
      </c>
      <c r="H43" s="11">
        <f t="shared" si="5"/>
        <v>21.370052494194081</v>
      </c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7"/>
    </row>
    <row r="44" spans="1:23" x14ac:dyDescent="0.5">
      <c r="A44" s="44">
        <v>320</v>
      </c>
      <c r="B44" s="10">
        <f t="shared" si="0"/>
        <v>-335.74682790026878</v>
      </c>
      <c r="C44" s="11">
        <f t="shared" si="1"/>
        <v>0.68486767581450825</v>
      </c>
      <c r="D44" s="32">
        <f t="shared" si="2"/>
        <v>4.7511652583372115</v>
      </c>
      <c r="E44" s="36"/>
      <c r="F44" s="11">
        <f t="shared" si="3"/>
        <v>-336.19416316611739</v>
      </c>
      <c r="G44" s="11">
        <f t="shared" si="4"/>
        <v>3.0804355116990498</v>
      </c>
      <c r="H44" s="11">
        <f t="shared" si="5"/>
        <v>21.370052494194084</v>
      </c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7"/>
    </row>
    <row r="45" spans="1:23" x14ac:dyDescent="0.5">
      <c r="A45" s="44">
        <v>330</v>
      </c>
      <c r="B45" s="10">
        <f t="shared" si="0"/>
        <v>-330.04190272679534</v>
      </c>
      <c r="C45" s="11">
        <f t="shared" si="1"/>
        <v>1.9719978781698901</v>
      </c>
      <c r="D45" s="32">
        <f t="shared" si="2"/>
        <v>4.1781046084504938</v>
      </c>
      <c r="E45" s="36"/>
      <c r="F45" s="11">
        <f t="shared" si="3"/>
        <v>-329.11242000000004</v>
      </c>
      <c r="G45" s="11">
        <f t="shared" si="4"/>
        <v>8.8697605499999881</v>
      </c>
      <c r="H45" s="11">
        <f t="shared" si="5"/>
        <v>18.792508775009278</v>
      </c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7"/>
    </row>
    <row r="46" spans="1:23" x14ac:dyDescent="0.5">
      <c r="A46" s="44">
        <v>340</v>
      </c>
      <c r="B46" s="10">
        <f t="shared" si="0"/>
        <v>-325.39120511474647</v>
      </c>
      <c r="C46" s="11">
        <f t="shared" si="1"/>
        <v>3.0212760328289257</v>
      </c>
      <c r="D46" s="32">
        <f t="shared" si="2"/>
        <v>3.1011028805278356</v>
      </c>
      <c r="E46" s="36"/>
      <c r="F46" s="11">
        <f t="shared" si="3"/>
        <v>-323.33933007676228</v>
      </c>
      <c r="G46" s="11">
        <f t="shared" si="4"/>
        <v>13.58926156224687</v>
      </c>
      <c r="H46" s="11">
        <f t="shared" si="5"/>
        <v>13.948311149667191</v>
      </c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7"/>
    </row>
    <row r="47" spans="1:23" x14ac:dyDescent="0.5">
      <c r="A47" s="44">
        <v>350</v>
      </c>
      <c r="B47" s="10">
        <f t="shared" si="0"/>
        <v>-322.35567783312212</v>
      </c>
      <c r="C47" s="11">
        <f t="shared" si="1"/>
        <v>3.7061437086434355</v>
      </c>
      <c r="D47" s="32">
        <f t="shared" si="2"/>
        <v>1.6500623778093744</v>
      </c>
      <c r="E47" s="36"/>
      <c r="F47" s="11">
        <f t="shared" si="3"/>
        <v>-319.57121324287959</v>
      </c>
      <c r="G47" s="11">
        <f t="shared" si="4"/>
        <v>16.669697073945926</v>
      </c>
      <c r="H47" s="11">
        <f t="shared" si="5"/>
        <v>7.4217413445268861</v>
      </c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7"/>
    </row>
    <row r="48" spans="1:23" x14ac:dyDescent="0.5">
      <c r="A48" s="44">
        <v>360</v>
      </c>
      <c r="B48" s="10">
        <f t="shared" si="0"/>
        <v>-321.30145027169749</v>
      </c>
      <c r="C48" s="11">
        <f t="shared" si="1"/>
        <v>3.9439957563397874</v>
      </c>
      <c r="D48" s="32">
        <f t="shared" si="2"/>
        <v>2.3642717098695261E-15</v>
      </c>
      <c r="E48" s="36"/>
      <c r="F48" s="11">
        <f t="shared" si="3"/>
        <v>-318.26256000000001</v>
      </c>
      <c r="G48" s="11">
        <f t="shared" si="4"/>
        <v>17.739521100000008</v>
      </c>
      <c r="H48" s="11">
        <f t="shared" si="5"/>
        <v>1.0634151371979877E-14</v>
      </c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7"/>
    </row>
    <row r="49" spans="1:23" ht="24" thickBot="1" x14ac:dyDescent="0.55000000000000004">
      <c r="A49" s="45"/>
      <c r="B49" s="46"/>
      <c r="C49" s="46"/>
      <c r="D49" s="46"/>
      <c r="E49" s="47"/>
      <c r="F49" s="48"/>
      <c r="G49" s="48"/>
      <c r="H49" s="48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9"/>
    </row>
    <row r="50" spans="1:23" ht="24" thickTop="1" x14ac:dyDescent="0.5"/>
  </sheetData>
  <sheetProtection algorithmName="SHA-512" hashValue="k31w5C/MxU6s0OPcW7zU32h4Oxy9PMqq27bV3ebbkFTuEw7jT7xX9/PX1bagKUAzG2N9vzqmi1fVdZwugGUZvQ==" saltValue="W3QrnFV5pQaOLTf/guZTVQ==" spinCount="100000" sheet="1" scenarios="1"/>
  <mergeCells count="1">
    <mergeCell ref="F10:H10"/>
  </mergeCells>
  <pageMargins left="0.70866141732283472" right="0.70866141732283472" top="0.74803149606299213" bottom="0.74803149606299213" header="0.31496062992125984" footer="0.31496062992125984"/>
  <pageSetup paperSize="9" scale="44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59"/>
  <sheetViews>
    <sheetView tabSelected="1" topLeftCell="A3" zoomScale="70" zoomScaleNormal="70" workbookViewId="0">
      <selection activeCell="W21" sqref="W21"/>
    </sheetView>
  </sheetViews>
  <sheetFormatPr defaultRowHeight="23.25" x14ac:dyDescent="0.5"/>
  <cols>
    <col min="1" max="1" width="8.7109375" bestFit="1" customWidth="1"/>
    <col min="2" max="2" width="15.5703125" customWidth="1"/>
    <col min="3" max="3" width="9.42578125" customWidth="1"/>
    <col min="4" max="4" width="11.28515625" customWidth="1"/>
    <col min="5" max="5" width="9.42578125" bestFit="1" customWidth="1"/>
    <col min="6" max="6" width="12.28515625" customWidth="1"/>
    <col min="7" max="7" width="9.85546875" bestFit="1" customWidth="1"/>
    <col min="8" max="8" width="10.85546875" customWidth="1"/>
    <col min="11" max="11" width="11.28515625" customWidth="1"/>
    <col min="26" max="26" width="17.140625" customWidth="1"/>
  </cols>
  <sheetData>
    <row r="1" spans="1:26" ht="24" thickTop="1" x14ac:dyDescent="0.5">
      <c r="A1" s="72" t="s">
        <v>26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73" t="s">
        <v>79</v>
      </c>
    </row>
    <row r="2" spans="1:26" ht="26.25" x14ac:dyDescent="0.55000000000000004">
      <c r="A2" s="57" t="s">
        <v>51</v>
      </c>
      <c r="B2" s="76">
        <v>25</v>
      </c>
      <c r="C2" s="36" t="s">
        <v>19</v>
      </c>
      <c r="D2" s="38" t="s">
        <v>52</v>
      </c>
      <c r="E2" s="74">
        <v>0.13</v>
      </c>
      <c r="F2" s="36" t="s">
        <v>1</v>
      </c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7"/>
    </row>
    <row r="3" spans="1:26" ht="26.25" x14ac:dyDescent="0.55000000000000004">
      <c r="A3" s="57" t="s">
        <v>0</v>
      </c>
      <c r="B3" s="74">
        <v>1.635</v>
      </c>
      <c r="C3" s="36" t="s">
        <v>1</v>
      </c>
      <c r="D3" s="38" t="s">
        <v>48</v>
      </c>
      <c r="E3" s="78">
        <v>35000000</v>
      </c>
      <c r="F3" s="36" t="s">
        <v>4</v>
      </c>
      <c r="G3" s="38" t="s">
        <v>49</v>
      </c>
      <c r="H3" s="19">
        <f>(1/12)*1*$E$2^3</f>
        <v>1.8308333333333333E-4</v>
      </c>
      <c r="I3" s="36" t="s">
        <v>18</v>
      </c>
      <c r="J3" s="38" t="s">
        <v>50</v>
      </c>
      <c r="K3" s="74">
        <v>30000</v>
      </c>
      <c r="L3" s="36" t="s">
        <v>19</v>
      </c>
      <c r="M3" s="51" t="s">
        <v>72</v>
      </c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7"/>
    </row>
    <row r="4" spans="1:26" ht="24.75" x14ac:dyDescent="0.55000000000000004">
      <c r="A4" s="57" t="s">
        <v>2</v>
      </c>
      <c r="B4" s="74">
        <v>61.2</v>
      </c>
      <c r="C4" s="36" t="s">
        <v>4</v>
      </c>
      <c r="D4" s="38" t="s">
        <v>3</v>
      </c>
      <c r="E4" s="74">
        <v>160</v>
      </c>
      <c r="F4" s="36" t="s">
        <v>4</v>
      </c>
      <c r="G4" s="38" t="s">
        <v>5</v>
      </c>
      <c r="H4" s="58">
        <f>B4+E4</f>
        <v>221.2</v>
      </c>
      <c r="I4" s="36" t="s">
        <v>4</v>
      </c>
      <c r="J4" s="36" t="s">
        <v>70</v>
      </c>
      <c r="K4" s="36"/>
      <c r="L4" s="36"/>
      <c r="M4" s="52" t="s">
        <v>73</v>
      </c>
      <c r="N4" s="50" t="s">
        <v>74</v>
      </c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7"/>
    </row>
    <row r="5" spans="1:26" ht="24.75" x14ac:dyDescent="0.55000000000000004">
      <c r="A5" s="57" t="s">
        <v>6</v>
      </c>
      <c r="B5" s="74">
        <v>33.981999999999999</v>
      </c>
      <c r="C5" s="36" t="s">
        <v>4</v>
      </c>
      <c r="D5" s="38" t="s">
        <v>7</v>
      </c>
      <c r="E5" s="74">
        <v>160.65</v>
      </c>
      <c r="F5" s="36" t="s">
        <v>4</v>
      </c>
      <c r="G5" s="38" t="s">
        <v>8</v>
      </c>
      <c r="H5" s="58">
        <f>B5+E5</f>
        <v>194.63200000000001</v>
      </c>
      <c r="I5" s="36" t="s">
        <v>4</v>
      </c>
      <c r="J5" s="36" t="s">
        <v>70</v>
      </c>
      <c r="K5" s="36"/>
      <c r="L5" s="36"/>
      <c r="M5" s="52" t="s">
        <v>75</v>
      </c>
      <c r="N5" s="50" t="s">
        <v>76</v>
      </c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7"/>
    </row>
    <row r="6" spans="1:26" ht="24.75" x14ac:dyDescent="0.55000000000000004">
      <c r="A6" s="57" t="s">
        <v>15</v>
      </c>
      <c r="B6" s="74">
        <v>50.167999999999999</v>
      </c>
      <c r="C6" s="36" t="s">
        <v>4</v>
      </c>
      <c r="D6" s="38" t="s">
        <v>16</v>
      </c>
      <c r="E6" s="74">
        <v>193.35</v>
      </c>
      <c r="F6" s="36" t="s">
        <v>4</v>
      </c>
      <c r="G6" s="38" t="s">
        <v>17</v>
      </c>
      <c r="H6" s="58">
        <f>B6+E6</f>
        <v>243.518</v>
      </c>
      <c r="I6" s="36" t="s">
        <v>4</v>
      </c>
      <c r="J6" s="36" t="s">
        <v>71</v>
      </c>
      <c r="K6" s="36"/>
      <c r="L6" s="36"/>
      <c r="M6" s="52" t="s">
        <v>77</v>
      </c>
      <c r="N6" s="50" t="s">
        <v>78</v>
      </c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7"/>
    </row>
    <row r="7" spans="1:26" ht="24" x14ac:dyDescent="0.5">
      <c r="A7" s="57"/>
      <c r="B7" s="20"/>
      <c r="C7" s="19"/>
      <c r="D7" s="59"/>
      <c r="E7" s="20"/>
      <c r="F7" s="36"/>
      <c r="G7" s="38" t="s">
        <v>21</v>
      </c>
      <c r="H7" s="20">
        <f>$B$2*$E$2</f>
        <v>3.25</v>
      </c>
      <c r="I7" s="36" t="s">
        <v>4</v>
      </c>
      <c r="J7" s="38" t="s">
        <v>20</v>
      </c>
      <c r="K7" s="12">
        <f>(1/24)*(2*$H$4-$H$5-$H$6)*$B$3^4/($E$3*$H$3+0.0454*$K$3*$B$3^4)</f>
        <v>7.8400651106812653E-5</v>
      </c>
      <c r="L7" s="36" t="s">
        <v>1</v>
      </c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7"/>
    </row>
    <row r="8" spans="1:26" x14ac:dyDescent="0.5">
      <c r="A8" s="57"/>
      <c r="B8" s="20"/>
      <c r="C8" s="19"/>
      <c r="D8" s="59"/>
      <c r="E8" s="20"/>
      <c r="F8" s="36"/>
      <c r="G8" s="38"/>
      <c r="H8" s="58"/>
      <c r="I8" s="36"/>
      <c r="J8" s="36"/>
      <c r="K8" s="12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7"/>
    </row>
    <row r="9" spans="1:26" ht="24" x14ac:dyDescent="0.5">
      <c r="A9" s="60" t="s">
        <v>9</v>
      </c>
      <c r="B9" s="80" t="s">
        <v>10</v>
      </c>
      <c r="C9" s="81"/>
      <c r="D9" s="80" t="s">
        <v>11</v>
      </c>
      <c r="E9" s="81"/>
      <c r="F9" s="80" t="s">
        <v>14</v>
      </c>
      <c r="G9" s="81"/>
      <c r="H9" s="36"/>
      <c r="I9" s="56" t="s">
        <v>9</v>
      </c>
      <c r="J9" s="55" t="s">
        <v>22</v>
      </c>
      <c r="K9" s="55" t="s">
        <v>23</v>
      </c>
      <c r="L9" s="55" t="s">
        <v>24</v>
      </c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7"/>
    </row>
    <row r="10" spans="1:26" x14ac:dyDescent="0.5">
      <c r="A10" s="61">
        <f>A15*PI()/180</f>
        <v>0</v>
      </c>
      <c r="B10" s="22" t="s">
        <v>53</v>
      </c>
      <c r="C10" s="23">
        <f>0.25*(1-2*SIN(A10)^2)*$H$4*$B$3^2</f>
        <v>147.8293425</v>
      </c>
      <c r="D10" s="22" t="s">
        <v>54</v>
      </c>
      <c r="E10" s="23">
        <f>SIN(A10)^2*$H$4*$B$3</f>
        <v>0</v>
      </c>
      <c r="F10" s="22" t="s">
        <v>55</v>
      </c>
      <c r="G10" s="23">
        <f>-$H$4*$B$3*SIN(A10)*COS(A10)</f>
        <v>0</v>
      </c>
      <c r="H10" s="36"/>
      <c r="I10" s="4">
        <v>0</v>
      </c>
      <c r="J10" s="6">
        <f>C15</f>
        <v>6.3898116478658107</v>
      </c>
      <c r="K10" s="6">
        <f>E15</f>
        <v>343.6751727898486</v>
      </c>
      <c r="L10" s="6">
        <f>G15</f>
        <v>0</v>
      </c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7"/>
    </row>
    <row r="11" spans="1:26" x14ac:dyDescent="0.5">
      <c r="A11" s="62">
        <f>A15*PI()/180</f>
        <v>0</v>
      </c>
      <c r="B11" s="29" t="s">
        <v>56</v>
      </c>
      <c r="C11" s="30">
        <f>0.25*(1-2*COS(A11)^2)*$H$5*$B$3^2</f>
        <v>-130.07378205000001</v>
      </c>
      <c r="D11" s="29" t="s">
        <v>57</v>
      </c>
      <c r="E11" s="30">
        <f>COS(A11)^2*$H$5*$B$3</f>
        <v>318.22332</v>
      </c>
      <c r="F11" s="29" t="s">
        <v>58</v>
      </c>
      <c r="G11" s="30">
        <f>$H$5*$B$3*SIN(A11)*COS(A11)</f>
        <v>0</v>
      </c>
      <c r="H11" s="36"/>
      <c r="I11" s="9">
        <v>10</v>
      </c>
      <c r="J11" s="10">
        <f>C23</f>
        <v>5.8198694488047469</v>
      </c>
      <c r="K11" s="10">
        <f>E23</f>
        <v>344.75484207274712</v>
      </c>
      <c r="L11" s="10">
        <f>G23</f>
        <v>-3.9229194561642022</v>
      </c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7"/>
    </row>
    <row r="12" spans="1:26" x14ac:dyDescent="0.5">
      <c r="A12" s="62">
        <f>A15*PI()/180</f>
        <v>0</v>
      </c>
      <c r="B12" s="29" t="s">
        <v>59</v>
      </c>
      <c r="C12" s="30">
        <f>(1/48)*(6-3*COS(A12)-12*COS(A12)^2+4*COS(A12)^3)*($H$6-$H$5)*$B$3^2</f>
        <v>-13.612841390624997</v>
      </c>
      <c r="D12" s="29" t="s">
        <v>60</v>
      </c>
      <c r="E12" s="30">
        <f>(1/16)*(COS(A12)+8*COS(A12)^2-4*COS(A12)^3)*($H$6-$H$5)*$B$3</f>
        <v>24.977690624999997</v>
      </c>
      <c r="F12" s="29" t="s">
        <v>61</v>
      </c>
      <c r="G12" s="30">
        <f>(1/16)*(SIN(A12)+8*SIN(A12)*COS(A12)-4*SIN(A12)*COS(A12)^2)*($H$6-$H$5)*$B$3</f>
        <v>0</v>
      </c>
      <c r="H12" s="36"/>
      <c r="I12" s="9">
        <v>20</v>
      </c>
      <c r="J12" s="10">
        <f>C31</f>
        <v>4.2297415126029865</v>
      </c>
      <c r="K12" s="10">
        <f>E31</f>
        <v>347.78770227341431</v>
      </c>
      <c r="L12" s="10">
        <f>G31</f>
        <v>-7.0237201118242627</v>
      </c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7"/>
    </row>
    <row r="13" spans="1:26" x14ac:dyDescent="0.5">
      <c r="A13" s="62">
        <f>A15*PI()/180</f>
        <v>0</v>
      </c>
      <c r="B13" s="29" t="s">
        <v>62</v>
      </c>
      <c r="C13" s="30">
        <f>IF(A13&lt;0.25*PI(),(0.2346-0.3536*COS(A13))*$K$3*$K$7*$B$3^2, IF(A13&lt;=0.5*PI(),(-0.3487+0.5*SIN(A13)^2+0.2357*COS(A13)^3)*$K$3*$K$7*$B$3^2,0))</f>
        <v>-0.74820981258138319</v>
      </c>
      <c r="D13" s="29" t="s">
        <v>63</v>
      </c>
      <c r="E13" s="30">
        <f>IF(A13&lt;0.25*PI(),(0.3536*COS(A13))*$K$3*$K$7*$B$3, IF(A13&lt;=0.5*PI(),(-0.7071*COS(A13)+COS(A13)^2+0.7071*COS(A13)*SIN(A13)^2)*$K$3*$K$7*$B$3,0))</f>
        <v>1.359787164848647</v>
      </c>
      <c r="F13" s="29" t="s">
        <v>64</v>
      </c>
      <c r="G13" s="30">
        <f>IF(A13&lt;0.25*PI(),0.3536*SIN(A13)*$K$3*$K$7*$B$3,IF(A13&lt;=0.5*PI(),(SIN(A13)*COS(A13)-0.7071*SIN(A13)*COS(A13)^2)*$K$3*$K$7*B$3,0))</f>
        <v>0</v>
      </c>
      <c r="H13" s="36"/>
      <c r="I13" s="9">
        <v>30</v>
      </c>
      <c r="J13" s="10">
        <f>C39</f>
        <v>1.9504930808346645</v>
      </c>
      <c r="K13" s="10">
        <f>E39</f>
        <v>352.20546588354273</v>
      </c>
      <c r="L13" s="10">
        <f>G39</f>
        <v>-8.6724246416373312</v>
      </c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7"/>
    </row>
    <row r="14" spans="1:26" x14ac:dyDescent="0.5">
      <c r="A14" s="63">
        <f>A15*PI()/180</f>
        <v>0</v>
      </c>
      <c r="B14" s="25" t="s">
        <v>65</v>
      </c>
      <c r="C14" s="26">
        <f>IF(A14&lt;0.5*PI(),((3/8)*PI()-A14*SIN(A14)-(5/6)*COS(A14))*$H$7*$B$3^2, IF(A14&lt;=PI(), ((-1/8)*PI()+(PI()-A14)*SIN(A14)-(5/6)*COS(A14)-0.5*PI()*SIN(A14)^2)*$H$7*$B$3^2,0))</f>
        <v>2.9953024010722005</v>
      </c>
      <c r="D14" s="25" t="s">
        <v>66</v>
      </c>
      <c r="E14" s="26">
        <f>IF(A14&lt;0.5*PI(),(A14*SIN(A14)-(1/6)*COS(A14))*$H$7*$B$3, IF(A14&lt;=PI(),(-PI()*SIN(A14)+A14*SIN(A14)+PI()*SIN(A14)^2-(1/6)*COS(A14))*$H$7*$B$3,0))</f>
        <v>-0.885625</v>
      </c>
      <c r="F14" s="25" t="s">
        <v>67</v>
      </c>
      <c r="G14" s="26">
        <f>IF(A14&lt;0.5*PI(),-(A14*COS(A14)+(1/6)*SIN(A14))*$H$7*$B$3, IF(A14&lt;=PI(),((PI()-A14)*COS(A14)-PI()*SIN(A14)*COS(A14)-(1/6)*SIN(A14))*$H$7*$B$3,0))</f>
        <v>0</v>
      </c>
      <c r="H14" s="36"/>
      <c r="I14" s="9">
        <v>40</v>
      </c>
      <c r="J14" s="10">
        <f>C47</f>
        <v>-0.55234333968899352</v>
      </c>
      <c r="K14" s="10">
        <f>E47</f>
        <v>357.21509044455883</v>
      </c>
      <c r="L14" s="10">
        <f>G47</f>
        <v>-8.5740660972695864</v>
      </c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7"/>
    </row>
    <row r="15" spans="1:26" x14ac:dyDescent="0.5">
      <c r="A15" s="64">
        <v>0</v>
      </c>
      <c r="B15" s="38" t="s">
        <v>12</v>
      </c>
      <c r="C15" s="65">
        <f>SUM(C10:C14)</f>
        <v>6.3898116478658107</v>
      </c>
      <c r="D15" s="38" t="s">
        <v>13</v>
      </c>
      <c r="E15" s="65">
        <f>SUM(E10:E14)</f>
        <v>343.6751727898486</v>
      </c>
      <c r="F15" s="38" t="s">
        <v>8</v>
      </c>
      <c r="G15" s="65">
        <f>SUM(G10:G14)</f>
        <v>0</v>
      </c>
      <c r="H15" s="36"/>
      <c r="I15" s="9">
        <v>50</v>
      </c>
      <c r="J15" s="10">
        <f>C55</f>
        <v>-2.7848566470678442</v>
      </c>
      <c r="K15" s="10">
        <f>E55</f>
        <v>361.98028250409936</v>
      </c>
      <c r="L15" s="10">
        <f>G55</f>
        <v>-6.8347663311798525</v>
      </c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7"/>
    </row>
    <row r="16" spans="1:26" x14ac:dyDescent="0.5">
      <c r="A16" s="35"/>
      <c r="B16" s="36"/>
      <c r="C16" s="36"/>
      <c r="D16" s="36"/>
      <c r="E16" s="36"/>
      <c r="F16" s="36"/>
      <c r="G16" s="36"/>
      <c r="H16" s="36"/>
      <c r="I16" s="9">
        <v>60</v>
      </c>
      <c r="J16" s="10">
        <f>C63</f>
        <v>-4.3458710545962411</v>
      </c>
      <c r="K16" s="10">
        <f>E63</f>
        <v>365.79112119823407</v>
      </c>
      <c r="L16" s="10">
        <f>G63</f>
        <v>-3.9772442693906327</v>
      </c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7"/>
    </row>
    <row r="17" spans="1:26" ht="24" x14ac:dyDescent="0.5">
      <c r="A17" s="60" t="s">
        <v>9</v>
      </c>
      <c r="B17" s="80" t="s">
        <v>10</v>
      </c>
      <c r="C17" s="81"/>
      <c r="D17" s="80" t="s">
        <v>11</v>
      </c>
      <c r="E17" s="81"/>
      <c r="F17" s="80" t="s">
        <v>14</v>
      </c>
      <c r="G17" s="81"/>
      <c r="H17" s="36"/>
      <c r="I17" s="9">
        <v>70</v>
      </c>
      <c r="J17" s="10">
        <f>C71</f>
        <v>-5.0180530933683904</v>
      </c>
      <c r="K17" s="10">
        <f>E71</f>
        <v>368.30329665624367</v>
      </c>
      <c r="L17" s="10">
        <f>G71</f>
        <v>-0.73443878534326812</v>
      </c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7"/>
    </row>
    <row r="18" spans="1:26" x14ac:dyDescent="0.5">
      <c r="A18" s="66">
        <f>A23*PI()/180</f>
        <v>0.17453292519943295</v>
      </c>
      <c r="B18" s="22" t="s">
        <v>53</v>
      </c>
      <c r="C18" s="23">
        <f>0.25*(1-2*SIN(A18)^2)*$H$4*$B$3^2</f>
        <v>138.91414228288266</v>
      </c>
      <c r="D18" s="22" t="s">
        <v>54</v>
      </c>
      <c r="E18" s="23">
        <f>SIN(A18)^2*$H$4*$B$3</f>
        <v>10.905443690663398</v>
      </c>
      <c r="F18" s="22" t="s">
        <v>55</v>
      </c>
      <c r="G18" s="23">
        <f>-$H$4*$B$3*SIN(A18)*COS(A18)</f>
        <v>-61.847844537723994</v>
      </c>
      <c r="H18" s="36"/>
      <c r="I18" s="9">
        <v>80</v>
      </c>
      <c r="J18" s="10">
        <f>C79</f>
        <v>-4.7998704286915981</v>
      </c>
      <c r="K18" s="10">
        <f>E79</f>
        <v>369.57468139976095</v>
      </c>
      <c r="L18" s="10">
        <f>G79</f>
        <v>2.1484552523653826</v>
      </c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7"/>
    </row>
    <row r="19" spans="1:26" x14ac:dyDescent="0.5">
      <c r="A19" s="67">
        <f>A23*PI()/180</f>
        <v>0.17453292519943295</v>
      </c>
      <c r="B19" s="29" t="s">
        <v>56</v>
      </c>
      <c r="C19" s="30">
        <f>0.25*(1-2*COS(A19)^2)*$H$5*$B$3^2</f>
        <v>-122.22937315009952</v>
      </c>
      <c r="D19" s="29" t="s">
        <v>57</v>
      </c>
      <c r="E19" s="30">
        <f>COS(A19)^2*$H$5*$B$3</f>
        <v>308.62771278299635</v>
      </c>
      <c r="F19" s="29" t="s">
        <v>58</v>
      </c>
      <c r="G19" s="30">
        <f>$H$5*$B$3*SIN(A19)*COS(A19)</f>
        <v>54.419392757985065</v>
      </c>
      <c r="H19" s="36"/>
      <c r="I19" s="9">
        <v>90</v>
      </c>
      <c r="J19" s="10">
        <f>C87</f>
        <v>-3.8806177068015373</v>
      </c>
      <c r="K19" s="10">
        <f>E87</f>
        <v>370.00881898150635</v>
      </c>
      <c r="L19" s="10">
        <f>G87</f>
        <v>4.1099131249999994</v>
      </c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7"/>
    </row>
    <row r="20" spans="1:26" x14ac:dyDescent="0.5">
      <c r="A20" s="67">
        <f>A23*PI()/180</f>
        <v>0.17453292519943295</v>
      </c>
      <c r="B20" s="29" t="s">
        <v>59</v>
      </c>
      <c r="C20" s="30">
        <f>(1/48)*(6-3*COS(A20)-12*COS(A20)^2+4*COS(A20)^3)*($H$6-$H$5)*$B$3^2</f>
        <v>-12.992450630845243</v>
      </c>
      <c r="D20" s="29" t="s">
        <v>60</v>
      </c>
      <c r="E20" s="30">
        <f>(1/16)*(COS(A20)+8*COS(A20)^2-4*COS(A20)^3)*($H$6-$H$5)*$B$3</f>
        <v>24.593681477908866</v>
      </c>
      <c r="F20" s="29" t="s">
        <v>61</v>
      </c>
      <c r="G20" s="30">
        <f>(1/16)*(SIN(A20)+8*SIN(A20)*COS(A20)-4*SIN(A20)*COS(A20)^2)*($H$6-$H$5)*$B$3</f>
        <v>4.3365295995053685</v>
      </c>
      <c r="H20" s="36"/>
      <c r="I20" s="9">
        <v>100</v>
      </c>
      <c r="J20" s="10">
        <f>C95</f>
        <v>-2.5526361396948163</v>
      </c>
      <c r="K20" s="10">
        <f>E95</f>
        <v>369.93349041400137</v>
      </c>
      <c r="L20" s="10">
        <f>G95</f>
        <v>6.191541712200741</v>
      </c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7"/>
    </row>
    <row r="21" spans="1:26" x14ac:dyDescent="0.5">
      <c r="A21" s="67">
        <f>A23*PI()/180</f>
        <v>0.17453292519943295</v>
      </c>
      <c r="B21" s="29" t="s">
        <v>62</v>
      </c>
      <c r="C21" s="30">
        <f>IF(A21&lt;0.25*PI(),(0.2346-0.3536*COS(A21))*$K$3*$K$7*$B$3^2, IF(A21&lt;=0.5*PI(),(-0.3487+0.5*SIN(A21)^2+0.2357*COS(A21)^3)*$K$3*$K$7*$B$3^2,0))</f>
        <v>-0.71443361886057477</v>
      </c>
      <c r="D21" s="29" t="s">
        <v>63</v>
      </c>
      <c r="E21" s="30">
        <f>IF(A21&lt;0.25*PI(),(0.3536*COS(A21))*$K$3*$K$7*$B$3, IF(A21&lt;=0.5*PI(),(-0.7071*COS(A21)+COS(A21)^2+0.7071*COS(A21)*SIN(A21)^2)*$K$3*$K$7*$B$3,0))</f>
        <v>1.339128942389437</v>
      </c>
      <c r="F21" s="29" t="s">
        <v>64</v>
      </c>
      <c r="G21" s="30">
        <f>IF(A21&lt;0.25*PI(),0.3536*SIN(A21)*$K$3*$K$7*$B$3,IF(A21&lt;=0.5*PI(),(SIN(A21)*COS(A21)-0.7071*SIN(A21)*COS(A21)^2)*$K$3*$K$7*B$3,0))</f>
        <v>0.23612456319084937</v>
      </c>
      <c r="H21" s="36"/>
      <c r="I21" s="9">
        <v>110</v>
      </c>
      <c r="J21" s="10">
        <f>C103</f>
        <v>-1.0991890204602819</v>
      </c>
      <c r="K21" s="10">
        <f>E103</f>
        <v>369.63081272732092</v>
      </c>
      <c r="L21" s="10">
        <f>G103</f>
        <v>6.8640782376701139</v>
      </c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7"/>
    </row>
    <row r="22" spans="1:26" x14ac:dyDescent="0.5">
      <c r="A22" s="68">
        <f>A23*PI()/180</f>
        <v>0.17453292519943295</v>
      </c>
      <c r="B22" s="25" t="s">
        <v>65</v>
      </c>
      <c r="C22" s="26">
        <f>IF(A22&lt;0.5*PI(),((3/8)*PI()-A22*SIN(A22)-(5/6)*COS(A22))*$H$7*$B$3^2, IF(A22&lt;=PI(), ((-1/8)*PI()+(PI()-A22)*SIN(A22)-(5/6)*COS(A22)-0.5*PI()*SIN(A22)^2)*$H$7*$B$3^2,0))</f>
        <v>2.8419845657274188</v>
      </c>
      <c r="D22" s="25" t="s">
        <v>66</v>
      </c>
      <c r="E22" s="26">
        <f>IF(A22&lt;0.5*PI(),(A22*SIN(A22)-(1/6)*COS(A22))*$H$7*$B$3, IF(A22&lt;=PI(),(-PI()*SIN(A22)+A22*SIN(A22)+PI()*SIN(A22)^2-(1/6)*COS(A22))*$H$7*$B$3,0))</f>
        <v>-0.7111248212109561</v>
      </c>
      <c r="F22" s="25" t="s">
        <v>67</v>
      </c>
      <c r="G22" s="26">
        <f>IF(A22&lt;0.5*PI(),-(A22*COS(A22)+(1/6)*SIN(A22))*$H$7*$B$3, IF(A22&lt;=PI(),((PI()-A22)*COS(A22)-PI()*SIN(A22)*COS(A22)-(1/6)*SIN(A22))*$H$7*$B$3,0))</f>
        <v>-1.0671218391214916</v>
      </c>
      <c r="H22" s="36"/>
      <c r="I22" s="9">
        <v>120</v>
      </c>
      <c r="J22" s="10">
        <f>C111</f>
        <v>0.21516893354746669</v>
      </c>
      <c r="K22" s="10">
        <f>E111</f>
        <v>369.55889829879408</v>
      </c>
      <c r="L22" s="10">
        <f>G111</f>
        <v>6.260210021657576</v>
      </c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7"/>
    </row>
    <row r="23" spans="1:26" x14ac:dyDescent="0.5">
      <c r="A23" s="64">
        <v>10</v>
      </c>
      <c r="B23" s="38" t="s">
        <v>12</v>
      </c>
      <c r="C23" s="65">
        <f>SUM(C18:C22)</f>
        <v>5.8198694488047469</v>
      </c>
      <c r="D23" s="38" t="s">
        <v>13</v>
      </c>
      <c r="E23" s="65">
        <f>SUM(E18:E22)</f>
        <v>344.75484207274712</v>
      </c>
      <c r="F23" s="38" t="s">
        <v>8</v>
      </c>
      <c r="G23" s="65">
        <f>SUM(G18:G22)</f>
        <v>-3.9229194561642022</v>
      </c>
      <c r="H23" s="36"/>
      <c r="I23" s="9">
        <v>130</v>
      </c>
      <c r="J23" s="10">
        <f>C119</f>
        <v>1.1986772646286772</v>
      </c>
      <c r="K23" s="10">
        <f>E119</f>
        <v>370.0023205890447</v>
      </c>
      <c r="L23" s="10">
        <f>G119</f>
        <v>4.8068371516689066</v>
      </c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7"/>
    </row>
    <row r="24" spans="1:26" x14ac:dyDescent="0.5">
      <c r="A24" s="35"/>
      <c r="B24" s="36"/>
      <c r="C24" s="36"/>
      <c r="D24" s="36"/>
      <c r="E24" s="36"/>
      <c r="F24" s="36"/>
      <c r="G24" s="36"/>
      <c r="H24" s="36"/>
      <c r="I24" s="9">
        <v>140</v>
      </c>
      <c r="J24" s="10">
        <f>C127</f>
        <v>1.7743138288791329</v>
      </c>
      <c r="K24" s="10">
        <f>E127</f>
        <v>371.01193954712528</v>
      </c>
      <c r="L24" s="10">
        <f>G127</f>
        <v>3.0675373855791253</v>
      </c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7"/>
    </row>
    <row r="25" spans="1:26" ht="24" x14ac:dyDescent="0.5">
      <c r="A25" s="60" t="s">
        <v>9</v>
      </c>
      <c r="B25" s="80" t="s">
        <v>10</v>
      </c>
      <c r="C25" s="81"/>
      <c r="D25" s="80" t="s">
        <v>11</v>
      </c>
      <c r="E25" s="81"/>
      <c r="F25" s="80" t="s">
        <v>14</v>
      </c>
      <c r="G25" s="81"/>
      <c r="H25" s="36"/>
      <c r="I25" s="9">
        <v>150</v>
      </c>
      <c r="J25" s="10">
        <f>C135</f>
        <v>1.9807189158067775</v>
      </c>
      <c r="K25" s="10">
        <f>E135</f>
        <v>372.43560156420835</v>
      </c>
      <c r="L25" s="10">
        <f>G135</f>
        <v>1.5650296494108726</v>
      </c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7"/>
    </row>
    <row r="26" spans="1:26" x14ac:dyDescent="0.5">
      <c r="A26" s="66">
        <f>A31*PI()/180</f>
        <v>0.3490658503988659</v>
      </c>
      <c r="B26" s="22" t="s">
        <v>53</v>
      </c>
      <c r="C26" s="23">
        <f>0.25*(1-2*SIN(A26)^2)*$H$4*$B$3^2</f>
        <v>113.24384635205718</v>
      </c>
      <c r="D26" s="22" t="s">
        <v>54</v>
      </c>
      <c r="E26" s="23">
        <f>SIN(A26)^2*$H$4*$B$3</f>
        <v>42.306417306352074</v>
      </c>
      <c r="F26" s="22" t="s">
        <v>55</v>
      </c>
      <c r="G26" s="23">
        <f>-$H$4*$B$3*SIN(A26)*COS(A26)</f>
        <v>-116.23592624722659</v>
      </c>
      <c r="H26" s="36"/>
      <c r="I26" s="9">
        <v>160</v>
      </c>
      <c r="J26" s="10">
        <f>C143</f>
        <v>1.9449161346529362</v>
      </c>
      <c r="K26" s="10">
        <f>E143</f>
        <v>373.90874567682295</v>
      </c>
      <c r="L26" s="10">
        <f>G143</f>
        <v>0.57479691118910425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7"/>
    </row>
    <row r="27" spans="1:26" x14ac:dyDescent="0.5">
      <c r="A27" s="67">
        <f>A31*PI()/180</f>
        <v>0.3490658503988659</v>
      </c>
      <c r="B27" s="29" t="s">
        <v>56</v>
      </c>
      <c r="C27" s="30">
        <f>0.25*(1-2*COS(A27)^2)*$H$5*$B$3^2</f>
        <v>-99.642297934871578</v>
      </c>
      <c r="D27" s="29" t="s">
        <v>57</v>
      </c>
      <c r="E27" s="30">
        <f>COS(A27)^2*$H$5*$B$3</f>
        <v>280.99826297843623</v>
      </c>
      <c r="F27" s="29" t="s">
        <v>58</v>
      </c>
      <c r="G27" s="30">
        <f>$H$5*$B$3*SIN(A27)*COS(A27)</f>
        <v>102.27500360465736</v>
      </c>
      <c r="H27" s="36"/>
      <c r="I27" s="9">
        <v>170</v>
      </c>
      <c r="J27" s="10">
        <f>C151</f>
        <v>1.832289369297182</v>
      </c>
      <c r="K27" s="10">
        <f>E151</f>
        <v>375.0115710402377</v>
      </c>
      <c r="L27" s="10">
        <f>G151</f>
        <v>0.12016700367114463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7"/>
    </row>
    <row r="28" spans="1:26" x14ac:dyDescent="0.5">
      <c r="A28" s="67">
        <f>A31*PI()/180</f>
        <v>0.3490658503988659</v>
      </c>
      <c r="B28" s="29" t="s">
        <v>59</v>
      </c>
      <c r="C28" s="30">
        <f>(1/48)*(6-3*COS(A28)-12*COS(A28)^2+4*COS(A28)^3)*($H$6-$H$5)*$B$3^2</f>
        <v>-11.152365663755466</v>
      </c>
      <c r="D28" s="29" t="s">
        <v>60</v>
      </c>
      <c r="E28" s="30">
        <f>(1/16)*(COS(A28)+8*COS(A28)^2-4*COS(A28)^3)*($H$6-$H$5)*$B$3</f>
        <v>23.40305969584665</v>
      </c>
      <c r="F28" s="29" t="s">
        <v>61</v>
      </c>
      <c r="G28" s="30">
        <f>(1/16)*(SIN(A28)+8*SIN(A28)*COS(A28)-4*SIN(A28)*COS(A28)^2)*($H$6-$H$5)*$B$3</f>
        <v>8.5180171200432238</v>
      </c>
      <c r="H28" s="36"/>
      <c r="I28" s="5">
        <v>180</v>
      </c>
      <c r="J28" s="7">
        <f>C159</f>
        <v>1.777594806852878</v>
      </c>
      <c r="K28" s="7">
        <f>E159</f>
        <v>375.41965153984864</v>
      </c>
      <c r="L28" s="7">
        <f>G159</f>
        <v>5.2629603739911043E-16</v>
      </c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7"/>
    </row>
    <row r="29" spans="1:26" x14ac:dyDescent="0.5">
      <c r="A29" s="67">
        <f>A31*PI()/180</f>
        <v>0.3490658503988659</v>
      </c>
      <c r="B29" s="29" t="s">
        <v>62</v>
      </c>
      <c r="C29" s="30">
        <f>IF(A29&lt;0.25*PI(),(0.2346-0.3536*COS(A29))*$K$3*$K$7*$B$3^2, IF(A29&lt;=0.5*PI(),(-0.3487+0.5*SIN(A29)^2+0.2357*COS(A29)^3)*$K$3*$K$7*$B$3^2,0))</f>
        <v>-0.6141313102527779</v>
      </c>
      <c r="D29" s="29" t="s">
        <v>63</v>
      </c>
      <c r="E29" s="30">
        <f>IF(A29&lt;0.25*PI(),(0.3536*COS(A29))*$K$3*$K$7*$B$3, IF(A29&lt;=0.5*PI(),(-0.7071*COS(A29)+COS(A29)^2+0.7071*COS(A29)*SIN(A29)^2)*$K$3*$K$7*$B$3,0))</f>
        <v>1.2777819646476656</v>
      </c>
      <c r="F29" s="29" t="s">
        <v>64</v>
      </c>
      <c r="G29" s="30">
        <f>IF(A29&lt;0.25*PI(),0.3536*SIN(A29)*$K$3*$K$7*$B$3,IF(A29&lt;=0.5*PI(),(SIN(A29)*COS(A29)-0.7071*SIN(A29)*COS(A29)^2)*$K$3*$K$7*B$3,0))</f>
        <v>0.46507460101393899</v>
      </c>
      <c r="H29" s="38" t="s">
        <v>25</v>
      </c>
      <c r="I29" s="13">
        <v>190</v>
      </c>
      <c r="J29" s="15">
        <f>J27</f>
        <v>1.832289369297182</v>
      </c>
      <c r="K29" s="15">
        <f>K27</f>
        <v>375.0115710402377</v>
      </c>
      <c r="L29" s="15">
        <f>-L27</f>
        <v>-0.12016700367114463</v>
      </c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7"/>
    </row>
    <row r="30" spans="1:26" x14ac:dyDescent="0.5">
      <c r="A30" s="68">
        <f>A31*PI()/180</f>
        <v>0.3490658503988659</v>
      </c>
      <c r="B30" s="25" t="s">
        <v>65</v>
      </c>
      <c r="C30" s="26">
        <f>IF(A30&lt;0.5*PI(),((3/8)*PI()-A30*SIN(A30)-(5/6)*COS(A30))*$H$7*$B$3^2, IF(A30&lt;=PI(), ((-1/8)*PI()+(PI()-A30)*SIN(A30)-(5/6)*COS(A30)-0.5*PI()*SIN(A30)^2)*$H$7*$B$3^2,0))</f>
        <v>2.3946900694256334</v>
      </c>
      <c r="D30" s="25" t="s">
        <v>66</v>
      </c>
      <c r="E30" s="26">
        <f>IF(A30&lt;0.5*PI(),(A30*SIN(A30)-(1/6)*COS(A30))*$H$7*$B$3, IF(A30&lt;=PI(),(-PI()*SIN(A30)+A30*SIN(A30)+PI()*SIN(A30)^2-(1/6)*COS(A30))*$H$7*$B$3,0))</f>
        <v>-0.19781967186835903</v>
      </c>
      <c r="F30" s="25" t="s">
        <v>67</v>
      </c>
      <c r="G30" s="26">
        <f>IF(A30&lt;0.5*PI(),-(A30*COS(A30)+(1/6)*SIN(A30))*$H$7*$B$3, IF(A30&lt;=PI(),((PI()-A30)*COS(A30)-PI()*SIN(A30)*COS(A30)-(1/6)*SIN(A30))*$H$7*$B$3,0))</f>
        <v>-2.0458891903121952</v>
      </c>
      <c r="H30" s="36"/>
      <c r="I30" s="17">
        <v>200</v>
      </c>
      <c r="J30" s="18">
        <f>J26</f>
        <v>1.9449161346529362</v>
      </c>
      <c r="K30" s="18">
        <f>K26</f>
        <v>373.90874567682295</v>
      </c>
      <c r="L30" s="18">
        <f>-L26</f>
        <v>-0.57479691118910425</v>
      </c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7"/>
    </row>
    <row r="31" spans="1:26" x14ac:dyDescent="0.5">
      <c r="A31" s="64">
        <v>20</v>
      </c>
      <c r="B31" s="38" t="s">
        <v>12</v>
      </c>
      <c r="C31" s="65">
        <f>SUM(C26:C30)</f>
        <v>4.2297415126029865</v>
      </c>
      <c r="D31" s="38" t="s">
        <v>13</v>
      </c>
      <c r="E31" s="65">
        <f>SUM(E26:E30)</f>
        <v>347.78770227341431</v>
      </c>
      <c r="F31" s="38" t="s">
        <v>8</v>
      </c>
      <c r="G31" s="65">
        <f>SUM(G26:G30)</f>
        <v>-7.0237201118242627</v>
      </c>
      <c r="H31" s="36"/>
      <c r="I31" s="17">
        <v>210</v>
      </c>
      <c r="J31" s="18">
        <f>J25</f>
        <v>1.9807189158067775</v>
      </c>
      <c r="K31" s="18">
        <f>K25</f>
        <v>372.43560156420835</v>
      </c>
      <c r="L31" s="18">
        <f>-L25</f>
        <v>-1.5650296494108726</v>
      </c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7"/>
    </row>
    <row r="32" spans="1:26" x14ac:dyDescent="0.5">
      <c r="A32" s="35"/>
      <c r="B32" s="36"/>
      <c r="C32" s="36"/>
      <c r="D32" s="36"/>
      <c r="E32" s="36"/>
      <c r="F32" s="36"/>
      <c r="G32" s="36"/>
      <c r="H32" s="36"/>
      <c r="I32" s="17">
        <v>220</v>
      </c>
      <c r="J32" s="18">
        <f>J24</f>
        <v>1.7743138288791329</v>
      </c>
      <c r="K32" s="18">
        <f>K24</f>
        <v>371.01193954712528</v>
      </c>
      <c r="L32" s="18">
        <f>-L24</f>
        <v>-3.0675373855791253</v>
      </c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7"/>
    </row>
    <row r="33" spans="1:26" ht="24" x14ac:dyDescent="0.5">
      <c r="A33" s="60" t="s">
        <v>9</v>
      </c>
      <c r="B33" s="80" t="s">
        <v>10</v>
      </c>
      <c r="C33" s="81"/>
      <c r="D33" s="80" t="s">
        <v>11</v>
      </c>
      <c r="E33" s="81"/>
      <c r="F33" s="80" t="s">
        <v>14</v>
      </c>
      <c r="G33" s="81"/>
      <c r="H33" s="36"/>
      <c r="I33" s="17">
        <v>230</v>
      </c>
      <c r="J33" s="18">
        <f>J23</f>
        <v>1.1986772646286772</v>
      </c>
      <c r="K33" s="18">
        <f>K23</f>
        <v>370.0023205890447</v>
      </c>
      <c r="L33" s="18">
        <f>-L23</f>
        <v>-4.8068371516689066</v>
      </c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7"/>
    </row>
    <row r="34" spans="1:26" x14ac:dyDescent="0.5">
      <c r="A34" s="66">
        <f>A39*PI()/180</f>
        <v>0.52359877559829882</v>
      </c>
      <c r="B34" s="22" t="s">
        <v>53</v>
      </c>
      <c r="C34" s="23">
        <f>0.25*(1-2*SIN(A34)^2)*$H$4*$B$3^2</f>
        <v>73.914671250000012</v>
      </c>
      <c r="D34" s="22" t="s">
        <v>54</v>
      </c>
      <c r="E34" s="23">
        <f>SIN(A34)^2*$H$4*$B$3</f>
        <v>90.415499999999966</v>
      </c>
      <c r="F34" s="22" t="s">
        <v>55</v>
      </c>
      <c r="G34" s="23">
        <f>-$H$4*$B$3*SIN(A34)*COS(A34)</f>
        <v>-156.60423979174379</v>
      </c>
      <c r="H34" s="36"/>
      <c r="I34" s="17">
        <v>240</v>
      </c>
      <c r="J34" s="18">
        <f>J22</f>
        <v>0.21516893354746669</v>
      </c>
      <c r="K34" s="18">
        <f>K22</f>
        <v>369.55889829879408</v>
      </c>
      <c r="L34" s="18">
        <f>-L22</f>
        <v>-6.260210021657576</v>
      </c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7"/>
    </row>
    <row r="35" spans="1:26" x14ac:dyDescent="0.5">
      <c r="A35" s="67">
        <f>A39*PI()/180</f>
        <v>0.52359877559829882</v>
      </c>
      <c r="B35" s="29" t="s">
        <v>56</v>
      </c>
      <c r="C35" s="30">
        <f>0.25*(1-2*COS(A35)^2)*$H$5*$B$3^2</f>
        <v>-65.036891025000031</v>
      </c>
      <c r="D35" s="29" t="s">
        <v>57</v>
      </c>
      <c r="E35" s="30">
        <f>COS(A35)^2*$H$5*$B$3</f>
        <v>238.66749000000004</v>
      </c>
      <c r="F35" s="29" t="s">
        <v>58</v>
      </c>
      <c r="G35" s="30">
        <f>$H$5*$B$3*SIN(A35)*COS(A35)</f>
        <v>137.7947395983123</v>
      </c>
      <c r="H35" s="36"/>
      <c r="I35" s="17">
        <v>250</v>
      </c>
      <c r="J35" s="18">
        <f>J21</f>
        <v>-1.0991890204602819</v>
      </c>
      <c r="K35" s="18">
        <f>K21</f>
        <v>369.63081272732092</v>
      </c>
      <c r="L35" s="18">
        <f>-L21</f>
        <v>-6.8640782376701139</v>
      </c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7"/>
    </row>
    <row r="36" spans="1:26" x14ac:dyDescent="0.5">
      <c r="A36" s="67">
        <f>A39*PI()/180</f>
        <v>0.52359877559829882</v>
      </c>
      <c r="B36" s="29" t="s">
        <v>59</v>
      </c>
      <c r="C36" s="30">
        <f>(1/48)*(6-3*COS(A36)-12*COS(A36)^2+4*COS(A36)^3)*($H$6-$H$5)*$B$3^2</f>
        <v>-8.1677048343750034</v>
      </c>
      <c r="D36" s="29" t="s">
        <v>60</v>
      </c>
      <c r="E36" s="30">
        <f>(1/16)*(COS(A36)+8*COS(A36)^2-4*COS(A36)^3)*($H$6-$H$5)*$B$3</f>
        <v>21.320702906352636</v>
      </c>
      <c r="F36" s="29" t="s">
        <v>61</v>
      </c>
      <c r="G36" s="30">
        <f>(1/16)*(SIN(A36)+8*SIN(A36)*COS(A36)-4*SIN(A36)*COS(A36)^2)*($H$6-$H$5)*$B$3</f>
        <v>12.309513562294727</v>
      </c>
      <c r="H36" s="36"/>
      <c r="I36" s="17">
        <v>260</v>
      </c>
      <c r="J36" s="18">
        <f>J20</f>
        <v>-2.5526361396948163</v>
      </c>
      <c r="K36" s="18">
        <f>K20</f>
        <v>369.93349041400137</v>
      </c>
      <c r="L36" s="18">
        <f>-L20</f>
        <v>-6.191541712200741</v>
      </c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7"/>
    </row>
    <row r="37" spans="1:26" x14ac:dyDescent="0.5">
      <c r="A37" s="67">
        <f>A39*PI()/180</f>
        <v>0.52359877559829882</v>
      </c>
      <c r="B37" s="29" t="s">
        <v>62</v>
      </c>
      <c r="C37" s="30">
        <f>IF(A37&lt;0.25*PI(),(0.2346-0.3536*COS(A37))*$K$3*$K$7*$B$3^2, IF(A37&lt;=0.5*PI(),(-0.3487+0.5*SIN(A37)^2+0.2357*COS(A37)^3)*$K$3*$K$7*$B$3^2,0))</f>
        <v>-0.45035052164962297</v>
      </c>
      <c r="D37" s="29" t="s">
        <v>63</v>
      </c>
      <c r="E37" s="30">
        <f>IF(A37&lt;0.25*PI(),(0.3536*COS(A37))*$K$3*$K$7*$B$3, IF(A37&lt;=0.5*PI(),(-0.7071*COS(A37)+COS(A37)^2+0.7071*COS(A37)*SIN(A37)^2)*$K$3*$K$7*$B$3,0))</f>
        <v>1.1776102284989469</v>
      </c>
      <c r="F37" s="29" t="s">
        <v>64</v>
      </c>
      <c r="G37" s="30">
        <f>IF(A37&lt;0.25*PI(),0.3536*SIN(A37)*$K$3*$K$7*$B$3,IF(A37&lt;=0.5*PI(),(SIN(A37)*COS(A37)-0.7071*SIN(A37)*COS(A37)^2)*$K$3*$K$7*B$3,0))</f>
        <v>0.67989358242432352</v>
      </c>
      <c r="H37" s="36"/>
      <c r="I37" s="17">
        <v>270</v>
      </c>
      <c r="J37" s="18">
        <f>J19</f>
        <v>-3.8806177068015373</v>
      </c>
      <c r="K37" s="18">
        <f>K19</f>
        <v>370.00881898150635</v>
      </c>
      <c r="L37" s="18">
        <f>-L19</f>
        <v>-4.1099131249999994</v>
      </c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7"/>
    </row>
    <row r="38" spans="1:26" x14ac:dyDescent="0.5">
      <c r="A38" s="68">
        <f>A39*PI()/180</f>
        <v>0.52359877559829882</v>
      </c>
      <c r="B38" s="25" t="s">
        <v>65</v>
      </c>
      <c r="C38" s="26">
        <f>IF(A38&lt;0.5*PI(),((3/8)*PI()-A38*SIN(A38)-(5/6)*COS(A38))*$H$7*$B$3^2, IF(A38&lt;=PI(), ((-1/8)*PI()+(PI()-A38)*SIN(A38)-(5/6)*COS(A38)-0.5*PI()*SIN(A38)^2)*$H$7*$B$3^2,0))</f>
        <v>1.6907682118593099</v>
      </c>
      <c r="D38" s="25" t="s">
        <v>66</v>
      </c>
      <c r="E38" s="26">
        <f>IF(A38&lt;0.5*PI(),(A38*SIN(A38)-(1/6)*COS(A38))*$H$7*$B$3, IF(A38&lt;=PI(),(-PI()*SIN(A38)+A38*SIN(A38)+PI()*SIN(A38)^2-(1/6)*COS(A38))*$H$7*$B$3,0))</f>
        <v>0.62416274869113653</v>
      </c>
      <c r="F38" s="25" t="s">
        <v>67</v>
      </c>
      <c r="G38" s="26">
        <f>IF(A38&lt;0.5*PI(),-(A38*COS(A38)+(1/6)*SIN(A38))*$H$7*$B$3, IF(A38&lt;=PI(),((PI()-A38)*COS(A38)-PI()*SIN(A38)*COS(A38)-(1/6)*SIN(A38))*$H$7*$B$3,0))</f>
        <v>-2.8523315929248936</v>
      </c>
      <c r="H38" s="36"/>
      <c r="I38" s="17">
        <v>280</v>
      </c>
      <c r="J38" s="18">
        <f>J18</f>
        <v>-4.7998704286915981</v>
      </c>
      <c r="K38" s="18">
        <f>K18</f>
        <v>369.57468139976095</v>
      </c>
      <c r="L38" s="18">
        <f>-L18</f>
        <v>-2.1484552523653826</v>
      </c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7"/>
    </row>
    <row r="39" spans="1:26" x14ac:dyDescent="0.5">
      <c r="A39" s="64">
        <v>30</v>
      </c>
      <c r="B39" s="38" t="s">
        <v>12</v>
      </c>
      <c r="C39" s="65">
        <f>SUM(C34:C38)</f>
        <v>1.9504930808346645</v>
      </c>
      <c r="D39" s="38" t="s">
        <v>13</v>
      </c>
      <c r="E39" s="65">
        <f>SUM(E34:E38)</f>
        <v>352.20546588354273</v>
      </c>
      <c r="F39" s="38" t="s">
        <v>8</v>
      </c>
      <c r="G39" s="65">
        <f>SUM(G34:G38)</f>
        <v>-8.6724246416373312</v>
      </c>
      <c r="H39" s="36"/>
      <c r="I39" s="17">
        <v>290</v>
      </c>
      <c r="J39" s="18">
        <f>J17</f>
        <v>-5.0180530933683904</v>
      </c>
      <c r="K39" s="18">
        <f>K17</f>
        <v>368.30329665624367</v>
      </c>
      <c r="L39" s="18">
        <f>-L17</f>
        <v>0.73443878534326812</v>
      </c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7"/>
    </row>
    <row r="40" spans="1:26" x14ac:dyDescent="0.5">
      <c r="A40" s="35"/>
      <c r="B40" s="36"/>
      <c r="C40" s="36"/>
      <c r="D40" s="36"/>
      <c r="E40" s="36"/>
      <c r="F40" s="36"/>
      <c r="G40" s="36"/>
      <c r="H40" s="36"/>
      <c r="I40" s="17">
        <v>300</v>
      </c>
      <c r="J40" s="18">
        <f>J16</f>
        <v>-4.3458710545962411</v>
      </c>
      <c r="K40" s="18">
        <f>K16</f>
        <v>365.79112119823407</v>
      </c>
      <c r="L40" s="18">
        <f>-L16</f>
        <v>3.9772442693906327</v>
      </c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7"/>
    </row>
    <row r="41" spans="1:26" ht="24" x14ac:dyDescent="0.5">
      <c r="A41" s="60" t="s">
        <v>9</v>
      </c>
      <c r="B41" s="80" t="s">
        <v>10</v>
      </c>
      <c r="C41" s="81"/>
      <c r="D41" s="80" t="s">
        <v>11</v>
      </c>
      <c r="E41" s="81"/>
      <c r="F41" s="80" t="s">
        <v>14</v>
      </c>
      <c r="G41" s="81"/>
      <c r="H41" s="36"/>
      <c r="I41" s="17">
        <v>310</v>
      </c>
      <c r="J41" s="18">
        <f>J15</f>
        <v>-2.7848566470678442</v>
      </c>
      <c r="K41" s="18">
        <f>K15</f>
        <v>361.98028250409936</v>
      </c>
      <c r="L41" s="18">
        <f>-L15</f>
        <v>6.8347663311798525</v>
      </c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7"/>
    </row>
    <row r="42" spans="1:26" x14ac:dyDescent="0.5">
      <c r="A42" s="66">
        <f>A47*PI()/180</f>
        <v>0.69813170079773179</v>
      </c>
      <c r="B42" s="22" t="s">
        <v>53</v>
      </c>
      <c r="C42" s="23">
        <f>0.25*(1-2*SIN(A42)^2)*$H$4*$B$3^2</f>
        <v>25.670295930825525</v>
      </c>
      <c r="D42" s="22" t="s">
        <v>54</v>
      </c>
      <c r="E42" s="23">
        <f>SIN(A42)^2*$H$4*$B$3</f>
        <v>149.43002638431128</v>
      </c>
      <c r="F42" s="22" t="s">
        <v>55</v>
      </c>
      <c r="G42" s="23">
        <f>-$H$4*$B$3*SIN(A42)*COS(A42)</f>
        <v>-178.08377078495056</v>
      </c>
      <c r="H42" s="36"/>
      <c r="I42" s="17">
        <v>320</v>
      </c>
      <c r="J42" s="18">
        <f>J14</f>
        <v>-0.55234333968899352</v>
      </c>
      <c r="K42" s="18">
        <f>K14</f>
        <v>357.21509044455883</v>
      </c>
      <c r="L42" s="18">
        <f>-L14</f>
        <v>8.5740660972695864</v>
      </c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7"/>
    </row>
    <row r="43" spans="1:26" x14ac:dyDescent="0.5">
      <c r="A43" s="67">
        <f>A47*PI()/180</f>
        <v>0.69813170079773179</v>
      </c>
      <c r="B43" s="29" t="s">
        <v>56</v>
      </c>
      <c r="C43" s="30">
        <f>0.25*(1-2*COS(A43)^2)*$H$5*$B$3^2</f>
        <v>-22.587075215227973</v>
      </c>
      <c r="D43" s="29" t="s">
        <v>57</v>
      </c>
      <c r="E43" s="30">
        <f>COS(A43)^2*$H$5*$B$3</f>
        <v>186.74110980456021</v>
      </c>
      <c r="F43" s="29" t="s">
        <v>58</v>
      </c>
      <c r="G43" s="30">
        <f>$H$5*$B$3*SIN(A43)*COS(A43)</f>
        <v>156.69439636264241</v>
      </c>
      <c r="H43" s="36"/>
      <c r="I43" s="17">
        <v>330</v>
      </c>
      <c r="J43" s="18">
        <f>J13</f>
        <v>1.9504930808346645</v>
      </c>
      <c r="K43" s="18">
        <f>K13</f>
        <v>352.20546588354273</v>
      </c>
      <c r="L43" s="18">
        <f>-L13</f>
        <v>8.6724246416373312</v>
      </c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7"/>
    </row>
    <row r="44" spans="1:26" x14ac:dyDescent="0.5">
      <c r="A44" s="67">
        <f>A47*PI()/180</f>
        <v>0.69813170079773179</v>
      </c>
      <c r="B44" s="29" t="s">
        <v>59</v>
      </c>
      <c r="C44" s="30">
        <f>(1/48)*(6-3*COS(A44)-12*COS(A44)^2+4*COS(A44)^3)*($H$6-$H$5)*$B$3^2</f>
        <v>-4.1978982594836927</v>
      </c>
      <c r="D44" s="29" t="s">
        <v>60</v>
      </c>
      <c r="E44" s="30">
        <f>(1/16)*(COS(A44)+8*COS(A44)^2-4*COS(A44)^3)*($H$6-$H$5)*$B$3</f>
        <v>18.296177487897197</v>
      </c>
      <c r="F44" s="29" t="s">
        <v>61</v>
      </c>
      <c r="G44" s="30">
        <f>(1/16)*(SIN(A44)+8*SIN(A44)*COS(A44)-4*SIN(A44)*COS(A44)^2)*($H$6-$H$5)*$B$3</f>
        <v>15.352315782048585</v>
      </c>
      <c r="H44" s="36"/>
      <c r="I44" s="17">
        <v>340</v>
      </c>
      <c r="J44" s="18">
        <f>J12</f>
        <v>4.2297415126029865</v>
      </c>
      <c r="K44" s="18">
        <f>K12</f>
        <v>347.78770227341431</v>
      </c>
      <c r="L44" s="18">
        <f>-L12</f>
        <v>7.0237201118242627</v>
      </c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7"/>
    </row>
    <row r="45" spans="1:26" x14ac:dyDescent="0.5">
      <c r="A45" s="67">
        <f>A47*PI()/180</f>
        <v>0.69813170079773179</v>
      </c>
      <c r="B45" s="29" t="s">
        <v>62</v>
      </c>
      <c r="C45" s="30">
        <f>IF(A45&lt;0.25*PI(),(0.2346-0.3536*COS(A45))*$K$3*$K$7*$B$3^2, IF(A45&lt;=0.5*PI(),(-0.3487+0.5*SIN(A45)^2+0.2357*COS(A45)^3)*$K$3*$K$7*$B$3^2,0))</f>
        <v>-0.22806764943573885</v>
      </c>
      <c r="D45" s="29" t="s">
        <v>63</v>
      </c>
      <c r="E45" s="30">
        <f>IF(A45&lt;0.25*PI(),(0.3536*COS(A45))*$K$3*$K$7*$B$3, IF(A45&lt;=0.5*PI(),(-0.7071*COS(A45)+COS(A45)^2+0.7071*COS(A45)*SIN(A45)^2)*$K$3*$K$7*$B$3,0))</f>
        <v>1.0416574014568158</v>
      </c>
      <c r="F45" s="29" t="s">
        <v>64</v>
      </c>
      <c r="G45" s="30">
        <f>IF(A45&lt;0.25*PI(),0.3536*SIN(A45)*$K$3*$K$7*$B$3,IF(A45&lt;=0.5*PI(),(SIN(A45)*COS(A45)-0.7071*SIN(A45)*COS(A45)^2)*$K$3*$K$7*B$3,0))</f>
        <v>0.87405434137549809</v>
      </c>
      <c r="H45" s="36"/>
      <c r="I45" s="17">
        <v>350</v>
      </c>
      <c r="J45" s="18">
        <f>J11</f>
        <v>5.8198694488047469</v>
      </c>
      <c r="K45" s="18">
        <f>K11</f>
        <v>344.75484207274712</v>
      </c>
      <c r="L45" s="18">
        <f>-L11</f>
        <v>3.9229194561642022</v>
      </c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7"/>
    </row>
    <row r="46" spans="1:26" x14ac:dyDescent="0.5">
      <c r="A46" s="68">
        <f>A47*PI()/180</f>
        <v>0.69813170079773179</v>
      </c>
      <c r="B46" s="25" t="s">
        <v>65</v>
      </c>
      <c r="C46" s="26">
        <f>IF(A46&lt;0.5*PI(),((3/8)*PI()-A46*SIN(A46)-(5/6)*COS(A46))*$H$7*$B$3^2, IF(A46&lt;=PI(), ((-1/8)*PI()+(PI()-A46)*SIN(A46)-(5/6)*COS(A46)-0.5*PI()*SIN(A46)^2)*$H$7*$B$3^2,0))</f>
        <v>0.79040185363288618</v>
      </c>
      <c r="D46" s="25" t="s">
        <v>66</v>
      </c>
      <c r="E46" s="26">
        <f>IF(A46&lt;0.5*PI(),(A46*SIN(A46)-(1/6)*COS(A46))*$H$7*$B$3, IF(A46&lt;=PI(),(-PI()*SIN(A46)+A46*SIN(A46)+PI()*SIN(A46)^2-(1/6)*COS(A46))*$H$7*$B$3,0))</f>
        <v>1.7061193663332981</v>
      </c>
      <c r="F46" s="25" t="s">
        <v>67</v>
      </c>
      <c r="G46" s="26">
        <f>IF(A46&lt;0.5*PI(),-(A46*COS(A46)+(1/6)*SIN(A46))*$H$7*$B$3, IF(A46&lt;=PI(),((PI()-A46)*COS(A46)-PI()*SIN(A46)*COS(A46)-(1/6)*SIN(A46))*$H$7*$B$3,0))</f>
        <v>-3.4110617983855174</v>
      </c>
      <c r="H46" s="36"/>
      <c r="I46" s="14">
        <v>360</v>
      </c>
      <c r="J46" s="16">
        <f>J10</f>
        <v>6.3898116478658107</v>
      </c>
      <c r="K46" s="16">
        <f>K10</f>
        <v>343.6751727898486</v>
      </c>
      <c r="L46" s="16">
        <f>-L10</f>
        <v>0</v>
      </c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7"/>
    </row>
    <row r="47" spans="1:26" x14ac:dyDescent="0.5">
      <c r="A47" s="64">
        <v>40</v>
      </c>
      <c r="B47" s="38" t="s">
        <v>12</v>
      </c>
      <c r="C47" s="65">
        <f>SUM(C42:C46)</f>
        <v>-0.55234333968899352</v>
      </c>
      <c r="D47" s="38" t="s">
        <v>13</v>
      </c>
      <c r="E47" s="65">
        <f>SUM(E42:E46)</f>
        <v>357.21509044455883</v>
      </c>
      <c r="F47" s="38" t="s">
        <v>8</v>
      </c>
      <c r="G47" s="65">
        <f>SUM(G42:G46)</f>
        <v>-8.5740660972695864</v>
      </c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7"/>
    </row>
    <row r="48" spans="1:26" x14ac:dyDescent="0.5">
      <c r="A48" s="35"/>
      <c r="Z48" s="37"/>
    </row>
    <row r="49" spans="1:26" ht="24" x14ac:dyDescent="0.5">
      <c r="A49" s="60" t="s">
        <v>9</v>
      </c>
      <c r="B49" s="80" t="s">
        <v>10</v>
      </c>
      <c r="C49" s="81"/>
      <c r="D49" s="80" t="s">
        <v>11</v>
      </c>
      <c r="E49" s="81"/>
      <c r="F49" s="80" t="s">
        <v>14</v>
      </c>
      <c r="G49" s="81"/>
      <c r="Z49" s="37"/>
    </row>
    <row r="50" spans="1:26" x14ac:dyDescent="0.5">
      <c r="A50" s="66">
        <f>A55*PI()/180</f>
        <v>0.87266462599716477</v>
      </c>
      <c r="B50" s="22" t="s">
        <v>53</v>
      </c>
      <c r="C50" s="23">
        <f>0.25*(1-2*SIN(A50)^2)*$H$4*$B$3^2</f>
        <v>-25.670295930825489</v>
      </c>
      <c r="D50" s="22" t="s">
        <v>54</v>
      </c>
      <c r="E50" s="23">
        <f>SIN(A50)^2*$H$4*$B$3</f>
        <v>212.23197361568867</v>
      </c>
      <c r="F50" s="22" t="s">
        <v>55</v>
      </c>
      <c r="G50" s="23">
        <f>-$H$4*$B$3*SIN(A50)*COS(A50)</f>
        <v>-178.08377078495062</v>
      </c>
      <c r="Z50" s="37"/>
    </row>
    <row r="51" spans="1:26" x14ac:dyDescent="0.5">
      <c r="A51" s="67">
        <f>A55*PI()/180</f>
        <v>0.87266462599716477</v>
      </c>
      <c r="B51" s="29" t="s">
        <v>56</v>
      </c>
      <c r="C51" s="30">
        <f>0.25*(1-2*COS(A51)^2)*$H$5*$B$3^2</f>
        <v>22.587075215227973</v>
      </c>
      <c r="D51" s="29" t="s">
        <v>57</v>
      </c>
      <c r="E51" s="30">
        <f>COS(A51)^2*$H$5*$B$3</f>
        <v>131.48221019543982</v>
      </c>
      <c r="F51" s="29" t="s">
        <v>58</v>
      </c>
      <c r="G51" s="30">
        <f>$H$5*$B$3*SIN(A51)*COS(A51)</f>
        <v>156.69439636264244</v>
      </c>
      <c r="Z51" s="37"/>
    </row>
    <row r="52" spans="1:26" x14ac:dyDescent="0.5">
      <c r="A52" s="67">
        <f>A55*PI()/180</f>
        <v>0.87266462599716477</v>
      </c>
      <c r="B52" s="29" t="s">
        <v>59</v>
      </c>
      <c r="C52" s="30">
        <f>(1/48)*(6-3*COS(A52)-12*COS(A52)^2+4*COS(A52)^3)*($H$6-$H$5)*$B$3^2</f>
        <v>0.47880082802728474</v>
      </c>
      <c r="D52" s="29" t="s">
        <v>60</v>
      </c>
      <c r="E52" s="30">
        <f>(1/16)*(COS(A52)+8*COS(A52)^2-4*COS(A52)^3)*($H$6-$H$5)*$B$3</f>
        <v>14.416411033402532</v>
      </c>
      <c r="F52" s="29" t="s">
        <v>61</v>
      </c>
      <c r="G52" s="30">
        <f>(1/16)*(SIN(A52)+8*SIN(A52)*COS(A52)-4*SIN(A52)*COS(A52)^2)*($H$6-$H$5)*$B$3</f>
        <v>17.180809641372274</v>
      </c>
      <c r="Z52" s="37"/>
    </row>
    <row r="53" spans="1:26" x14ac:dyDescent="0.5">
      <c r="A53" s="67">
        <f>A55*PI()/180</f>
        <v>0.87266462599716477</v>
      </c>
      <c r="B53" s="29" t="s">
        <v>62</v>
      </c>
      <c r="C53" s="30">
        <f>IF(A53&lt;0.25*PI(),(0.2346-0.3536*COS(A53))*$K$3*$K$7*$B$3^2, IF(A53&lt;=0.5*PI(),(-0.3487+0.5*SIN(A53)^2+0.2357*COS(A53)^3)*$K$3*$K$7*$B$3^2,0))</f>
        <v>4.5963202811196806E-2</v>
      </c>
      <c r="D53" s="29" t="s">
        <v>63</v>
      </c>
      <c r="E53" s="30">
        <f>IF(A53&lt;0.25*PI(),(0.3536*COS(A53))*$K$3*$K$7*$B$3, IF(A53&lt;=0.5*PI(),(-0.7071*COS(A53)+COS(A53)^2+0.7071*COS(A53)*SIN(A53)^2)*$K$3*$K$7*$B$3,0))</f>
        <v>0.86671515945090272</v>
      </c>
      <c r="F53" s="29" t="s">
        <v>64</v>
      </c>
      <c r="G53" s="30">
        <f>IF(A53&lt;0.25*PI(),0.3536*SIN(A53)*$K$3*$K$7*$B$3,IF(A53&lt;=0.5*PI(),(SIN(A53)*COS(A53)-0.7071*SIN(A53)*COS(A53)^2)*$K$3*$K$7*B$3,0))</f>
        <v>1.0329109050314769</v>
      </c>
      <c r="Z53" s="37"/>
    </row>
    <row r="54" spans="1:26" x14ac:dyDescent="0.5">
      <c r="A54" s="68">
        <f>A55*PI()/180</f>
        <v>0.87266462599716477</v>
      </c>
      <c r="B54" s="25" t="s">
        <v>65</v>
      </c>
      <c r="C54" s="26">
        <f>IF(A54&lt;0.5*PI(),((3/8)*PI()-A54*SIN(A54)-(5/6)*COS(A54))*$H$7*$B$3^2, IF(A54&lt;=PI(), ((-1/8)*PI()+(PI()-A54)*SIN(A54)-(5/6)*COS(A54)-0.5*PI()*SIN(A54)^2)*$H$7*$B$3^2,0))</f>
        <v>-0.22639996230880954</v>
      </c>
      <c r="D54" s="25" t="s">
        <v>66</v>
      </c>
      <c r="E54" s="26">
        <f>IF(A54&lt;0.5*PI(),(A54*SIN(A54)-(1/6)*COS(A54))*$H$7*$B$3, IF(A54&lt;=PI(),(-PI()*SIN(A54)+A54*SIN(A54)+PI()*SIN(A54)^2-(1/6)*COS(A54))*$H$7*$B$3,0))</f>
        <v>2.9829725001174539</v>
      </c>
      <c r="F54" s="25" t="s">
        <v>67</v>
      </c>
      <c r="G54" s="26">
        <f>IF(A54&lt;0.5*PI(),-(A54*COS(A54)+(1/6)*SIN(A54))*$H$7*$B$3, IF(A54&lt;=PI(),((PI()-A54)*COS(A54)-PI()*SIN(A54)*COS(A54)-(1/6)*SIN(A54))*$H$7*$B$3,0))</f>
        <v>-3.6591124552754239</v>
      </c>
      <c r="Z54" s="37"/>
    </row>
    <row r="55" spans="1:26" x14ac:dyDescent="0.5">
      <c r="A55" s="64">
        <v>50</v>
      </c>
      <c r="B55" s="1" t="s">
        <v>12</v>
      </c>
      <c r="C55" s="2">
        <f>SUM(C50:C54)</f>
        <v>-2.7848566470678442</v>
      </c>
      <c r="D55" s="1" t="s">
        <v>13</v>
      </c>
      <c r="E55" s="2">
        <f>SUM(E50:E54)</f>
        <v>361.98028250409936</v>
      </c>
      <c r="F55" s="1" t="s">
        <v>8</v>
      </c>
      <c r="G55" s="2">
        <f>SUM(G50:G54)</f>
        <v>-6.8347663311798525</v>
      </c>
      <c r="Z55" s="37"/>
    </row>
    <row r="56" spans="1:26" x14ac:dyDescent="0.5">
      <c r="A56" s="35"/>
      <c r="Z56" s="37"/>
    </row>
    <row r="57" spans="1:26" ht="24" x14ac:dyDescent="0.5">
      <c r="A57" s="60" t="s">
        <v>9</v>
      </c>
      <c r="B57" s="80" t="s">
        <v>10</v>
      </c>
      <c r="C57" s="81"/>
      <c r="D57" s="80" t="s">
        <v>11</v>
      </c>
      <c r="E57" s="81"/>
      <c r="F57" s="80" t="s">
        <v>14</v>
      </c>
      <c r="G57" s="81"/>
      <c r="Z57" s="37"/>
    </row>
    <row r="58" spans="1:26" x14ac:dyDescent="0.5">
      <c r="A58" s="66">
        <f>A63*PI()/180</f>
        <v>1.0471975511965976</v>
      </c>
      <c r="B58" s="22" t="s">
        <v>53</v>
      </c>
      <c r="C58" s="23">
        <f>0.25*(1-2*SIN(A58)^2)*$H$4*$B$3^2</f>
        <v>-73.914671249999969</v>
      </c>
      <c r="D58" s="22" t="s">
        <v>54</v>
      </c>
      <c r="E58" s="23">
        <f>SIN(A58)^2*$H$4*$B$3</f>
        <v>271.24649999999997</v>
      </c>
      <c r="F58" s="22" t="s">
        <v>55</v>
      </c>
      <c r="G58" s="23">
        <f>-$H$4*$B$3*SIN(A58)*COS(A58)</f>
        <v>-156.60423979174382</v>
      </c>
      <c r="Z58" s="37"/>
    </row>
    <row r="59" spans="1:26" x14ac:dyDescent="0.5">
      <c r="A59" s="67">
        <f>A63*PI()/180</f>
        <v>1.0471975511965976</v>
      </c>
      <c r="B59" s="29" t="s">
        <v>56</v>
      </c>
      <c r="C59" s="30">
        <f>0.25*(1-2*COS(A59)^2)*$H$5*$B$3^2</f>
        <v>65.036891024999974</v>
      </c>
      <c r="D59" s="29" t="s">
        <v>57</v>
      </c>
      <c r="E59" s="30">
        <f>COS(A59)^2*$H$5*$B$3</f>
        <v>79.555830000000043</v>
      </c>
      <c r="F59" s="29" t="s">
        <v>58</v>
      </c>
      <c r="G59" s="30">
        <f>$H$5*$B$3*SIN(A59)*COS(A59)</f>
        <v>137.79473959831233</v>
      </c>
      <c r="Z59" s="37"/>
    </row>
    <row r="60" spans="1:26" x14ac:dyDescent="0.5">
      <c r="A60" s="67">
        <f>A63*PI()/180</f>
        <v>1.0471975511965976</v>
      </c>
      <c r="B60" s="29" t="s">
        <v>59</v>
      </c>
      <c r="C60" s="30">
        <f>(1/48)*(6-3*COS(A60)-12*COS(A60)^2+4*COS(A60)^3)*($H$6-$H$5)*$B$3^2</f>
        <v>5.445136556249996</v>
      </c>
      <c r="D60" s="29" t="s">
        <v>60</v>
      </c>
      <c r="E60" s="30">
        <f>(1/16)*(COS(A60)+8*COS(A60)^2-4*COS(A60)^3)*($H$6-$H$5)*$B$3</f>
        <v>9.9910762500000025</v>
      </c>
      <c r="F60" s="29" t="s">
        <v>61</v>
      </c>
      <c r="G60" s="30">
        <f>(1/16)*(SIN(A60)+8*SIN(A60)*COS(A60)-4*SIN(A60)*COS(A60)^2)*($H$6-$H$5)*$B$3</f>
        <v>17.305051687294732</v>
      </c>
      <c r="Z60" s="37"/>
    </row>
    <row r="61" spans="1:26" x14ac:dyDescent="0.5">
      <c r="A61" s="67">
        <f>A63*PI()/180</f>
        <v>1.0471975511965976</v>
      </c>
      <c r="B61" s="29" t="s">
        <v>62</v>
      </c>
      <c r="C61" s="30">
        <f>IF(A61&lt;0.25*PI(),(0.2346-0.3536*COS(A61))*$K$3*$K$7*$B$3^2, IF(A61&lt;=0.5*PI(),(-0.3487+0.5*SIN(A61)^2+0.2357*COS(A61)^3)*$K$3*$K$7*$B$3^2,0))</f>
        <v>0.35060545944596083</v>
      </c>
      <c r="D61" s="29" t="s">
        <v>63</v>
      </c>
      <c r="E61" s="30">
        <f>IF(A61&lt;0.25*PI(),(0.3536*COS(A61))*$K$3*$K$7*$B$3, IF(A61&lt;=0.5*PI(),(-0.7071*COS(A61)+COS(A61)^2+0.7071*COS(A61)*SIN(A61)^2)*$K$3*$K$7*$B$3,0))</f>
        <v>0.62148926238433844</v>
      </c>
      <c r="F61" s="29" t="s">
        <v>64</v>
      </c>
      <c r="G61" s="30">
        <f>IF(A61&lt;0.25*PI(),0.3536*SIN(A61)*$K$3*$K$7*$B$3,IF(A61&lt;=0.5*PI(),(SIN(A61)*COS(A61)-0.7071*SIN(A61)*COS(A61)^2)*$K$3*$K$7*B$3,0))</f>
        <v>1.0764509788081793</v>
      </c>
      <c r="Z61" s="37"/>
    </row>
    <row r="62" spans="1:26" x14ac:dyDescent="0.5">
      <c r="A62" s="68">
        <f>A63*PI()/180</f>
        <v>1.0471975511965976</v>
      </c>
      <c r="B62" s="25" t="s">
        <v>65</v>
      </c>
      <c r="C62" s="26">
        <f>IF(A62&lt;0.5*PI(),((3/8)*PI()-A62*SIN(A62)-(5/6)*COS(A62))*$H$7*$B$3^2, IF(A62&lt;=PI(), ((-1/8)*PI()+(PI()-A62)*SIN(A62)-(5/6)*COS(A62)-0.5*PI()*SIN(A62)^2)*$H$7*$B$3^2,0))</f>
        <v>-1.2638328452922023</v>
      </c>
      <c r="D62" s="25" t="s">
        <v>66</v>
      </c>
      <c r="E62" s="26">
        <f>IF(A62&lt;0.5*PI(),(A62*SIN(A62)-(1/6)*COS(A62))*$H$7*$B$3, IF(A62&lt;=PI(),(-PI()*SIN(A62)+A62*SIN(A62)+PI()*SIN(A62)^2-(1/6)*COS(A62))*$H$7*$B$3,0))</f>
        <v>4.3762256858497866</v>
      </c>
      <c r="F62" s="25" t="s">
        <v>67</v>
      </c>
      <c r="G62" s="26">
        <f>IF(A62&lt;0.5*PI(),-(A62*COS(A62)+(1/6)*SIN(A62))*$H$7*$B$3, IF(A62&lt;=PI(),((PI()-A62)*COS(A62)-PI()*SIN(A62)*COS(A62)-(1/6)*SIN(A62))*$H$7*$B$3,0))</f>
        <v>-3.5492467420620546</v>
      </c>
      <c r="Z62" s="37"/>
    </row>
    <row r="63" spans="1:26" x14ac:dyDescent="0.5">
      <c r="A63" s="64">
        <v>60</v>
      </c>
      <c r="B63" s="1" t="s">
        <v>12</v>
      </c>
      <c r="C63" s="2">
        <f>SUM(C58:C62)</f>
        <v>-4.3458710545962411</v>
      </c>
      <c r="D63" s="1" t="s">
        <v>13</v>
      </c>
      <c r="E63" s="2">
        <f>SUM(E58:E62)</f>
        <v>365.79112119823407</v>
      </c>
      <c r="F63" s="1" t="s">
        <v>8</v>
      </c>
      <c r="G63" s="2">
        <f>SUM(G58:G62)</f>
        <v>-3.9772442693906327</v>
      </c>
      <c r="Z63" s="37"/>
    </row>
    <row r="64" spans="1:26" x14ac:dyDescent="0.5">
      <c r="A64" s="35"/>
      <c r="Z64" s="37"/>
    </row>
    <row r="65" spans="1:26" ht="24" x14ac:dyDescent="0.5">
      <c r="A65" s="60" t="s">
        <v>9</v>
      </c>
      <c r="B65" s="80" t="s">
        <v>10</v>
      </c>
      <c r="C65" s="81"/>
      <c r="D65" s="80" t="s">
        <v>11</v>
      </c>
      <c r="E65" s="81"/>
      <c r="F65" s="80" t="s">
        <v>14</v>
      </c>
      <c r="G65" s="81"/>
      <c r="Z65" s="37"/>
    </row>
    <row r="66" spans="1:26" x14ac:dyDescent="0.5">
      <c r="A66" s="66">
        <f>A71*PI()/180</f>
        <v>1.2217304763960306</v>
      </c>
      <c r="B66" s="22" t="s">
        <v>53</v>
      </c>
      <c r="C66" s="23">
        <f>0.25*(1-2*SIN(A66)^2)*$H$4*$B$3^2</f>
        <v>-113.2438463520571</v>
      </c>
      <c r="D66" s="22" t="s">
        <v>54</v>
      </c>
      <c r="E66" s="23">
        <f>SIN(A66)^2*$H$4*$B$3</f>
        <v>319.35558269364782</v>
      </c>
      <c r="F66" s="22" t="s">
        <v>55</v>
      </c>
      <c r="G66" s="23">
        <f>-$H$4*$B$3*SIN(A66)*COS(A66)</f>
        <v>-116.2359262472266</v>
      </c>
      <c r="Z66" s="37"/>
    </row>
    <row r="67" spans="1:26" x14ac:dyDescent="0.5">
      <c r="A67" s="67">
        <f>A71*PI()/180</f>
        <v>1.2217304763960306</v>
      </c>
      <c r="B67" s="29" t="s">
        <v>56</v>
      </c>
      <c r="C67" s="30">
        <f>0.25*(1-2*COS(A67)^2)*$H$5*$B$3^2</f>
        <v>99.642297934871564</v>
      </c>
      <c r="D67" s="29" t="s">
        <v>57</v>
      </c>
      <c r="E67" s="30">
        <f>COS(A67)^2*$H$5*$B$3</f>
        <v>37.225057021563849</v>
      </c>
      <c r="F67" s="29" t="s">
        <v>58</v>
      </c>
      <c r="G67" s="30">
        <f>$H$5*$B$3*SIN(A67)*COS(A67)</f>
        <v>102.27500360465737</v>
      </c>
      <c r="Z67" s="37"/>
    </row>
    <row r="68" spans="1:26" x14ac:dyDescent="0.5">
      <c r="A68" s="67">
        <f>A71*PI()/180</f>
        <v>1.2217304763960306</v>
      </c>
      <c r="B68" s="29" t="s">
        <v>59</v>
      </c>
      <c r="C68" s="30">
        <f>(1/48)*(6-3*COS(A68)-12*COS(A68)^2+4*COS(A68)^3)*($H$6-$H$5)*$B$3^2</f>
        <v>10.155836510424054</v>
      </c>
      <c r="D68" s="29" t="s">
        <v>60</v>
      </c>
      <c r="E68" s="30">
        <f>(1/16)*(COS(A68)+8*COS(A68)^2-4*COS(A68)^3)*($H$6-$H$5)*$B$3</f>
        <v>5.5840492066400049</v>
      </c>
      <c r="F68" s="29" t="s">
        <v>61</v>
      </c>
      <c r="G68" s="30">
        <f>(1/16)*(SIN(A68)+8*SIN(A68)*COS(A68)-4*SIN(A68)*COS(A68)^2)*($H$6-$H$5)*$B$3</f>
        <v>15.342049104366907</v>
      </c>
      <c r="Z68" s="37"/>
    </row>
    <row r="69" spans="1:26" x14ac:dyDescent="0.5">
      <c r="A69" s="67">
        <f>A71*PI()/180</f>
        <v>1.2217304763960306</v>
      </c>
      <c r="B69" s="29" t="s">
        <v>62</v>
      </c>
      <c r="C69" s="30">
        <f>IF(A69&lt;0.25*PI(),(0.2346-0.3536*COS(A69))*$K$3*$K$7*$B$3^2, IF(A69&lt;=0.5*PI(),(-0.3487+0.5*SIN(A69)^2+0.2357*COS(A69)^3)*$K$3*$K$7*$B$3^2,0))</f>
        <v>0.64283907696636022</v>
      </c>
      <c r="D69" s="29" t="s">
        <v>63</v>
      </c>
      <c r="E69" s="30">
        <f>IF(A69&lt;0.25*PI(),(0.3536*COS(A69))*$K$3*$K$7*$B$3, IF(A69&lt;=0.5*PI(),(-0.7071*COS(A69)+COS(A69)^2+0.7071*COS(A69)*SIN(A69)^2)*$K$3*$K$7*$B$3,0))</f>
        <v>0.34105272074688836</v>
      </c>
      <c r="F69" s="29" t="s">
        <v>64</v>
      </c>
      <c r="G69" s="30">
        <f>IF(A69&lt;0.25*PI(),0.3536*SIN(A69)*$K$3*$K$7*$B$3,IF(A69&lt;=0.5*PI(),(SIN(A69)*COS(A69)-0.7071*SIN(A69)*COS(A69)^2)*$K$3*$K$7*B$3,0))</f>
        <v>0.93703464909563883</v>
      </c>
      <c r="Z69" s="37"/>
    </row>
    <row r="70" spans="1:26" x14ac:dyDescent="0.5">
      <c r="A70" s="68">
        <f>A71*PI()/180</f>
        <v>1.2217304763960306</v>
      </c>
      <c r="B70" s="25" t="s">
        <v>65</v>
      </c>
      <c r="C70" s="26">
        <f>IF(A70&lt;0.5*PI(),((3/8)*PI()-A70*SIN(A70)-(5/6)*COS(A70))*$H$7*$B$3^2, IF(A70&lt;=PI(), ((-1/8)*PI()+(PI()-A70)*SIN(A70)-(5/6)*COS(A70)-0.5*PI()*SIN(A70)^2)*$H$7*$B$3^2,0))</f>
        <v>-2.2151802635732647</v>
      </c>
      <c r="D70" s="25" t="s">
        <v>66</v>
      </c>
      <c r="E70" s="26">
        <f>IF(A70&lt;0.5*PI(),(A70*SIN(A70)-(1/6)*COS(A70))*$H$7*$B$3, IF(A70&lt;=PI(),(-PI()*SIN(A70)+A70*SIN(A70)+PI()*SIN(A70)^2-(1/6)*COS(A70))*$H$7*$B$3,0))</f>
        <v>5.797555013645102</v>
      </c>
      <c r="F70" s="25" t="s">
        <v>67</v>
      </c>
      <c r="G70" s="26">
        <f>IF(A70&lt;0.5*PI(),-(A70*COS(A70)+(1/6)*SIN(A70))*$H$7*$B$3, IF(A70&lt;=PI(),((PI()-A70)*COS(A70)-PI()*SIN(A70)*COS(A70)-(1/6)*SIN(A70))*$H$7*$B$3,0))</f>
        <v>-3.0525998962365843</v>
      </c>
      <c r="Z70" s="37"/>
    </row>
    <row r="71" spans="1:26" x14ac:dyDescent="0.5">
      <c r="A71" s="64">
        <v>70</v>
      </c>
      <c r="B71" s="1" t="s">
        <v>12</v>
      </c>
      <c r="C71" s="2">
        <f>SUM(C66:C70)</f>
        <v>-5.0180530933683904</v>
      </c>
      <c r="D71" s="1" t="s">
        <v>13</v>
      </c>
      <c r="E71" s="2">
        <f>SUM(E66:E70)</f>
        <v>368.30329665624367</v>
      </c>
      <c r="F71" s="1" t="s">
        <v>8</v>
      </c>
      <c r="G71" s="2">
        <f>SUM(G66:G70)</f>
        <v>-0.73443878534326812</v>
      </c>
      <c r="Z71" s="37"/>
    </row>
    <row r="72" spans="1:26" x14ac:dyDescent="0.5">
      <c r="A72" s="35"/>
      <c r="Z72" s="37"/>
    </row>
    <row r="73" spans="1:26" ht="24" x14ac:dyDescent="0.5">
      <c r="A73" s="60" t="s">
        <v>9</v>
      </c>
      <c r="B73" s="80" t="s">
        <v>10</v>
      </c>
      <c r="C73" s="81"/>
      <c r="D73" s="80" t="s">
        <v>11</v>
      </c>
      <c r="E73" s="81"/>
      <c r="F73" s="80" t="s">
        <v>14</v>
      </c>
      <c r="G73" s="81"/>
      <c r="Z73" s="37"/>
    </row>
    <row r="74" spans="1:26" x14ac:dyDescent="0.5">
      <c r="A74" s="66">
        <f>A79*PI()/180</f>
        <v>1.3962634015954636</v>
      </c>
      <c r="B74" s="22" t="s">
        <v>53</v>
      </c>
      <c r="C74" s="23">
        <f>0.25*(1-2*SIN(A74)^2)*$H$4*$B$3^2</f>
        <v>-138.91414228288264</v>
      </c>
      <c r="D74" s="22" t="s">
        <v>54</v>
      </c>
      <c r="E74" s="23">
        <f>SIN(A74)^2*$H$4*$B$3</f>
        <v>350.75655630933659</v>
      </c>
      <c r="F74" s="22" t="s">
        <v>55</v>
      </c>
      <c r="G74" s="23">
        <f>-$H$4*$B$3*SIN(A74)*COS(A74)</f>
        <v>-61.847844537724022</v>
      </c>
      <c r="Z74" s="37"/>
    </row>
    <row r="75" spans="1:26" x14ac:dyDescent="0.5">
      <c r="A75" s="67">
        <f>A79*PI()/180</f>
        <v>1.3962634015954636</v>
      </c>
      <c r="B75" s="29" t="s">
        <v>56</v>
      </c>
      <c r="C75" s="30">
        <f>0.25*(1-2*COS(A75)^2)*$H$5*$B$3^2</f>
        <v>122.22937315009955</v>
      </c>
      <c r="D75" s="29" t="s">
        <v>57</v>
      </c>
      <c r="E75" s="30">
        <f>COS(A75)^2*$H$5*$B$3</f>
        <v>9.5956072170036197</v>
      </c>
      <c r="F75" s="29" t="s">
        <v>58</v>
      </c>
      <c r="G75" s="30">
        <f>$H$5*$B$3*SIN(A75)*COS(A75)</f>
        <v>54.419392757985086</v>
      </c>
      <c r="Z75" s="37"/>
    </row>
    <row r="76" spans="1:26" x14ac:dyDescent="0.5">
      <c r="A76" s="67">
        <f>A79*PI()/180</f>
        <v>1.3962634015954636</v>
      </c>
      <c r="B76" s="29" t="s">
        <v>59</v>
      </c>
      <c r="C76" s="30">
        <f>(1/48)*(6-3*COS(A76)-12*COS(A76)^2+4*COS(A76)^3)*($H$6-$H$5)*$B$3^2</f>
        <v>13.988979784176651</v>
      </c>
      <c r="D76" s="29" t="s">
        <v>60</v>
      </c>
      <c r="E76" s="30">
        <f>(1/16)*(COS(A76)+8*COS(A76)^2-4*COS(A76)^3)*($H$6-$H$5)*$B$3</f>
        <v>1.9679081270874614</v>
      </c>
      <c r="F76" s="29" t="s">
        <v>61</v>
      </c>
      <c r="G76" s="30">
        <f>(1/16)*(SIN(A76)+8*SIN(A76)*COS(A76)-4*SIN(A76)*COS(A76)^2)*($H$6-$H$5)*$B$3</f>
        <v>11.160561583829052</v>
      </c>
      <c r="Z76" s="37"/>
    </row>
    <row r="77" spans="1:26" x14ac:dyDescent="0.5">
      <c r="A77" s="67">
        <f>A79*PI()/180</f>
        <v>1.3962634015954636</v>
      </c>
      <c r="B77" s="29" t="s">
        <v>62</v>
      </c>
      <c r="C77" s="30">
        <f>IF(A77&lt;0.25*PI(),(0.2346-0.3536*COS(A77))*$K$3*$K$7*$B$3^2, IF(A77&lt;=0.5*PI(),(-0.3487+0.5*SIN(A77)^2+0.2357*COS(A77)^3)*$K$3*$K$7*$B$3^2,0))</f>
        <v>0.86425974371826775</v>
      </c>
      <c r="D77" s="29" t="s">
        <v>63</v>
      </c>
      <c r="E77" s="30">
        <f>IF(A77&lt;0.25*PI(),(0.3536*COS(A77))*$K$3*$K$7*$B$3, IF(A77&lt;=0.5*PI(),(-0.7071*COS(A77)+COS(A77)^2+0.7071*COS(A77)*SIN(A77)^2)*$K$3*$K$7*$B$3,0))</f>
        <v>0.1017195394778381</v>
      </c>
      <c r="F77" s="29" t="s">
        <v>64</v>
      </c>
      <c r="G77" s="30">
        <f>IF(A77&lt;0.25*PI(),0.3536*SIN(A77)*$K$3*$K$7*$B$3,IF(A77&lt;=0.5*PI(),(SIN(A77)*COS(A77)-0.7071*SIN(A77)*COS(A77)^2)*$K$3*$K$7*B$3,0))</f>
        <v>0.576880174940549</v>
      </c>
      <c r="Z77" s="37"/>
    </row>
    <row r="78" spans="1:26" x14ac:dyDescent="0.5">
      <c r="A78" s="68">
        <f>A79*PI()/180</f>
        <v>1.3962634015954636</v>
      </c>
      <c r="B78" s="25" t="s">
        <v>65</v>
      </c>
      <c r="C78" s="26">
        <f>IF(A78&lt;0.5*PI(),((3/8)*PI()-A78*SIN(A78)-(5/6)*COS(A78))*$H$7*$B$3^2, IF(A78&lt;=PI(), ((-1/8)*PI()+(PI()-A78)*SIN(A78)-(5/6)*COS(A78)-0.5*PI()*SIN(A78)^2)*$H$7*$B$3^2,0))</f>
        <v>-2.9683408238034286</v>
      </c>
      <c r="D78" s="25" t="s">
        <v>66</v>
      </c>
      <c r="E78" s="26">
        <f>IF(A78&lt;0.5*PI(),(A78*SIN(A78)-(1/6)*COS(A78))*$H$7*$B$3, IF(A78&lt;=PI(),(-PI()*SIN(A78)+A78*SIN(A78)+PI()*SIN(A78)^2-(1/6)*COS(A78))*$H$7*$B$3,0))</f>
        <v>7.1528902068554556</v>
      </c>
      <c r="F78" s="25" t="s">
        <v>67</v>
      </c>
      <c r="G78" s="26">
        <f>IF(A78&lt;0.5*PI(),-(A78*COS(A78)+(1/6)*SIN(A78))*$H$7*$B$3, IF(A78&lt;=PI(),((PI()-A78)*COS(A78)-PI()*SIN(A78)*COS(A78)-(1/6)*SIN(A78))*$H$7*$B$3,0))</f>
        <v>-2.1605347266652832</v>
      </c>
      <c r="Z78" s="37"/>
    </row>
    <row r="79" spans="1:26" x14ac:dyDescent="0.5">
      <c r="A79" s="64">
        <v>80</v>
      </c>
      <c r="B79" s="1" t="s">
        <v>12</v>
      </c>
      <c r="C79" s="2">
        <f>SUM(C74:C78)</f>
        <v>-4.7998704286915981</v>
      </c>
      <c r="D79" s="1" t="s">
        <v>13</v>
      </c>
      <c r="E79" s="2">
        <f>SUM(E74:E78)</f>
        <v>369.57468139976095</v>
      </c>
      <c r="F79" s="1" t="s">
        <v>8</v>
      </c>
      <c r="G79" s="2">
        <f>SUM(G74:G78)</f>
        <v>2.1484552523653826</v>
      </c>
      <c r="Z79" s="37"/>
    </row>
    <row r="80" spans="1:26" x14ac:dyDescent="0.5">
      <c r="A80" s="35"/>
      <c r="Z80" s="37"/>
    </row>
    <row r="81" spans="1:26" ht="24" x14ac:dyDescent="0.5">
      <c r="A81" s="60" t="s">
        <v>9</v>
      </c>
      <c r="B81" s="80" t="s">
        <v>10</v>
      </c>
      <c r="C81" s="81"/>
      <c r="D81" s="80" t="s">
        <v>11</v>
      </c>
      <c r="E81" s="81"/>
      <c r="F81" s="80" t="s">
        <v>14</v>
      </c>
      <c r="G81" s="81"/>
      <c r="Z81" s="37"/>
    </row>
    <row r="82" spans="1:26" x14ac:dyDescent="0.5">
      <c r="A82" s="66">
        <f>A87*PI()/180</f>
        <v>1.5707963267948966</v>
      </c>
      <c r="B82" s="22" t="s">
        <v>53</v>
      </c>
      <c r="C82" s="23">
        <f>0.25*(1-2*SIN(A82)^2)*$H$4*$B$3^2</f>
        <v>-147.8293425</v>
      </c>
      <c r="D82" s="22" t="s">
        <v>54</v>
      </c>
      <c r="E82" s="23">
        <f>SIN(A82)^2*$H$4*$B$3</f>
        <v>361.66199999999998</v>
      </c>
      <c r="F82" s="22" t="s">
        <v>55</v>
      </c>
      <c r="G82" s="23">
        <f>-$H$4*$B$3*SIN(A82)*COS(A82)</f>
        <v>-2.2154482024958066E-14</v>
      </c>
      <c r="Z82" s="37"/>
    </row>
    <row r="83" spans="1:26" x14ac:dyDescent="0.5">
      <c r="A83" s="67">
        <f>A87*PI()/180</f>
        <v>1.5707963267948966</v>
      </c>
      <c r="B83" s="29" t="s">
        <v>56</v>
      </c>
      <c r="C83" s="30">
        <f>0.25*(1-2*COS(A83)^2)*$H$5*$B$3^2</f>
        <v>130.07378205000001</v>
      </c>
      <c r="D83" s="29" t="s">
        <v>57</v>
      </c>
      <c r="E83" s="30">
        <f>COS(A83)^2*$H$5*$B$3</f>
        <v>1.1941240475807826E-30</v>
      </c>
      <c r="F83" s="29" t="s">
        <v>58</v>
      </c>
      <c r="G83" s="30">
        <f>$H$5*$B$3*SIN(A83)*COS(A83)</f>
        <v>1.9493540440694568E-14</v>
      </c>
      <c r="Z83" s="37"/>
    </row>
    <row r="84" spans="1:26" x14ac:dyDescent="0.5">
      <c r="A84" s="67">
        <f>A87*PI()/180</f>
        <v>1.5707963267948966</v>
      </c>
      <c r="B84" s="29" t="s">
        <v>59</v>
      </c>
      <c r="C84" s="30">
        <f>(1/48)*(6-3*COS(A84)-12*COS(A84)^2+4*COS(A84)^3)*($H$6-$H$5)*$B$3^2</f>
        <v>16.33540966875</v>
      </c>
      <c r="D84" s="29" t="s">
        <v>60</v>
      </c>
      <c r="E84" s="30">
        <f>(1/16)*(COS(A84)+8*COS(A84)^2-4*COS(A84)^3)*($H$6-$H$5)*$B$3</f>
        <v>3.0601379076404282E-16</v>
      </c>
      <c r="F84" s="29" t="s">
        <v>61</v>
      </c>
      <c r="G84" s="30">
        <f>(1/16)*(SIN(A84)+8*SIN(A84)*COS(A84)-4*SIN(A84)*COS(A84)^2)*($H$6-$H$5)*$B$3</f>
        <v>4.9955381250000022</v>
      </c>
      <c r="Z84" s="37"/>
    </row>
    <row r="85" spans="1:26" x14ac:dyDescent="0.5">
      <c r="A85" s="67">
        <f>A87*PI()/180</f>
        <v>1.5707963267948966</v>
      </c>
      <c r="B85" s="29" t="s">
        <v>62</v>
      </c>
      <c r="C85" s="30">
        <f>IF(A85&lt;0.25*PI(),(0.2346-0.3536*COS(A85))*$K$3*$K$7*$B$3^2, IF(A85&lt;=0.5*PI(),(-0.3487+0.5*SIN(A85)^2+0.2357*COS(A85)^3)*$K$3*$K$7*$B$3^2,0))</f>
        <v>0.9512953331391869</v>
      </c>
      <c r="D85" s="29" t="s">
        <v>63</v>
      </c>
      <c r="E85" s="30">
        <f>IF(A85&lt;0.25*PI(),(0.3536*COS(A85))*$K$3*$K$7*$B$3, IF(A85&lt;=0.5*PI(),(-0.7071*COS(A85)+COS(A85)^2+0.7071*COS(A85)*SIN(A85)^2)*$K$3*$K$7*$B$3,0))</f>
        <v>2.3700043608827442E-32</v>
      </c>
      <c r="F85" s="29" t="s">
        <v>64</v>
      </c>
      <c r="G85" s="30">
        <f>IF(A85&lt;0.25*PI(),0.3536*SIN(A85)*$K$3*$K$7*$B$3,IF(A85&lt;=0.5*PI(),(SIN(A85)*COS(A85)-0.7071*SIN(A85)*COS(A85)^2)*$K$3*$K$7*B$3,0))</f>
        <v>2.355686006814046E-16</v>
      </c>
      <c r="Z85" s="37"/>
    </row>
    <row r="86" spans="1:26" x14ac:dyDescent="0.5">
      <c r="A86" s="68">
        <f>A87*PI()/180</f>
        <v>1.5707963267948966</v>
      </c>
      <c r="B86" s="25" t="s">
        <v>65</v>
      </c>
      <c r="C86" s="26">
        <f>IF(A86&lt;0.5*PI(),((3/8)*PI()-A86*SIN(A86)-(5/6)*COS(A86))*$H$7*$B$3^2, IF(A86&lt;=PI(), ((-1/8)*PI()+(PI()-A86)*SIN(A86)-(5/6)*COS(A86)-0.5*PI()*SIN(A86)^2)*$H$7*$B$3^2,0))</f>
        <v>-3.4117622586907337</v>
      </c>
      <c r="D86" s="25" t="s">
        <v>66</v>
      </c>
      <c r="E86" s="26">
        <f>IF(A86&lt;0.5*PI(),(A86*SIN(A86)-(1/6)*COS(A86))*$H$7*$B$3, IF(A86&lt;=PI(),(-PI()*SIN(A86)+A86*SIN(A86)+PI()*SIN(A86)^2-(1/6)*COS(A86))*$H$7*$B$3,0))</f>
        <v>8.3468189815063827</v>
      </c>
      <c r="F86" s="25" t="s">
        <v>67</v>
      </c>
      <c r="G86" s="26">
        <f>IF(A86&lt;=0.5*PI(),-(A86*COS(A86)+(1/6)*SIN(A86))*$H$7*$B$3, IF(A86&lt;=PI(),((PI()-A86)*COS(A86)-PI()*SIN(A86)*COS(A86)-(1/6)*SIN(A86))*$H$7*$B$3,0))</f>
        <v>-0.88562500000000044</v>
      </c>
      <c r="Z86" s="37"/>
    </row>
    <row r="87" spans="1:26" ht="24" thickBot="1" x14ac:dyDescent="0.55000000000000004">
      <c r="A87" s="69">
        <v>90</v>
      </c>
      <c r="B87" s="70" t="s">
        <v>12</v>
      </c>
      <c r="C87" s="71">
        <f>SUM(C82:C86)</f>
        <v>-3.8806177068015373</v>
      </c>
      <c r="D87" s="70" t="s">
        <v>13</v>
      </c>
      <c r="E87" s="71">
        <f>SUM(E82:E86)</f>
        <v>370.00881898150635</v>
      </c>
      <c r="F87" s="70" t="s">
        <v>8</v>
      </c>
      <c r="G87" s="71">
        <f>SUM(G82:G86)</f>
        <v>4.1099131249999994</v>
      </c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9"/>
    </row>
    <row r="88" spans="1:26" ht="24" thickTop="1" x14ac:dyDescent="0.5"/>
    <row r="89" spans="1:26" ht="24" x14ac:dyDescent="0.5">
      <c r="A89" s="27" t="s">
        <v>9</v>
      </c>
      <c r="B89" s="80" t="s">
        <v>10</v>
      </c>
      <c r="C89" s="81"/>
      <c r="D89" s="80" t="s">
        <v>11</v>
      </c>
      <c r="E89" s="81"/>
      <c r="F89" s="80" t="s">
        <v>14</v>
      </c>
      <c r="G89" s="81"/>
    </row>
    <row r="90" spans="1:26" x14ac:dyDescent="0.5">
      <c r="A90" s="21">
        <f>A95*PI()/180</f>
        <v>1.7453292519943295</v>
      </c>
      <c r="B90" s="22" t="s">
        <v>53</v>
      </c>
      <c r="C90" s="23">
        <f>0.25*(1-2*SIN(A90)^2)*$H$4*$B$3^2</f>
        <v>-138.91414228288264</v>
      </c>
      <c r="D90" s="22" t="s">
        <v>54</v>
      </c>
      <c r="E90" s="23">
        <f>SIN(A90)^2*$H$4*$B$3</f>
        <v>350.75655630933659</v>
      </c>
      <c r="F90" s="22" t="s">
        <v>55</v>
      </c>
      <c r="G90" s="23">
        <f>-$H$4*$B$3*SIN(A90)*COS(A90)</f>
        <v>61.847844537723986</v>
      </c>
    </row>
    <row r="91" spans="1:26" x14ac:dyDescent="0.5">
      <c r="A91" s="28">
        <f>A95*PI()/180</f>
        <v>1.7453292519943295</v>
      </c>
      <c r="B91" s="29" t="s">
        <v>56</v>
      </c>
      <c r="C91" s="30">
        <f>0.25*(1-2*COS(A91)^2)*$H$5*$B$3^2</f>
        <v>122.22937315009956</v>
      </c>
      <c r="D91" s="29" t="s">
        <v>57</v>
      </c>
      <c r="E91" s="30">
        <f>COS(A91)^2*$H$5*$B$3</f>
        <v>9.5956072170036073</v>
      </c>
      <c r="F91" s="29" t="s">
        <v>58</v>
      </c>
      <c r="G91" s="30">
        <f>$H$5*$B$3*SIN(A91)*COS(A91)</f>
        <v>-54.419392757985051</v>
      </c>
    </row>
    <row r="92" spans="1:26" x14ac:dyDescent="0.5">
      <c r="A92" s="28">
        <f>A95*PI()/180</f>
        <v>1.7453292519943295</v>
      </c>
      <c r="B92" s="29" t="s">
        <v>59</v>
      </c>
      <c r="C92" s="30">
        <f>(1/48)*(6-3*COS(A92)-12*COS(A92)^2+4*COS(A92)^3)*($H$6-$H$5)*$B$3^2</f>
        <v>16.711548062301652</v>
      </c>
      <c r="D92" s="29" t="s">
        <v>60</v>
      </c>
      <c r="E92" s="30">
        <f>(1/16)*(COS(A92)+8*COS(A92)^2-4*COS(A92)^3)*($H$6-$H$5)*$B$3</f>
        <v>0.44223436957515655</v>
      </c>
      <c r="F92" s="29" t="s">
        <v>61</v>
      </c>
      <c r="G92" s="30">
        <f>(1/16)*(SIN(A92)+8*SIN(A92)*COS(A92)-4*SIN(A92)*COS(A92)^2)*($H$6-$H$5)*$B$3</f>
        <v>-2.5080357401816853</v>
      </c>
    </row>
    <row r="93" spans="1:26" x14ac:dyDescent="0.5">
      <c r="A93" s="28">
        <f>A95*PI()/180</f>
        <v>1.7453292519943295</v>
      </c>
      <c r="B93" s="29" t="s">
        <v>62</v>
      </c>
      <c r="C93" s="30">
        <f>C77</f>
        <v>0.86425974371826775</v>
      </c>
      <c r="D93" s="29" t="s">
        <v>63</v>
      </c>
      <c r="E93" s="30">
        <f>E77</f>
        <v>0.1017195394778381</v>
      </c>
      <c r="F93" s="29" t="s">
        <v>64</v>
      </c>
      <c r="G93" s="30">
        <f>G77</f>
        <v>0.576880174940549</v>
      </c>
    </row>
    <row r="94" spans="1:26" x14ac:dyDescent="0.5">
      <c r="A94" s="24">
        <f>A95*PI()/180</f>
        <v>1.7453292519943295</v>
      </c>
      <c r="B94" s="25" t="s">
        <v>65</v>
      </c>
      <c r="C94" s="26">
        <f>IF(A94&lt;0.5*PI(),((3/8)*PI()-A94*SIN(A94)-(5/6)*COS(A94))*$H$7*$B$3^2, IF(A94&lt;=PI(), ((-1/8)*PI()+(PI()-A94)*SIN(A94)-(5/6)*COS(A94)-0.5*PI()*SIN(A94)^2)*$H$7*$B$3^2,0))</f>
        <v>-3.4436748129316617</v>
      </c>
      <c r="D94" s="25" t="s">
        <v>66</v>
      </c>
      <c r="E94" s="26">
        <f>IF(A94&lt;0.5*PI(),(A94*SIN(A94)-(1/6)*COS(A94))*$H$7*$B$3, IF(A94&lt;=PI(),(-PI()*SIN(A94)+A94*SIN(A94)+PI()*SIN(A94)^2-(1/6)*COS(A94))*$H$7*$B$3,0))</f>
        <v>9.0373729786082215</v>
      </c>
      <c r="F94" s="25" t="s">
        <v>67</v>
      </c>
      <c r="G94" s="26">
        <f>IF(A94&lt;0.5*PI(),-(A94*COS(A94)+(1/6)*SIN(A94))*$H$7*$B$3, IF(A94&lt;=PI(),((PI()-A94)*COS(A94)-PI()*SIN(A94)*COS(A94)-(1/6)*SIN(A94))*$H$7*$B$3,0))</f>
        <v>0.69424549770294186</v>
      </c>
    </row>
    <row r="95" spans="1:26" x14ac:dyDescent="0.5">
      <c r="A95" s="3">
        <v>100</v>
      </c>
      <c r="B95" s="1" t="s">
        <v>12</v>
      </c>
      <c r="C95" s="2">
        <f>SUM(C90:C94)</f>
        <v>-2.5526361396948163</v>
      </c>
      <c r="D95" s="1" t="s">
        <v>13</v>
      </c>
      <c r="E95" s="2">
        <f>SUM(E90:E94)</f>
        <v>369.93349041400137</v>
      </c>
      <c r="F95" s="1" t="s">
        <v>8</v>
      </c>
      <c r="G95" s="2">
        <f>SUM(G90:G94)</f>
        <v>6.191541712200741</v>
      </c>
    </row>
    <row r="97" spans="1:7" ht="24" x14ac:dyDescent="0.5">
      <c r="A97" s="27" t="s">
        <v>9</v>
      </c>
      <c r="B97" s="80" t="s">
        <v>10</v>
      </c>
      <c r="C97" s="81"/>
      <c r="D97" s="80" t="s">
        <v>11</v>
      </c>
      <c r="E97" s="81"/>
      <c r="F97" s="80" t="s">
        <v>14</v>
      </c>
      <c r="G97" s="81"/>
    </row>
    <row r="98" spans="1:7" x14ac:dyDescent="0.5">
      <c r="A98" s="21">
        <f>A103*PI()/180</f>
        <v>1.9198621771937625</v>
      </c>
      <c r="B98" s="22" t="s">
        <v>53</v>
      </c>
      <c r="C98" s="23">
        <f>0.25*(1-2*SIN(A98)^2)*$H$4*$B$3^2</f>
        <v>-113.24384635205718</v>
      </c>
      <c r="D98" s="22" t="s">
        <v>54</v>
      </c>
      <c r="E98" s="23">
        <f>SIN(A98)^2*$H$4*$B$3</f>
        <v>319.35558269364793</v>
      </c>
      <c r="F98" s="22" t="s">
        <v>55</v>
      </c>
      <c r="G98" s="23">
        <f>-$H$4*$B$3*SIN(A98)*COS(A98)</f>
        <v>116.23592624722659</v>
      </c>
    </row>
    <row r="99" spans="1:7" x14ac:dyDescent="0.5">
      <c r="A99" s="28">
        <f>A103*PI()/180</f>
        <v>1.9198621771937625</v>
      </c>
      <c r="B99" s="29" t="s">
        <v>56</v>
      </c>
      <c r="C99" s="30">
        <f>0.25*(1-2*COS(A99)^2)*$H$5*$B$3^2</f>
        <v>99.642297934871578</v>
      </c>
      <c r="D99" s="29" t="s">
        <v>57</v>
      </c>
      <c r="E99" s="30">
        <f>COS(A99)^2*$H$5*$B$3</f>
        <v>37.225057021563828</v>
      </c>
      <c r="F99" s="29" t="s">
        <v>58</v>
      </c>
      <c r="G99" s="30">
        <f>$H$5*$B$3*SIN(A99)*COS(A99)</f>
        <v>-102.27500360465734</v>
      </c>
    </row>
    <row r="100" spans="1:7" x14ac:dyDescent="0.5">
      <c r="A100" s="28">
        <f>A103*PI()/180</f>
        <v>1.9198621771937625</v>
      </c>
      <c r="B100" s="29" t="s">
        <v>59</v>
      </c>
      <c r="C100" s="30">
        <f>(1/48)*(6-3*COS(A100)-12*COS(A100)^2+4*COS(A100)^3)*($H$6-$H$5)*$B$3^2</f>
        <v>14.871463095211869</v>
      </c>
      <c r="D100" s="29" t="s">
        <v>60</v>
      </c>
      <c r="E100" s="30">
        <f>(1/16)*(COS(A100)+8*COS(A100)^2-4*COS(A100)^3)*($H$6-$H$5)*$B$3</f>
        <v>3.7658220249980068</v>
      </c>
      <c r="F100" s="29" t="s">
        <v>61</v>
      </c>
      <c r="G100" s="30">
        <f>(1/16)*(SIN(A100)+8*SIN(A100)*COS(A100)-4*SIN(A100)*COS(A100)^2)*($H$6-$H$5)*$B$3</f>
        <v>-10.346510979366906</v>
      </c>
    </row>
    <row r="101" spans="1:7" x14ac:dyDescent="0.5">
      <c r="A101" s="28">
        <f>A103*PI()/180</f>
        <v>1.9198621771937625</v>
      </c>
      <c r="B101" s="29" t="s">
        <v>62</v>
      </c>
      <c r="C101" s="30">
        <f>C69</f>
        <v>0.64283907696636022</v>
      </c>
      <c r="D101" s="29" t="s">
        <v>63</v>
      </c>
      <c r="E101" s="30">
        <f>E69</f>
        <v>0.34105272074688836</v>
      </c>
      <c r="F101" s="29" t="s">
        <v>64</v>
      </c>
      <c r="G101" s="30">
        <f>G69</f>
        <v>0.93703464909563883</v>
      </c>
    </row>
    <row r="102" spans="1:7" x14ac:dyDescent="0.5">
      <c r="A102" s="24">
        <f>A103*PI()/180</f>
        <v>1.9198621771937625</v>
      </c>
      <c r="B102" s="25" t="s">
        <v>65</v>
      </c>
      <c r="C102" s="26">
        <f>IF(A102&lt;0.5*PI(),((3/8)*PI()-A102*SIN(A102)-(5/6)*COS(A102))*$H$7*$B$3^2, IF(A102&lt;=PI(), ((-1/8)*PI()+(PI()-A102)*SIN(A102)-(5/6)*COS(A102)-0.5*PI()*SIN(A102)^2)*$H$7*$B$3^2,0))</f>
        <v>-3.0119427754529138</v>
      </c>
      <c r="D102" s="25" t="s">
        <v>66</v>
      </c>
      <c r="E102" s="26">
        <f>IF(A102&lt;0.5*PI(),(A102*SIN(A102)-(1/6)*COS(A102))*$H$7*$B$3, IF(A102&lt;=PI(),(-PI()*SIN(A102)+A102*SIN(A102)+PI()*SIN(A102)^2-(1/6)*COS(A102))*$H$7*$B$3,0))</f>
        <v>8.9432982663642502</v>
      </c>
      <c r="F102" s="25" t="s">
        <v>67</v>
      </c>
      <c r="G102" s="26">
        <f>IF(A102&lt;0.5*PI(),-(A102*COS(A102)+(1/6)*SIN(A102))*$H$7*$B$3, IF(A102&lt;=PI(),((PI()-A102)*COS(A102)-PI()*SIN(A102)*COS(A102)-(1/6)*SIN(A102))*$H$7*$B$3,0))</f>
        <v>2.3126319253721372</v>
      </c>
    </row>
    <row r="103" spans="1:7" x14ac:dyDescent="0.5">
      <c r="A103" s="3">
        <v>110</v>
      </c>
      <c r="B103" s="1" t="s">
        <v>12</v>
      </c>
      <c r="C103" s="2">
        <f>SUM(C98:C102)</f>
        <v>-1.0991890204602819</v>
      </c>
      <c r="D103" s="1" t="s">
        <v>13</v>
      </c>
      <c r="E103" s="2">
        <f>SUM(E98:E102)</f>
        <v>369.63081272732092</v>
      </c>
      <c r="F103" s="1" t="s">
        <v>8</v>
      </c>
      <c r="G103" s="2">
        <f>SUM(G98:G102)</f>
        <v>6.8640782376701139</v>
      </c>
    </row>
    <row r="105" spans="1:7" ht="24" x14ac:dyDescent="0.5">
      <c r="A105" s="27" t="s">
        <v>9</v>
      </c>
      <c r="B105" s="80" t="s">
        <v>10</v>
      </c>
      <c r="C105" s="81"/>
      <c r="D105" s="80" t="s">
        <v>11</v>
      </c>
      <c r="E105" s="81"/>
      <c r="F105" s="80" t="s">
        <v>14</v>
      </c>
      <c r="G105" s="81"/>
    </row>
    <row r="106" spans="1:7" x14ac:dyDescent="0.5">
      <c r="A106" s="21">
        <f>A111*PI()/180</f>
        <v>2.0943951023931953</v>
      </c>
      <c r="B106" s="22" t="s">
        <v>53</v>
      </c>
      <c r="C106" s="23">
        <f>0.25*(1-2*SIN(A106)^2)*$H$4*$B$3^2</f>
        <v>-73.914671250000026</v>
      </c>
      <c r="D106" s="22" t="s">
        <v>54</v>
      </c>
      <c r="E106" s="23">
        <f>SIN(A106)^2*$H$4*$B$3</f>
        <v>271.24650000000003</v>
      </c>
      <c r="F106" s="22" t="s">
        <v>55</v>
      </c>
      <c r="G106" s="23">
        <f>-$H$4*$B$3*SIN(A106)*COS(A106)</f>
        <v>156.60423979174377</v>
      </c>
    </row>
    <row r="107" spans="1:7" x14ac:dyDescent="0.5">
      <c r="A107" s="28">
        <f>A111*PI()/180</f>
        <v>2.0943951023931953</v>
      </c>
      <c r="B107" s="29" t="s">
        <v>56</v>
      </c>
      <c r="C107" s="30">
        <f>0.25*(1-2*COS(A107)^2)*$H$5*$B$3^2</f>
        <v>65.03689102500006</v>
      </c>
      <c r="D107" s="29" t="s">
        <v>57</v>
      </c>
      <c r="E107" s="30">
        <f>COS(A107)^2*$H$5*$B$3</f>
        <v>79.555829999999929</v>
      </c>
      <c r="F107" s="29" t="s">
        <v>58</v>
      </c>
      <c r="G107" s="30">
        <f>$H$5*$B$3*SIN(A107)*COS(A107)</f>
        <v>-137.79473959831228</v>
      </c>
    </row>
    <row r="108" spans="1:7" x14ac:dyDescent="0.5">
      <c r="A108" s="28">
        <f>A111*PI()/180</f>
        <v>2.0943951023931953</v>
      </c>
      <c r="B108" s="29" t="s">
        <v>59</v>
      </c>
      <c r="C108" s="30">
        <f>(1/48)*(6-3*COS(A108)-12*COS(A108)^2+4*COS(A108)^3)*($H$6-$H$5)*$B$3^2</f>
        <v>10.890273112500006</v>
      </c>
      <c r="D108" s="29" t="s">
        <v>60</v>
      </c>
      <c r="E108" s="30">
        <f>(1/16)*(COS(A108)+8*COS(A108)^2-4*COS(A108)^3)*($H$6-$H$5)*$B$3</f>
        <v>9.9910762499999883</v>
      </c>
      <c r="F108" s="29" t="s">
        <v>61</v>
      </c>
      <c r="G108" s="30">
        <f>(1/16)*(SIN(A108)+8*SIN(A108)*COS(A108)-4*SIN(A108)*COS(A108)^2)*($H$6-$H$5)*$B$3</f>
        <v>-17.305051687294718</v>
      </c>
    </row>
    <row r="109" spans="1:7" x14ac:dyDescent="0.5">
      <c r="A109" s="28">
        <f>A111*PI()/180</f>
        <v>2.0943951023931953</v>
      </c>
      <c r="B109" s="29" t="s">
        <v>62</v>
      </c>
      <c r="C109" s="30">
        <f>C61</f>
        <v>0.35060545944596083</v>
      </c>
      <c r="D109" s="29" t="s">
        <v>63</v>
      </c>
      <c r="E109" s="30">
        <f>E61</f>
        <v>0.62148926238433844</v>
      </c>
      <c r="F109" s="29" t="s">
        <v>64</v>
      </c>
      <c r="G109" s="30">
        <f>G61</f>
        <v>1.0764509788081793</v>
      </c>
    </row>
    <row r="110" spans="1:7" x14ac:dyDescent="0.5">
      <c r="A110" s="24">
        <f>A111*PI()/180</f>
        <v>2.0943951023931953</v>
      </c>
      <c r="B110" s="25" t="s">
        <v>65</v>
      </c>
      <c r="C110" s="26">
        <f>IF(A110&lt;0.5*PI(),((3/8)*PI()-A110*SIN(A110)-(5/6)*COS(A110))*$H$7*$B$3^2, IF(A110&lt;=PI(), ((-1/8)*PI()+(PI()-A110)*SIN(A110)-(5/6)*COS(A110)-0.5*PI()*SIN(A110)^2)*$H$7*$B$3^2,0))</f>
        <v>-2.1479294133985336</v>
      </c>
      <c r="D110" s="25" t="s">
        <v>66</v>
      </c>
      <c r="E110" s="26">
        <f>IF(A110&lt;0.5*PI(),(A110*SIN(A110)-(1/6)*COS(A110))*$H$7*$B$3, IF(A110&lt;=PI(),(-PI()*SIN(A110)+A110*SIN(A110)+PI()*SIN(A110)^2-(1/6)*COS(A110))*$H$7*$B$3,0))</f>
        <v>8.1440027864097857</v>
      </c>
      <c r="F110" s="25" t="s">
        <v>67</v>
      </c>
      <c r="G110" s="26">
        <f>IF(A110&lt;0.5*PI(),-(A110*COS(A110)+(1/6)*SIN(A110))*$H$7*$B$3, IF(A110&lt;=PI(),((PI()-A110)*COS(A110)-PI()*SIN(A110)*COS(A110)-(1/6)*SIN(A110))*$H$7*$B$3,0))</f>
        <v>3.6793105367126251</v>
      </c>
    </row>
    <row r="111" spans="1:7" x14ac:dyDescent="0.5">
      <c r="A111" s="3">
        <v>120</v>
      </c>
      <c r="B111" s="1" t="s">
        <v>12</v>
      </c>
      <c r="C111" s="2">
        <f>SUM(C106:C110)</f>
        <v>0.21516893354746669</v>
      </c>
      <c r="D111" s="1" t="s">
        <v>13</v>
      </c>
      <c r="E111" s="2">
        <f>SUM(E106:E110)</f>
        <v>369.55889829879408</v>
      </c>
      <c r="F111" s="1" t="s">
        <v>8</v>
      </c>
      <c r="G111" s="2">
        <f>SUM(G106:G110)</f>
        <v>6.260210021657576</v>
      </c>
    </row>
    <row r="113" spans="1:7" ht="24" x14ac:dyDescent="0.5">
      <c r="A113" s="27" t="s">
        <v>9</v>
      </c>
      <c r="B113" s="80" t="s">
        <v>10</v>
      </c>
      <c r="C113" s="81"/>
      <c r="D113" s="80" t="s">
        <v>11</v>
      </c>
      <c r="E113" s="81"/>
      <c r="F113" s="80" t="s">
        <v>14</v>
      </c>
      <c r="G113" s="81"/>
    </row>
    <row r="114" spans="1:7" x14ac:dyDescent="0.5">
      <c r="A114" s="21">
        <f>A119*PI()/180</f>
        <v>2.2689280275926285</v>
      </c>
      <c r="B114" s="22" t="s">
        <v>53</v>
      </c>
      <c r="C114" s="23">
        <f>0.25*(1-2*SIN(A114)^2)*$H$4*$B$3^2</f>
        <v>-25.670295930825489</v>
      </c>
      <c r="D114" s="22" t="s">
        <v>54</v>
      </c>
      <c r="E114" s="23">
        <f>SIN(A114)^2*$H$4*$B$3</f>
        <v>212.23197361568867</v>
      </c>
      <c r="F114" s="22" t="s">
        <v>55</v>
      </c>
      <c r="G114" s="23">
        <f>-$H$4*$B$3*SIN(A114)*COS(A114)</f>
        <v>178.08377078495062</v>
      </c>
    </row>
    <row r="115" spans="1:7" x14ac:dyDescent="0.5">
      <c r="A115" s="28">
        <f>A119*PI()/180</f>
        <v>2.2689280275926285</v>
      </c>
      <c r="B115" s="29" t="s">
        <v>56</v>
      </c>
      <c r="C115" s="30">
        <f>0.25*(1-2*COS(A115)^2)*$H$5*$B$3^2</f>
        <v>22.587075215227973</v>
      </c>
      <c r="D115" s="29" t="s">
        <v>57</v>
      </c>
      <c r="E115" s="30">
        <f>COS(A115)^2*$H$5*$B$3</f>
        <v>131.48221019543982</v>
      </c>
      <c r="F115" s="29" t="s">
        <v>58</v>
      </c>
      <c r="G115" s="30">
        <f>$H$5*$B$3*SIN(A115)*COS(A115)</f>
        <v>-156.69439636264244</v>
      </c>
    </row>
    <row r="116" spans="1:7" x14ac:dyDescent="0.5">
      <c r="A116" s="28">
        <f>A119*PI()/180</f>
        <v>2.2689280275926285</v>
      </c>
      <c r="B116" s="29" t="s">
        <v>59</v>
      </c>
      <c r="C116" s="30">
        <f>(1/48)*(6-3*COS(A116)-12*COS(A116)^2+4*COS(A116)^3)*($H$6-$H$5)*$B$3^2</f>
        <v>5.1944274128150996</v>
      </c>
      <c r="D116" s="29" t="s">
        <v>60</v>
      </c>
      <c r="E116" s="30">
        <f>(1/16)*(COS(A116)+8*COS(A116)^2-4*COS(A116)^3)*($H$6-$H$5)*$B$3</f>
        <v>18.608165231622074</v>
      </c>
      <c r="F116" s="29" t="s">
        <v>61</v>
      </c>
      <c r="G116" s="30">
        <f>(1/16)*(SIN(A116)+8*SIN(A116)*COS(A116)-4*SIN(A116)*COS(A116)^2)*($H$6-$H$5)*$B$3</f>
        <v>-22.176347766372274</v>
      </c>
    </row>
    <row r="117" spans="1:7" x14ac:dyDescent="0.5">
      <c r="A117" s="28">
        <f>A119*PI()/180</f>
        <v>2.2689280275926285</v>
      </c>
      <c r="B117" s="29" t="s">
        <v>62</v>
      </c>
      <c r="C117" s="30">
        <f>C53</f>
        <v>4.5963202811196806E-2</v>
      </c>
      <c r="D117" s="29" t="s">
        <v>63</v>
      </c>
      <c r="E117" s="30">
        <f>E53</f>
        <v>0.86671515945090272</v>
      </c>
      <c r="F117" s="29" t="s">
        <v>64</v>
      </c>
      <c r="G117" s="30">
        <f>G53</f>
        <v>1.0329109050314769</v>
      </c>
    </row>
    <row r="118" spans="1:7" x14ac:dyDescent="0.5">
      <c r="A118" s="24">
        <f>A119*PI()/180</f>
        <v>2.2689280275926285</v>
      </c>
      <c r="B118" s="25" t="s">
        <v>65</v>
      </c>
      <c r="C118" s="26">
        <f>IF(A118&lt;0.5*PI(),((3/8)*PI()-A118*SIN(A118)-(5/6)*COS(A118))*$H$7*$B$3^2, IF(A118&lt;=PI(), ((-1/8)*PI()+(PI()-A118)*SIN(A118)-(5/6)*COS(A118)-0.5*PI()*SIN(A118)^2)*$H$7*$B$3^2,0))</f>
        <v>-0.95849263540010299</v>
      </c>
      <c r="D118" s="25" t="s">
        <v>66</v>
      </c>
      <c r="E118" s="26">
        <f>IF(A118&lt;0.5*PI(),(A118*SIN(A118)-(1/6)*COS(A118))*$H$7*$B$3, IF(A118&lt;=PI(),(-PI()*SIN(A118)+A118*SIN(A118)+PI()*SIN(A118)^2-(1/6)*COS(A118))*$H$7*$B$3,0))</f>
        <v>6.8132563868432561</v>
      </c>
      <c r="F118" s="25" t="s">
        <v>67</v>
      </c>
      <c r="G118" s="26">
        <f>IF(A118&lt;0.5*PI(),-(A118*COS(A118)+(1/6)*SIN(A118))*$H$7*$B$3, IF(A118&lt;=PI(),((PI()-A118)*COS(A118)-PI()*SIN(A118)*COS(A118)-(1/6)*SIN(A118))*$H$7*$B$3,0))</f>
        <v>4.5608995907015242</v>
      </c>
    </row>
    <row r="119" spans="1:7" x14ac:dyDescent="0.5">
      <c r="A119" s="3">
        <v>130</v>
      </c>
      <c r="B119" s="1" t="s">
        <v>12</v>
      </c>
      <c r="C119" s="2">
        <f>SUM(C114:C118)</f>
        <v>1.1986772646286772</v>
      </c>
      <c r="D119" s="1" t="s">
        <v>13</v>
      </c>
      <c r="E119" s="2">
        <f>SUM(E114:E118)</f>
        <v>370.0023205890447</v>
      </c>
      <c r="F119" s="1" t="s">
        <v>8</v>
      </c>
      <c r="G119" s="2">
        <f>SUM(G114:G118)</f>
        <v>4.8068371516689066</v>
      </c>
    </row>
    <row r="121" spans="1:7" ht="24" x14ac:dyDescent="0.5">
      <c r="A121" s="27" t="s">
        <v>9</v>
      </c>
      <c r="B121" s="80" t="s">
        <v>10</v>
      </c>
      <c r="C121" s="81"/>
      <c r="D121" s="80" t="s">
        <v>11</v>
      </c>
      <c r="E121" s="81"/>
      <c r="F121" s="80" t="s">
        <v>14</v>
      </c>
      <c r="G121" s="81"/>
    </row>
    <row r="122" spans="1:7" x14ac:dyDescent="0.5">
      <c r="A122" s="21">
        <f>A127*PI()/180</f>
        <v>2.4434609527920612</v>
      </c>
      <c r="B122" s="22" t="s">
        <v>53</v>
      </c>
      <c r="C122" s="23">
        <f>0.25*(1-2*SIN(A122)^2)*$H$4*$B$3^2</f>
        <v>25.670295930825439</v>
      </c>
      <c r="D122" s="22" t="s">
        <v>54</v>
      </c>
      <c r="E122" s="23">
        <f>SIN(A122)^2*$H$4*$B$3</f>
        <v>149.43002638431136</v>
      </c>
      <c r="F122" s="22" t="s">
        <v>55</v>
      </c>
      <c r="G122" s="23">
        <f>-$H$4*$B$3*SIN(A122)*COS(A122)</f>
        <v>178.08377078495059</v>
      </c>
    </row>
    <row r="123" spans="1:7" x14ac:dyDescent="0.5">
      <c r="A123" s="28">
        <f>A127*PI()/180</f>
        <v>2.4434609527920612</v>
      </c>
      <c r="B123" s="29" t="s">
        <v>56</v>
      </c>
      <c r="C123" s="30">
        <f>0.25*(1-2*COS(A123)^2)*$H$5*$B$3^2</f>
        <v>-22.587075215227909</v>
      </c>
      <c r="D123" s="29" t="s">
        <v>57</v>
      </c>
      <c r="E123" s="30">
        <f>COS(A123)^2*$H$5*$B$3</f>
        <v>186.74110980456012</v>
      </c>
      <c r="F123" s="29" t="s">
        <v>58</v>
      </c>
      <c r="G123" s="30">
        <f>$H$5*$B$3*SIN(A123)*COS(A123)</f>
        <v>-156.69439636264244</v>
      </c>
    </row>
    <row r="124" spans="1:7" x14ac:dyDescent="0.5">
      <c r="A124" s="28">
        <f>A127*PI()/180</f>
        <v>2.4434609527920612</v>
      </c>
      <c r="B124" s="29" t="s">
        <v>59</v>
      </c>
      <c r="C124" s="30">
        <f>(1/48)*(6-3*COS(A124)-12*COS(A124)^2+4*COS(A124)^3)*($H$6-$H$5)*$B$3^2</f>
        <v>-1.4753299813586831</v>
      </c>
      <c r="D124" s="29" t="s">
        <v>60</v>
      </c>
      <c r="E124" s="30">
        <f>(1/16)*(COS(A124)+8*COS(A124)^2-4*COS(A124)^3)*($H$6-$H$5)*$B$3</f>
        <v>28.607856247078175</v>
      </c>
      <c r="F124" s="29" t="s">
        <v>61</v>
      </c>
      <c r="G124" s="30">
        <f>(1/16)*(SIN(A124)+8*SIN(A124)*COS(A124)-4*SIN(A124)*COS(A124)^2)*($H$6-$H$5)*$B$3</f>
        <v>-24.004841625695953</v>
      </c>
    </row>
    <row r="125" spans="1:7" x14ac:dyDescent="0.5">
      <c r="A125" s="28">
        <f>A127*PI()/180</f>
        <v>2.4434609527920612</v>
      </c>
      <c r="B125" s="29" t="s">
        <v>62</v>
      </c>
      <c r="C125" s="30">
        <f>C45</f>
        <v>-0.22806764943573885</v>
      </c>
      <c r="D125" s="29" t="s">
        <v>63</v>
      </c>
      <c r="E125" s="30">
        <f>E45</f>
        <v>1.0416574014568158</v>
      </c>
      <c r="F125" s="29" t="s">
        <v>64</v>
      </c>
      <c r="G125" s="30">
        <f>G45</f>
        <v>0.87405434137549809</v>
      </c>
    </row>
    <row r="126" spans="1:7" x14ac:dyDescent="0.5">
      <c r="A126" s="24">
        <f>A127*PI()/180</f>
        <v>2.4434609527920612</v>
      </c>
      <c r="B126" s="25" t="s">
        <v>65</v>
      </c>
      <c r="C126" s="26">
        <f>IF(A126&lt;0.5*PI(),((3/8)*PI()-A126*SIN(A126)-(5/6)*COS(A126))*$H$7*$B$3^2, IF(A126&lt;=PI(), ((-1/8)*PI()+(PI()-A126)*SIN(A126)-(5/6)*COS(A126)-0.5*PI()*SIN(A126)^2)*$H$7*$B$3^2,0))</f>
        <v>0.39449074407602441</v>
      </c>
      <c r="D126" s="25" t="s">
        <v>66</v>
      </c>
      <c r="E126" s="26">
        <f>IF(A126&lt;0.5*PI(),(A126*SIN(A126)-(1/6)*COS(A126))*$H$7*$B$3, IF(A126&lt;=PI(),(-PI()*SIN(A126)+A126*SIN(A126)+PI()*SIN(A126)^2-(1/6)*COS(A126))*$H$7*$B$3,0))</f>
        <v>5.1912897097187587</v>
      </c>
      <c r="F126" s="25" t="s">
        <v>67</v>
      </c>
      <c r="G126" s="26">
        <f>IF(A126&lt;0.5*PI(),-(A126*COS(A126)+(1/6)*SIN(A126))*$H$7*$B$3, IF(A126&lt;=PI(),((PI()-A126)*COS(A126)-PI()*SIN(A126)*COS(A126)-(1/6)*SIN(A126))*$H$7*$B$3,0))</f>
        <v>4.8089502475914285</v>
      </c>
    </row>
    <row r="127" spans="1:7" x14ac:dyDescent="0.5">
      <c r="A127" s="3">
        <v>140</v>
      </c>
      <c r="B127" s="1" t="s">
        <v>12</v>
      </c>
      <c r="C127" s="2">
        <f>SUM(C122:C126)</f>
        <v>1.7743138288791329</v>
      </c>
      <c r="D127" s="1" t="s">
        <v>13</v>
      </c>
      <c r="E127" s="2">
        <f>SUM(E122:E126)</f>
        <v>371.01193954712528</v>
      </c>
      <c r="F127" s="1" t="s">
        <v>8</v>
      </c>
      <c r="G127" s="2">
        <f>SUM(G122:G126)</f>
        <v>3.0675373855791253</v>
      </c>
    </row>
    <row r="129" spans="1:7" ht="24" x14ac:dyDescent="0.5">
      <c r="A129" s="27" t="s">
        <v>9</v>
      </c>
      <c r="B129" s="80" t="s">
        <v>10</v>
      </c>
      <c r="C129" s="81"/>
      <c r="D129" s="80" t="s">
        <v>11</v>
      </c>
      <c r="E129" s="81"/>
      <c r="F129" s="80" t="s">
        <v>14</v>
      </c>
      <c r="G129" s="81"/>
    </row>
    <row r="130" spans="1:7" x14ac:dyDescent="0.5">
      <c r="A130" s="21">
        <f>A135*PI()/180</f>
        <v>2.6179938779914944</v>
      </c>
      <c r="B130" s="22" t="s">
        <v>53</v>
      </c>
      <c r="C130" s="23">
        <f>0.25*(1-2*SIN(A130)^2)*$H$4*$B$3^2</f>
        <v>73.914671250000012</v>
      </c>
      <c r="D130" s="22" t="s">
        <v>54</v>
      </c>
      <c r="E130" s="23">
        <f>SIN(A130)^2*$H$4*$B$3</f>
        <v>90.415499999999966</v>
      </c>
      <c r="F130" s="22" t="s">
        <v>55</v>
      </c>
      <c r="G130" s="23">
        <f>-$H$4*$B$3*SIN(A130)*COS(A130)</f>
        <v>156.60423979174379</v>
      </c>
    </row>
    <row r="131" spans="1:7" x14ac:dyDescent="0.5">
      <c r="A131" s="28">
        <f>A135*PI()/180</f>
        <v>2.6179938779914944</v>
      </c>
      <c r="B131" s="29" t="s">
        <v>56</v>
      </c>
      <c r="C131" s="30">
        <f>0.25*(1-2*COS(A131)^2)*$H$5*$B$3^2</f>
        <v>-65.036891025000031</v>
      </c>
      <c r="D131" s="29" t="s">
        <v>57</v>
      </c>
      <c r="E131" s="30">
        <f>COS(A131)^2*$H$5*$B$3</f>
        <v>238.66749000000004</v>
      </c>
      <c r="F131" s="29" t="s">
        <v>58</v>
      </c>
      <c r="G131" s="30">
        <f>$H$5*$B$3*SIN(A131)*COS(A131)</f>
        <v>-137.7947395983123</v>
      </c>
    </row>
    <row r="132" spans="1:7" x14ac:dyDescent="0.5">
      <c r="A132" s="28">
        <f>A135*PI()/180</f>
        <v>2.6179938779914944</v>
      </c>
      <c r="B132" s="29" t="s">
        <v>59</v>
      </c>
      <c r="C132" s="30">
        <f>(1/48)*(6-3*COS(A132)-12*COS(A132)^2+4*COS(A132)^3)*($H$6-$H$5)*$B$3^2</f>
        <v>-8.1677048343750052</v>
      </c>
      <c r="D132" s="29" t="s">
        <v>60</v>
      </c>
      <c r="E132" s="30">
        <f>(1/16)*(COS(A132)+8*COS(A132)^2-4*COS(A132)^3)*($H$6-$H$5)*$B$3</f>
        <v>38.625754593647365</v>
      </c>
      <c r="F132" s="29" t="s">
        <v>61</v>
      </c>
      <c r="G132" s="30">
        <f>(1/16)*(SIN(A132)+8*SIN(A132)*COS(A132)-4*SIN(A132)*COS(A132)^2)*($H$6-$H$5)*$B$3</f>
        <v>-22.300589812294728</v>
      </c>
    </row>
    <row r="133" spans="1:7" x14ac:dyDescent="0.5">
      <c r="A133" s="28">
        <f>A135*PI()/180</f>
        <v>2.6179938779914944</v>
      </c>
      <c r="B133" s="29" t="s">
        <v>62</v>
      </c>
      <c r="C133" s="30">
        <f>C37</f>
        <v>-0.45035052164962297</v>
      </c>
      <c r="D133" s="29" t="s">
        <v>63</v>
      </c>
      <c r="E133" s="30">
        <f>E37</f>
        <v>1.1776102284989469</v>
      </c>
      <c r="F133" s="29" t="s">
        <v>64</v>
      </c>
      <c r="G133" s="30">
        <f>G37</f>
        <v>0.67989358242432352</v>
      </c>
    </row>
    <row r="134" spans="1:7" x14ac:dyDescent="0.5">
      <c r="A134" s="24">
        <f>A135*PI()/180</f>
        <v>2.6179938779914944</v>
      </c>
      <c r="B134" s="25" t="s">
        <v>65</v>
      </c>
      <c r="C134" s="26">
        <f>IF(A134&lt;0.5*PI(),((3/8)*PI()-A134*SIN(A134)-(5/6)*COS(A134))*$H$7*$B$3^2, IF(A134&lt;=PI(), ((-1/8)*PI()+(PI()-A134)*SIN(A134)-(5/6)*COS(A134)-0.5*PI()*SIN(A134)^2)*$H$7*$B$3^2,0))</f>
        <v>1.7209940468314247</v>
      </c>
      <c r="D134" s="25" t="s">
        <v>66</v>
      </c>
      <c r="E134" s="26">
        <f>IF(A134&lt;0.5*PI(),(A134*SIN(A134)-(1/6)*COS(A134))*$H$7*$B$3, IF(A134&lt;=PI(),(-PI()*SIN(A134)+A134*SIN(A134)+PI()*SIN(A134)^2-(1/6)*COS(A134))*$H$7*$B$3,0))</f>
        <v>3.5492467420620533</v>
      </c>
      <c r="F134" s="25" t="s">
        <v>67</v>
      </c>
      <c r="G134" s="26">
        <f>IF(A134&lt;0.5*PI(),-(A134*COS(A134)+(1/6)*SIN(A134))*$H$7*$B$3, IF(A134&lt;=PI(),((PI()-A134)*COS(A134)-PI()*SIN(A134)*COS(A134)-(1/6)*SIN(A134))*$H$7*$B$3,0))</f>
        <v>4.3762256858497874</v>
      </c>
    </row>
    <row r="135" spans="1:7" x14ac:dyDescent="0.5">
      <c r="A135" s="3">
        <v>150</v>
      </c>
      <c r="B135" s="1" t="s">
        <v>12</v>
      </c>
      <c r="C135" s="2">
        <f>SUM(C130:C134)</f>
        <v>1.9807189158067775</v>
      </c>
      <c r="D135" s="1" t="s">
        <v>13</v>
      </c>
      <c r="E135" s="2">
        <f>SUM(E130:E134)</f>
        <v>372.43560156420835</v>
      </c>
      <c r="F135" s="1" t="s">
        <v>8</v>
      </c>
      <c r="G135" s="2">
        <f>SUM(G130:G134)</f>
        <v>1.5650296494108726</v>
      </c>
    </row>
    <row r="137" spans="1:7" ht="24" x14ac:dyDescent="0.5">
      <c r="A137" s="27" t="s">
        <v>9</v>
      </c>
      <c r="B137" s="80" t="s">
        <v>10</v>
      </c>
      <c r="C137" s="81"/>
      <c r="D137" s="80" t="s">
        <v>11</v>
      </c>
      <c r="E137" s="81"/>
      <c r="F137" s="80" t="s">
        <v>14</v>
      </c>
      <c r="G137" s="81"/>
    </row>
    <row r="138" spans="1:7" x14ac:dyDescent="0.5">
      <c r="A138" s="21">
        <f>A143*PI()/180</f>
        <v>2.7925268031909272</v>
      </c>
      <c r="B138" s="22" t="s">
        <v>53</v>
      </c>
      <c r="C138" s="23">
        <f>0.25*(1-2*SIN(A138)^2)*$H$4*$B$3^2</f>
        <v>113.24384635205715</v>
      </c>
      <c r="D138" s="22" t="s">
        <v>54</v>
      </c>
      <c r="E138" s="23">
        <f>SIN(A138)^2*$H$4*$B$3</f>
        <v>42.30641730635211</v>
      </c>
      <c r="F138" s="22" t="s">
        <v>55</v>
      </c>
      <c r="G138" s="23">
        <f>-$H$4*$B$3*SIN(A138)*COS(A138)</f>
        <v>116.23592624722662</v>
      </c>
    </row>
    <row r="139" spans="1:7" x14ac:dyDescent="0.5">
      <c r="A139" s="28">
        <f>A143*PI()/180</f>
        <v>2.7925268031909272</v>
      </c>
      <c r="B139" s="29" t="s">
        <v>56</v>
      </c>
      <c r="C139" s="30">
        <f>0.25*(1-2*COS(A139)^2)*$H$5*$B$3^2</f>
        <v>-99.642297934871522</v>
      </c>
      <c r="D139" s="29" t="s">
        <v>57</v>
      </c>
      <c r="E139" s="30">
        <f>COS(A139)^2*$H$5*$B$3</f>
        <v>280.99826297843612</v>
      </c>
      <c r="F139" s="29" t="s">
        <v>58</v>
      </c>
      <c r="G139" s="30">
        <f>$H$5*$B$3*SIN(A139)*COS(A139)</f>
        <v>-102.27500360465739</v>
      </c>
    </row>
    <row r="140" spans="1:7" x14ac:dyDescent="0.5">
      <c r="A140" s="28">
        <f>A143*PI()/180</f>
        <v>2.7925268031909272</v>
      </c>
      <c r="B140" s="29" t="s">
        <v>59</v>
      </c>
      <c r="C140" s="30">
        <f>(1/48)*(6-3*COS(A140)-12*COS(A140)^2+4*COS(A140)^3)*($H$6-$H$5)*$B$3^2</f>
        <v>-13.874933941880455</v>
      </c>
      <c r="D140" s="29" t="s">
        <v>60</v>
      </c>
      <c r="E140" s="30">
        <f>(1/16)*(COS(A140)+8*COS(A140)^2-4*COS(A140)^3)*($H$6-$H$5)*$B$3</f>
        <v>47.175679072515329</v>
      </c>
      <c r="F140" s="29" t="s">
        <v>61</v>
      </c>
      <c r="G140" s="30">
        <f>(1/16)*(SIN(A140)+8*SIN(A140)*COS(A140)-4*SIN(A140)*COS(A140)^2)*($H$6-$H$5)*$B$3</f>
        <v>-17.170542963690593</v>
      </c>
    </row>
    <row r="141" spans="1:7" x14ac:dyDescent="0.5">
      <c r="A141" s="28">
        <f>A143*PI()/180</f>
        <v>2.7925268031909272</v>
      </c>
      <c r="B141" s="29" t="s">
        <v>62</v>
      </c>
      <c r="C141" s="30">
        <f>C29</f>
        <v>-0.6141313102527779</v>
      </c>
      <c r="D141" s="29" t="s">
        <v>63</v>
      </c>
      <c r="E141" s="30">
        <f>E29</f>
        <v>1.2777819646476656</v>
      </c>
      <c r="F141" s="29" t="s">
        <v>64</v>
      </c>
      <c r="G141" s="30">
        <f>G29</f>
        <v>0.46507460101393899</v>
      </c>
    </row>
    <row r="142" spans="1:7" x14ac:dyDescent="0.5">
      <c r="A142" s="24">
        <f>A143*PI()/180</f>
        <v>2.7925268031909272</v>
      </c>
      <c r="B142" s="25" t="s">
        <v>65</v>
      </c>
      <c r="C142" s="26">
        <f>IF(A142&lt;0.5*PI(),((3/8)*PI()-A142*SIN(A142)-(5/6)*COS(A142))*$H$7*$B$3^2, IF(A142&lt;=PI(), ((-1/8)*PI()+(PI()-A142)*SIN(A142)-(5/6)*COS(A142)-0.5*PI()*SIN(A142)^2)*$H$7*$B$3^2,0))</f>
        <v>2.8324329696005432</v>
      </c>
      <c r="D142" s="25" t="s">
        <v>66</v>
      </c>
      <c r="E142" s="26">
        <f>IF(A142&lt;0.5*PI(),(A142*SIN(A142)-(1/6)*COS(A142))*$H$7*$B$3, IF(A142&lt;=PI(),(-PI()*SIN(A142)+A142*SIN(A142)+PI()*SIN(A142)^2-(1/6)*COS(A142))*$H$7*$B$3,0))</f>
        <v>2.1506043548717706</v>
      </c>
      <c r="F142" s="25" t="s">
        <v>67</v>
      </c>
      <c r="G142" s="26">
        <f>IF(A142&lt;0.5*PI(),-(A142*COS(A142)+(1/6)*SIN(A142))*$H$7*$B$3, IF(A142&lt;=PI(),((PI()-A142)*COS(A142)-PI()*SIN(A142)*COS(A142)-(1/6)*SIN(A142))*$H$7*$B$3,0))</f>
        <v>3.3193426312965286</v>
      </c>
    </row>
    <row r="143" spans="1:7" x14ac:dyDescent="0.5">
      <c r="A143" s="3">
        <v>160</v>
      </c>
      <c r="B143" s="1" t="s">
        <v>12</v>
      </c>
      <c r="C143" s="2">
        <f>SUM(C138:C142)</f>
        <v>1.9449161346529362</v>
      </c>
      <c r="D143" s="1" t="s">
        <v>13</v>
      </c>
      <c r="E143" s="2">
        <f>SUM(E138:E142)</f>
        <v>373.90874567682295</v>
      </c>
      <c r="F143" s="1" t="s">
        <v>8</v>
      </c>
      <c r="G143" s="2">
        <f>SUM(G138:G142)</f>
        <v>0.57479691118910425</v>
      </c>
    </row>
    <row r="145" spans="1:7" ht="24" x14ac:dyDescent="0.5">
      <c r="A145" s="27" t="s">
        <v>9</v>
      </c>
      <c r="B145" s="80" t="s">
        <v>10</v>
      </c>
      <c r="C145" s="81"/>
      <c r="D145" s="80" t="s">
        <v>11</v>
      </c>
      <c r="E145" s="81"/>
      <c r="F145" s="80" t="s">
        <v>14</v>
      </c>
      <c r="G145" s="81"/>
    </row>
    <row r="146" spans="1:7" x14ac:dyDescent="0.5">
      <c r="A146" s="21">
        <f>A151*PI()/180</f>
        <v>2.9670597283903604</v>
      </c>
      <c r="B146" s="22" t="s">
        <v>53</v>
      </c>
      <c r="C146" s="23">
        <f>0.25*(1-2*SIN(A146)^2)*$H$4*$B$3^2</f>
        <v>138.91414228288266</v>
      </c>
      <c r="D146" s="22" t="s">
        <v>54</v>
      </c>
      <c r="E146" s="23">
        <f>SIN(A146)^2*$H$4*$B$3</f>
        <v>10.905443690663391</v>
      </c>
      <c r="F146" s="22" t="s">
        <v>55</v>
      </c>
      <c r="G146" s="23">
        <f>-$H$4*$B$3*SIN(A146)*COS(A146)</f>
        <v>61.847844537723972</v>
      </c>
    </row>
    <row r="147" spans="1:7" x14ac:dyDescent="0.5">
      <c r="A147" s="28">
        <f>A151*PI()/180</f>
        <v>2.9670597283903604</v>
      </c>
      <c r="B147" s="29" t="s">
        <v>56</v>
      </c>
      <c r="C147" s="30">
        <f>0.25*(1-2*COS(A147)^2)*$H$5*$B$3^2</f>
        <v>-122.22937315009952</v>
      </c>
      <c r="D147" s="29" t="s">
        <v>57</v>
      </c>
      <c r="E147" s="30">
        <f>COS(A147)^2*$H$5*$B$3</f>
        <v>308.62771278299635</v>
      </c>
      <c r="F147" s="29" t="s">
        <v>58</v>
      </c>
      <c r="G147" s="30">
        <f>$H$5*$B$3*SIN(A147)*COS(A147)</f>
        <v>-54.419392757985044</v>
      </c>
    </row>
    <row r="148" spans="1:7" x14ac:dyDescent="0.5">
      <c r="A148" s="28">
        <f>A151*PI()/180</f>
        <v>2.9670597283903604</v>
      </c>
      <c r="B148" s="29" t="s">
        <v>59</v>
      </c>
      <c r="C148" s="30">
        <f>(1/48)*(6-3*COS(A148)-12*COS(A148)^2+4*COS(A148)^3)*($H$6-$H$5)*$B$3^2</f>
        <v>-17.708077215633061</v>
      </c>
      <c r="D148" s="29" t="s">
        <v>60</v>
      </c>
      <c r="E148" s="30">
        <f>(1/16)*(COS(A148)+8*COS(A148)^2-4*COS(A148)^3)*($H$6-$H$5)*$B$3</f>
        <v>52.92478602542851</v>
      </c>
      <c r="F148" s="29" t="s">
        <v>61</v>
      </c>
      <c r="G148" s="30">
        <f>(1/16)*(SIN(A148)+8*SIN(A148)*COS(A148)-4*SIN(A148)*COS(A148)^2)*($H$6-$H$5)*$B$3</f>
        <v>-9.3320677245053663</v>
      </c>
    </row>
    <row r="149" spans="1:7" x14ac:dyDescent="0.5">
      <c r="A149" s="28">
        <f>A151*PI()/180</f>
        <v>2.9670597283903604</v>
      </c>
      <c r="B149" s="29" t="s">
        <v>62</v>
      </c>
      <c r="C149" s="30">
        <f>C21</f>
        <v>-0.71443361886057477</v>
      </c>
      <c r="D149" s="29" t="s">
        <v>63</v>
      </c>
      <c r="E149" s="30">
        <f>E21</f>
        <v>1.339128942389437</v>
      </c>
      <c r="F149" s="29" t="s">
        <v>64</v>
      </c>
      <c r="G149" s="30">
        <f>G21</f>
        <v>0.23612456319084937</v>
      </c>
    </row>
    <row r="150" spans="1:7" x14ac:dyDescent="0.5">
      <c r="A150" s="24">
        <f>A151*PI()/180</f>
        <v>2.9670597283903604</v>
      </c>
      <c r="B150" s="25" t="s">
        <v>65</v>
      </c>
      <c r="C150" s="26">
        <f>IF(A150&lt;0.5*PI(),((3/8)*PI()-A150*SIN(A150)-(5/6)*COS(A150))*$H$7*$B$3^2, IF(A150&lt;=PI(), ((-1/8)*PI()+(PI()-A150)*SIN(A150)-(5/6)*COS(A150)-0.5*PI()*SIN(A150)^2)*$H$7*$B$3^2,0))</f>
        <v>3.5700310710076724</v>
      </c>
      <c r="D150" s="25" t="s">
        <v>66</v>
      </c>
      <c r="E150" s="26">
        <f>IF(A150&lt;0.5*PI(),(A150*SIN(A150)-(1/6)*COS(A150))*$H$7*$B$3, IF(A150&lt;=PI(),(-PI()*SIN(A150)+A150*SIN(A150)+PI()*SIN(A150)^2-(1/6)*COS(A150))*$H$7*$B$3,0))</f>
        <v>1.2144995987600391</v>
      </c>
      <c r="F150" s="25" t="s">
        <v>67</v>
      </c>
      <c r="G150" s="26">
        <f>IF(A150&lt;0.5*PI(),-(A150*COS(A150)+(1/6)*SIN(A150))*$H$7*$B$3, IF(A150&lt;=PI(),((PI()-A150)*COS(A150)-PI()*SIN(A150)*COS(A150)-(1/6)*SIN(A150))*$H$7*$B$3,0))</f>
        <v>1.7876583852467332</v>
      </c>
    </row>
    <row r="151" spans="1:7" x14ac:dyDescent="0.5">
      <c r="A151" s="3">
        <v>170</v>
      </c>
      <c r="B151" s="1" t="s">
        <v>12</v>
      </c>
      <c r="C151" s="2">
        <f>SUM(C146:C150)</f>
        <v>1.832289369297182</v>
      </c>
      <c r="D151" s="1" t="s">
        <v>13</v>
      </c>
      <c r="E151" s="2">
        <f>SUM(E146:E150)</f>
        <v>375.0115710402377</v>
      </c>
      <c r="F151" s="1" t="s">
        <v>8</v>
      </c>
      <c r="G151" s="2">
        <f>SUM(G146:G150)</f>
        <v>0.12016700367114463</v>
      </c>
    </row>
    <row r="153" spans="1:7" ht="24" x14ac:dyDescent="0.5">
      <c r="A153" s="27" t="s">
        <v>9</v>
      </c>
      <c r="B153" s="80" t="s">
        <v>10</v>
      </c>
      <c r="C153" s="81"/>
      <c r="D153" s="80" t="s">
        <v>11</v>
      </c>
      <c r="E153" s="81"/>
      <c r="F153" s="80" t="s">
        <v>14</v>
      </c>
      <c r="G153" s="81"/>
    </row>
    <row r="154" spans="1:7" x14ac:dyDescent="0.5">
      <c r="A154" s="21">
        <f>A159*PI()/180</f>
        <v>3.1415926535897931</v>
      </c>
      <c r="B154" s="22" t="s">
        <v>53</v>
      </c>
      <c r="C154" s="23">
        <f>0.25*(1-2*SIN(A154)^2)*$H$4*$B$3^2</f>
        <v>147.8293425</v>
      </c>
      <c r="D154" s="22" t="s">
        <v>54</v>
      </c>
      <c r="E154" s="23">
        <f>SIN(A154)^2*$H$4*$B$3</f>
        <v>5.4285058844356342E-30</v>
      </c>
      <c r="F154" s="22" t="s">
        <v>55</v>
      </c>
      <c r="G154" s="23">
        <f>-$H$4*$B$3*SIN(A154)*COS(A154)</f>
        <v>4.4308964049916133E-14</v>
      </c>
    </row>
    <row r="155" spans="1:7" x14ac:dyDescent="0.5">
      <c r="A155" s="28">
        <f>A159*PI()/180</f>
        <v>3.1415926535897931</v>
      </c>
      <c r="B155" s="29" t="s">
        <v>56</v>
      </c>
      <c r="C155" s="30">
        <f>0.25*(1-2*COS(A155)^2)*$H$5*$B$3^2</f>
        <v>-130.07378205000001</v>
      </c>
      <c r="D155" s="29" t="s">
        <v>57</v>
      </c>
      <c r="E155" s="30">
        <f>COS(A155)^2*$H$5*$B$3</f>
        <v>318.22332</v>
      </c>
      <c r="F155" s="29" t="s">
        <v>58</v>
      </c>
      <c r="G155" s="30">
        <f>$H$5*$B$3*SIN(A155)*COS(A155)</f>
        <v>-3.8987080881389135E-14</v>
      </c>
    </row>
    <row r="156" spans="1:7" x14ac:dyDescent="0.5">
      <c r="A156" s="28">
        <f>A159*PI()/180</f>
        <v>3.1415926535897931</v>
      </c>
      <c r="B156" s="29" t="s">
        <v>59</v>
      </c>
      <c r="C156" s="30">
        <f>(1/48)*(6-3*COS(A156)-12*COS(A156)^2+4*COS(A156)^3)*($H$6-$H$5)*$B$3^2</f>
        <v>-19.057977946874995</v>
      </c>
      <c r="D156" s="29" t="s">
        <v>60</v>
      </c>
      <c r="E156" s="30">
        <f>(1/16)*(COS(A156)+8*COS(A156)^2-4*COS(A156)^3)*($H$6-$H$5)*$B$3</f>
        <v>54.950919374999998</v>
      </c>
      <c r="F156" s="29" t="s">
        <v>61</v>
      </c>
      <c r="G156" s="30">
        <f>(1/16)*(SIN(A156)+8*SIN(A156)*COS(A156)-4*SIN(A156)*COS(A156)^2)*($H$6-$H$5)*$B$3</f>
        <v>-6.7323033968089396E-15</v>
      </c>
    </row>
    <row r="157" spans="1:7" x14ac:dyDescent="0.5">
      <c r="A157" s="28">
        <f>A159*PI()/180</f>
        <v>3.1415926535897931</v>
      </c>
      <c r="B157" s="29" t="s">
        <v>62</v>
      </c>
      <c r="C157" s="30">
        <f>C13</f>
        <v>-0.74820981258138319</v>
      </c>
      <c r="D157" s="29" t="s">
        <v>63</v>
      </c>
      <c r="E157" s="30">
        <f>E13</f>
        <v>1.359787164848647</v>
      </c>
      <c r="F157" s="29" t="s">
        <v>64</v>
      </c>
      <c r="G157" s="30">
        <f>G13</f>
        <v>0</v>
      </c>
    </row>
    <row r="158" spans="1:7" x14ac:dyDescent="0.5">
      <c r="A158" s="24">
        <f>A159*PI()/180</f>
        <v>3.1415926535897931</v>
      </c>
      <c r="B158" s="25" t="s">
        <v>65</v>
      </c>
      <c r="C158" s="26">
        <f>IF(A158&lt;0.5*PI(),((3/8)*PI()-A158*SIN(A158)-(5/6)*COS(A158))*$H$7*$B$3^2, IF(A158&lt;=PI(), ((-1/8)*PI()+(PI()-A158)*SIN(A158)-(5/6)*COS(A158)-0.5*PI()*SIN(A158)^2)*$H$7*$B$3^2,0))</f>
        <v>3.8282221163092665</v>
      </c>
      <c r="D158" s="25" t="s">
        <v>66</v>
      </c>
      <c r="E158" s="26">
        <f>IF(A158&lt;0.5*PI(),(A158*SIN(A158)-(1/6)*COS(A158))*$H$7*$B$3, IF(A158&lt;=PI(),(-PI()*SIN(A158)+A158*SIN(A158)+PI()*SIN(A158)^2-(1/6)*COS(A158))*$H$7*$B$3,0))</f>
        <v>0.885625</v>
      </c>
      <c r="F158" s="25" t="s">
        <v>67</v>
      </c>
      <c r="G158" s="26">
        <f>IF(A158&lt;0.5*PI(),-(A158*COS(A158)+(1/6)*SIN(A158))*$H$7*$B$3, IF(A158&lt;=PI(),((PI()-A158)*COS(A158)-PI()*SIN(A158)*COS(A158)-(1/6)*SIN(A158))*$H$7*$B$3,0))</f>
        <v>1.9367162656810523E-15</v>
      </c>
    </row>
    <row r="159" spans="1:7" x14ac:dyDescent="0.5">
      <c r="A159" s="3">
        <v>180</v>
      </c>
      <c r="B159" s="1" t="s">
        <v>12</v>
      </c>
      <c r="C159" s="2">
        <f>SUM(C154:C158)</f>
        <v>1.777594806852878</v>
      </c>
      <c r="D159" s="1" t="s">
        <v>13</v>
      </c>
      <c r="E159" s="2">
        <f>SUM(E154:E158)</f>
        <v>375.41965153984864</v>
      </c>
      <c r="F159" s="1" t="s">
        <v>8</v>
      </c>
      <c r="G159" s="2">
        <f>SUM(G154:G158)</f>
        <v>5.2629603739911043E-16</v>
      </c>
    </row>
  </sheetData>
  <sheetProtection algorithmName="SHA-512" hashValue="G41k4m7FT0p9beQSB4YMh8whSwcgX5BPUheG8Q7jPe1fsVsgOMsnCu6i+6LWxB5dPbmrWaOiqqejv5VdUyGgHA==" saltValue="9RWa0n29/IvyJwQ6Zyp/jA==" spinCount="100000" sheet="1" scenarios="1"/>
  <mergeCells count="57">
    <mergeCell ref="B9:C9"/>
    <mergeCell ref="D9:E9"/>
    <mergeCell ref="F9:G9"/>
    <mergeCell ref="B17:C17"/>
    <mergeCell ref="D17:E17"/>
    <mergeCell ref="F17:G17"/>
    <mergeCell ref="B25:C25"/>
    <mergeCell ref="D25:E25"/>
    <mergeCell ref="F25:G25"/>
    <mergeCell ref="B33:C33"/>
    <mergeCell ref="D33:E33"/>
    <mergeCell ref="F33:G33"/>
    <mergeCell ref="B41:C41"/>
    <mergeCell ref="D41:E41"/>
    <mergeCell ref="F41:G41"/>
    <mergeCell ref="B49:C49"/>
    <mergeCell ref="D49:E49"/>
    <mergeCell ref="F49:G49"/>
    <mergeCell ref="B57:C57"/>
    <mergeCell ref="D57:E57"/>
    <mergeCell ref="F57:G57"/>
    <mergeCell ref="B65:C65"/>
    <mergeCell ref="D65:E65"/>
    <mergeCell ref="F65:G65"/>
    <mergeCell ref="B73:C73"/>
    <mergeCell ref="D73:E73"/>
    <mergeCell ref="F73:G73"/>
    <mergeCell ref="B81:C81"/>
    <mergeCell ref="D81:E81"/>
    <mergeCell ref="F81:G81"/>
    <mergeCell ref="B89:C89"/>
    <mergeCell ref="D89:E89"/>
    <mergeCell ref="F89:G89"/>
    <mergeCell ref="B97:C97"/>
    <mergeCell ref="D97:E97"/>
    <mergeCell ref="F97:G97"/>
    <mergeCell ref="B105:C105"/>
    <mergeCell ref="D105:E105"/>
    <mergeCell ref="F105:G105"/>
    <mergeCell ref="B113:C113"/>
    <mergeCell ref="D113:E113"/>
    <mergeCell ref="F113:G113"/>
    <mergeCell ref="B121:C121"/>
    <mergeCell ref="D121:E121"/>
    <mergeCell ref="F121:G121"/>
    <mergeCell ref="B129:C129"/>
    <mergeCell ref="D129:E129"/>
    <mergeCell ref="F129:G129"/>
    <mergeCell ref="B153:C153"/>
    <mergeCell ref="D153:E153"/>
    <mergeCell ref="F153:G153"/>
    <mergeCell ref="B137:C137"/>
    <mergeCell ref="D137:E137"/>
    <mergeCell ref="F137:G137"/>
    <mergeCell ref="B145:C145"/>
    <mergeCell ref="D145:E145"/>
    <mergeCell ref="F145:G145"/>
  </mergeCells>
  <pageMargins left="0.70866141732283472" right="0.70866141732283472" top="0.74803149606299213" bottom="0.74803149606299213" header="0.31496062992125984" footer="0.31496062992125984"/>
  <pageSetup paperSize="9" scale="3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Continuum</vt:lpstr>
      <vt:lpstr>JSCE</vt:lpstr>
      <vt:lpstr>Continuum!Print_Area</vt:lpstr>
      <vt:lpstr>JSCE!Print_Area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punlop</cp:lastModifiedBy>
  <cp:lastPrinted>2014-07-18T09:14:14Z</cp:lastPrinted>
  <dcterms:created xsi:type="dcterms:W3CDTF">2011-02-11T14:40:28Z</dcterms:created>
  <dcterms:modified xsi:type="dcterms:W3CDTF">2014-07-18T09:15:48Z</dcterms:modified>
</cp:coreProperties>
</file>