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slicers/slicer3.xml" ContentType="application/vnd.ms-excel.slicer+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kram\Google Drive\My Courses (UDEMY and others)\كيف تنظم مصروفك باستخدام الاكسل\01 تسجيل فيديو\06-03 شرح و عمل تقرير الارصدة الفعلية\"/>
    </mc:Choice>
  </mc:AlternateContent>
  <bookViews>
    <workbookView xWindow="240" yWindow="168" windowWidth="20736" windowHeight="9912" tabRatio="747" activeTab="1"/>
  </bookViews>
  <sheets>
    <sheet name="إعدادات الصناديق" sheetId="33" r:id="rId1"/>
    <sheet name="الحركات" sheetId="34" r:id="rId2"/>
    <sheet name="12 شهرا" sheetId="36" r:id="rId3"/>
    <sheet name="الوضع في شهر" sheetId="37" r:id="rId4"/>
    <sheet name="الارصدة الفعلية" sheetId="38" r:id="rId5"/>
    <sheet name="الإعدادات" sheetId="35" r:id="rId6"/>
  </sheets>
  <definedNames>
    <definedName name="Sanadeq">#REF!</definedName>
    <definedName name="Slicer_الصندوق">#N/A</definedName>
    <definedName name="Slicer_رصيد_صفر?">#N/A</definedName>
    <definedName name="Slicer_نوعه">#N/A</definedName>
    <definedName name="Slicer_نوعه1">#N/A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4:slicerCache r:id="rId9"/>
        <x14:slicerCache r:id="rId10"/>
      </x15:slicerCaches>
    </ext>
  </extLst>
</workbook>
</file>

<file path=xl/calcChain.xml><?xml version="1.0" encoding="utf-8"?>
<calcChain xmlns="http://schemas.openxmlformats.org/spreadsheetml/2006/main">
  <c r="F7" i="34" l="1"/>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F40" i="34"/>
  <c r="F41" i="34"/>
  <c r="F42" i="34"/>
  <c r="F43" i="34"/>
  <c r="F44" i="34"/>
  <c r="F45" i="34"/>
  <c r="F46" i="34"/>
  <c r="F47" i="34"/>
  <c r="F48" i="34"/>
  <c r="F49" i="34"/>
  <c r="F50" i="34"/>
  <c r="F51" i="34"/>
  <c r="F52" i="34"/>
  <c r="F53" i="34"/>
  <c r="F54" i="34"/>
  <c r="F55" i="34"/>
  <c r="F56" i="34"/>
  <c r="F57" i="34"/>
  <c r="F58" i="34"/>
  <c r="F59" i="34"/>
  <c r="F60" i="34"/>
  <c r="F61" i="34"/>
  <c r="F62" i="34"/>
  <c r="F63" i="34"/>
  <c r="F64" i="34"/>
  <c r="F65" i="34"/>
  <c r="F66" i="34"/>
  <c r="F67" i="34"/>
  <c r="F68" i="34"/>
  <c r="F69" i="34"/>
  <c r="F70" i="34"/>
  <c r="F71" i="34"/>
  <c r="F72" i="34"/>
  <c r="F73" i="34"/>
  <c r="F74" i="34"/>
  <c r="F75" i="34"/>
  <c r="F76" i="34"/>
  <c r="F77" i="34"/>
  <c r="F78" i="34"/>
  <c r="F79" i="34"/>
  <c r="F80" i="34"/>
  <c r="F81" i="34"/>
  <c r="F82" i="34"/>
  <c r="F83" i="34"/>
  <c r="F84" i="34"/>
  <c r="F85" i="34"/>
  <c r="F86" i="34"/>
  <c r="F87" i="34"/>
  <c r="F88" i="34"/>
  <c r="F89" i="34"/>
  <c r="F90" i="34"/>
  <c r="F91" i="34"/>
  <c r="F92" i="34"/>
  <c r="F93" i="34"/>
  <c r="F94" i="34"/>
  <c r="F95" i="34"/>
  <c r="F96" i="34"/>
  <c r="F97" i="34"/>
  <c r="F98" i="34"/>
  <c r="F99" i="34"/>
  <c r="F100" i="34"/>
  <c r="F101" i="34"/>
  <c r="F102" i="34"/>
  <c r="F103" i="34"/>
  <c r="F104" i="34"/>
  <c r="F105" i="34"/>
  <c r="F106" i="34"/>
  <c r="F107" i="34"/>
  <c r="F108" i="34"/>
  <c r="F109" i="34"/>
  <c r="F110" i="34"/>
  <c r="F111" i="34"/>
  <c r="F112" i="34"/>
  <c r="F113" i="34"/>
  <c r="F114" i="34"/>
  <c r="F115" i="34"/>
  <c r="F116" i="34"/>
  <c r="F117" i="34"/>
  <c r="F118" i="34"/>
  <c r="F119" i="34"/>
  <c r="F120" i="34"/>
  <c r="F121" i="34"/>
  <c r="F122" i="34"/>
  <c r="F123" i="34"/>
  <c r="F124" i="34"/>
  <c r="F125" i="34"/>
  <c r="F126" i="34"/>
  <c r="F127" i="34"/>
  <c r="F128" i="34"/>
  <c r="F129" i="34"/>
  <c r="F130" i="34"/>
  <c r="F131" i="34"/>
  <c r="F132" i="34"/>
  <c r="F133" i="34"/>
  <c r="F134" i="34"/>
  <c r="F135" i="34"/>
  <c r="F136" i="34"/>
  <c r="F137" i="34"/>
  <c r="F138" i="34"/>
  <c r="F139" i="34"/>
  <c r="F140" i="34"/>
  <c r="F141" i="34"/>
  <c r="F142" i="34"/>
  <c r="F143" i="34"/>
  <c r="F144" i="34"/>
  <c r="F145" i="34"/>
  <c r="F146" i="34"/>
  <c r="F147" i="34"/>
  <c r="F148" i="34"/>
  <c r="F149" i="34"/>
  <c r="F150" i="34"/>
  <c r="F151" i="34"/>
  <c r="F152" i="34"/>
  <c r="F153" i="34"/>
  <c r="F154" i="34"/>
  <c r="F155" i="34"/>
  <c r="F156" i="34"/>
  <c r="F157" i="34"/>
  <c r="F158" i="34"/>
  <c r="F159" i="34"/>
  <c r="F160" i="34"/>
  <c r="F161" i="34"/>
  <c r="F162" i="34"/>
  <c r="F163" i="34"/>
  <c r="F164" i="34"/>
  <c r="F165" i="34"/>
  <c r="F166" i="34"/>
  <c r="F167" i="34"/>
  <c r="F168" i="34"/>
  <c r="F169" i="34"/>
  <c r="F170" i="34"/>
  <c r="F171" i="34"/>
  <c r="F172" i="34"/>
  <c r="F173" i="34"/>
  <c r="F174" i="34"/>
  <c r="F175" i="34"/>
  <c r="F176" i="34"/>
  <c r="F177" i="34"/>
  <c r="F178" i="34"/>
  <c r="F179" i="34"/>
  <c r="F180" i="34"/>
  <c r="F181" i="34"/>
  <c r="F182" i="34"/>
  <c r="F183" i="34"/>
  <c r="F184" i="34"/>
  <c r="F185" i="34"/>
  <c r="F186" i="34"/>
  <c r="F187" i="34"/>
  <c r="F188" i="34"/>
  <c r="F189" i="34"/>
  <c r="F190" i="34"/>
  <c r="F191" i="34"/>
  <c r="F192" i="34"/>
  <c r="F193" i="34"/>
  <c r="F194" i="34"/>
  <c r="F195" i="34"/>
  <c r="F196" i="34"/>
  <c r="F197" i="34"/>
  <c r="F198" i="34"/>
  <c r="F199" i="34"/>
  <c r="F200" i="34"/>
  <c r="F201" i="34"/>
  <c r="F202" i="34"/>
  <c r="F203" i="34"/>
  <c r="F204" i="34"/>
  <c r="F205" i="34"/>
  <c r="F206" i="34"/>
  <c r="F207" i="34"/>
  <c r="F208" i="34"/>
  <c r="F209" i="34"/>
  <c r="F210" i="34"/>
  <c r="F211" i="34"/>
  <c r="F212" i="34"/>
  <c r="F213" i="34"/>
  <c r="F214" i="34"/>
  <c r="F215" i="34"/>
  <c r="F216" i="34"/>
  <c r="F217" i="34"/>
  <c r="F218" i="34"/>
  <c r="F219" i="34"/>
  <c r="F220" i="34"/>
  <c r="F221" i="34"/>
  <c r="F222" i="34"/>
  <c r="F223" i="34"/>
  <c r="F224" i="34"/>
  <c r="F225" i="34"/>
  <c r="F226" i="34"/>
  <c r="F227" i="34"/>
  <c r="F228" i="34"/>
  <c r="F229" i="34"/>
  <c r="F230" i="34"/>
  <c r="F231" i="34"/>
  <c r="F232" i="34"/>
  <c r="F233" i="34"/>
  <c r="F234"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D40" i="34"/>
  <c r="D41" i="34"/>
  <c r="D42" i="34"/>
  <c r="D43" i="34"/>
  <c r="D44" i="34"/>
  <c r="D45" i="34"/>
  <c r="D46" i="34"/>
  <c r="D47" i="34"/>
  <c r="D48" i="34"/>
  <c r="D49" i="34"/>
  <c r="D50" i="34"/>
  <c r="D51" i="34"/>
  <c r="D52" i="34"/>
  <c r="D53" i="34"/>
  <c r="D54" i="34"/>
  <c r="D55" i="34"/>
  <c r="D56" i="34"/>
  <c r="D57" i="34"/>
  <c r="D58" i="34"/>
  <c r="D59" i="34"/>
  <c r="D60" i="34"/>
  <c r="D61" i="34"/>
  <c r="D62" i="34"/>
  <c r="D63" i="34"/>
  <c r="D64" i="34"/>
  <c r="D65" i="34"/>
  <c r="D66" i="34"/>
  <c r="D67" i="34"/>
  <c r="D68" i="34"/>
  <c r="D69" i="34"/>
  <c r="D70" i="34"/>
  <c r="D71" i="34"/>
  <c r="D72" i="34"/>
  <c r="D73" i="34"/>
  <c r="D74" i="34"/>
  <c r="D75" i="34"/>
  <c r="D76" i="34"/>
  <c r="D77" i="34"/>
  <c r="D78" i="34"/>
  <c r="D79" i="34"/>
  <c r="D80" i="34"/>
  <c r="D81" i="34"/>
  <c r="D82" i="34"/>
  <c r="D83" i="34"/>
  <c r="D84" i="34"/>
  <c r="D85" i="34"/>
  <c r="D86" i="34"/>
  <c r="D87" i="34"/>
  <c r="D88" i="34"/>
  <c r="D89" i="34"/>
  <c r="D90" i="34"/>
  <c r="D91" i="34"/>
  <c r="D92" i="34"/>
  <c r="D93" i="34"/>
  <c r="D94" i="34"/>
  <c r="D95" i="34"/>
  <c r="D96" i="34"/>
  <c r="D97" i="34"/>
  <c r="D98" i="34"/>
  <c r="D99" i="34"/>
  <c r="D100" i="34"/>
  <c r="D101" i="34"/>
  <c r="D102" i="34"/>
  <c r="D103" i="34"/>
  <c r="D104" i="34"/>
  <c r="D105" i="34"/>
  <c r="D106" i="34"/>
  <c r="D107" i="34"/>
  <c r="D108" i="34"/>
  <c r="D109" i="34"/>
  <c r="D110" i="34"/>
  <c r="D111" i="34"/>
  <c r="D112" i="34"/>
  <c r="D113" i="34"/>
  <c r="D114" i="34"/>
  <c r="D115" i="34"/>
  <c r="D116" i="34"/>
  <c r="D117" i="34"/>
  <c r="D118" i="34"/>
  <c r="D119" i="34"/>
  <c r="D120" i="34"/>
  <c r="D121" i="34"/>
  <c r="D122" i="34"/>
  <c r="D123" i="34"/>
  <c r="D124" i="34"/>
  <c r="D125" i="34"/>
  <c r="D126" i="34"/>
  <c r="D127" i="34"/>
  <c r="D128" i="34"/>
  <c r="D129" i="34"/>
  <c r="D130" i="34"/>
  <c r="D131" i="34"/>
  <c r="D132" i="34"/>
  <c r="D133" i="34"/>
  <c r="D134" i="34"/>
  <c r="D135" i="34"/>
  <c r="D136" i="34"/>
  <c r="D137" i="34"/>
  <c r="D138" i="34"/>
  <c r="D139" i="34"/>
  <c r="D140" i="34"/>
  <c r="D141" i="34"/>
  <c r="D142" i="34"/>
  <c r="D143" i="34"/>
  <c r="D144" i="34"/>
  <c r="D145" i="34"/>
  <c r="D146" i="34"/>
  <c r="D147" i="34"/>
  <c r="D148" i="34"/>
  <c r="D149" i="34"/>
  <c r="D150" i="34"/>
  <c r="D151" i="34"/>
  <c r="D152" i="34"/>
  <c r="D153" i="34"/>
  <c r="D154" i="34"/>
  <c r="D155" i="34"/>
  <c r="D156" i="34"/>
  <c r="D157" i="34"/>
  <c r="D158" i="34"/>
  <c r="D159" i="34"/>
  <c r="D160" i="34"/>
  <c r="D161" i="34"/>
  <c r="D162" i="34"/>
  <c r="D163" i="34"/>
  <c r="D164" i="34"/>
  <c r="D165" i="34"/>
  <c r="D166" i="34"/>
  <c r="D167" i="34"/>
  <c r="D168" i="34"/>
  <c r="D169" i="34"/>
  <c r="D170" i="34"/>
  <c r="D171" i="34"/>
  <c r="D172" i="34"/>
  <c r="D173" i="34"/>
  <c r="D174" i="34"/>
  <c r="D175" i="34"/>
  <c r="D176" i="34"/>
  <c r="D177" i="34"/>
  <c r="D178" i="34"/>
  <c r="D179" i="34"/>
  <c r="D180" i="34"/>
  <c r="D181" i="34"/>
  <c r="D182" i="34"/>
  <c r="D183" i="34"/>
  <c r="D184" i="34"/>
  <c r="D185" i="34"/>
  <c r="D186" i="34"/>
  <c r="D187" i="34"/>
  <c r="D188" i="34"/>
  <c r="D189" i="34"/>
  <c r="D190" i="34"/>
  <c r="D191" i="34"/>
  <c r="D192" i="34"/>
  <c r="D193" i="34"/>
  <c r="D194" i="34"/>
  <c r="D195" i="34"/>
  <c r="D196" i="34"/>
  <c r="D197" i="34"/>
  <c r="D198" i="34"/>
  <c r="D199" i="34"/>
  <c r="D200" i="34"/>
  <c r="D201" i="34"/>
  <c r="D202" i="34"/>
  <c r="D203" i="34"/>
  <c r="D204" i="34"/>
  <c r="D205" i="34"/>
  <c r="D206" i="34"/>
  <c r="D207" i="34"/>
  <c r="D208" i="34"/>
  <c r="D209" i="34"/>
  <c r="D210" i="34"/>
  <c r="D211" i="34"/>
  <c r="D212" i="34"/>
  <c r="D213" i="34"/>
  <c r="D214" i="34"/>
  <c r="D215" i="34"/>
  <c r="D216" i="34"/>
  <c r="D217" i="34"/>
  <c r="D218" i="34"/>
  <c r="D219" i="34"/>
  <c r="D220" i="34"/>
  <c r="D221" i="34"/>
  <c r="D222" i="34"/>
  <c r="D223" i="34"/>
  <c r="D224" i="34"/>
  <c r="D225" i="34"/>
  <c r="D226" i="34"/>
  <c r="D227" i="34"/>
  <c r="D228" i="34"/>
  <c r="D229" i="34"/>
  <c r="D230" i="34"/>
  <c r="D231" i="34"/>
  <c r="D232" i="34"/>
  <c r="D233" i="34"/>
  <c r="D234" i="34"/>
  <c r="D7" i="38" l="1"/>
  <c r="D8" i="38"/>
  <c r="D9" i="38"/>
  <c r="D10" i="38"/>
  <c r="D11" i="38"/>
  <c r="D12" i="38"/>
  <c r="D13" i="38"/>
  <c r="D14" i="38"/>
  <c r="D15" i="38"/>
  <c r="D16" i="38"/>
  <c r="D17" i="38"/>
  <c r="D18" i="38"/>
  <c r="D19" i="38"/>
  <c r="D20" i="38"/>
  <c r="D21" i="38"/>
  <c r="C7" i="38"/>
  <c r="E7" i="38" s="1"/>
  <c r="F7" i="38" s="1"/>
  <c r="C8" i="38"/>
  <c r="E8" i="38" s="1"/>
  <c r="F8" i="38" s="1"/>
  <c r="C9" i="38"/>
  <c r="E9" i="38" s="1"/>
  <c r="F9" i="38" s="1"/>
  <c r="C10" i="38"/>
  <c r="E10" i="38" s="1"/>
  <c r="F10" i="38" s="1"/>
  <c r="C11" i="38"/>
  <c r="E11" i="38" s="1"/>
  <c r="F11" i="38" s="1"/>
  <c r="C12" i="38"/>
  <c r="E12" i="38" s="1"/>
  <c r="F12" i="38" s="1"/>
  <c r="C13" i="38"/>
  <c r="E13" i="38" s="1"/>
  <c r="F13" i="38" s="1"/>
  <c r="C14" i="38"/>
  <c r="E14" i="38" s="1"/>
  <c r="F14" i="38" s="1"/>
  <c r="C15" i="38"/>
  <c r="E15" i="38" s="1"/>
  <c r="F15" i="38" s="1"/>
  <c r="C16" i="38"/>
  <c r="E16" i="38" s="1"/>
  <c r="F16" i="38" s="1"/>
  <c r="C17" i="38"/>
  <c r="E17" i="38" s="1"/>
  <c r="F17" i="38" s="1"/>
  <c r="C18" i="38"/>
  <c r="E18" i="38" s="1"/>
  <c r="F18" i="38" s="1"/>
  <c r="C19" i="38"/>
  <c r="E19" i="38" s="1"/>
  <c r="F19" i="38" s="1"/>
  <c r="C20" i="38"/>
  <c r="E20" i="38" s="1"/>
  <c r="F20" i="38" s="1"/>
  <c r="C21" i="38"/>
  <c r="E21" i="38" s="1"/>
  <c r="F21" i="38" s="1"/>
  <c r="A8" i="38"/>
  <c r="B8" i="38"/>
  <c r="A9" i="38"/>
  <c r="B9" i="38"/>
  <c r="A10" i="38"/>
  <c r="B10" i="38"/>
  <c r="A11" i="38"/>
  <c r="B11" i="38"/>
  <c r="A12" i="38"/>
  <c r="B12" i="38"/>
  <c r="A13" i="38"/>
  <c r="B13" i="38"/>
  <c r="A14" i="38"/>
  <c r="B14" i="38"/>
  <c r="A15" i="38"/>
  <c r="B15" i="38"/>
  <c r="A16" i="38"/>
  <c r="B16" i="38"/>
  <c r="A17" i="38"/>
  <c r="B17" i="38"/>
  <c r="A18" i="38"/>
  <c r="B18" i="38"/>
  <c r="A19" i="38"/>
  <c r="B19" i="38"/>
  <c r="A20" i="38"/>
  <c r="B20" i="38"/>
  <c r="A21" i="38"/>
  <c r="B21" i="38"/>
  <c r="B7" i="38"/>
  <c r="A7" i="38"/>
  <c r="F3" i="37" l="1"/>
  <c r="B7" i="37" l="1"/>
  <c r="F8" i="37"/>
  <c r="F12" i="37"/>
  <c r="F16" i="37"/>
  <c r="G16" i="37" s="1"/>
  <c r="F20" i="37"/>
  <c r="E9" i="37"/>
  <c r="E13" i="37"/>
  <c r="E17" i="37"/>
  <c r="E21" i="37"/>
  <c r="E8" i="37"/>
  <c r="F9" i="37"/>
  <c r="G9" i="37" s="1"/>
  <c r="F13" i="37"/>
  <c r="F17" i="37"/>
  <c r="F21" i="37"/>
  <c r="E10" i="37"/>
  <c r="E14" i="37"/>
  <c r="E18" i="37"/>
  <c r="E19" i="37"/>
  <c r="F7" i="37"/>
  <c r="F15" i="37"/>
  <c r="E12" i="37"/>
  <c r="E20" i="37"/>
  <c r="F10" i="37"/>
  <c r="G10" i="37" s="1"/>
  <c r="F14" i="37"/>
  <c r="G14" i="37" s="1"/>
  <c r="F18" i="37"/>
  <c r="G18" i="37" s="1"/>
  <c r="E7" i="37"/>
  <c r="E11" i="37"/>
  <c r="E15" i="37"/>
  <c r="F11" i="37"/>
  <c r="G11" i="37" s="1"/>
  <c r="F19" i="37"/>
  <c r="G19" i="37" s="1"/>
  <c r="E16" i="37"/>
  <c r="C10" i="37"/>
  <c r="I10" i="37" s="1"/>
  <c r="C21" i="37"/>
  <c r="I21" i="37" s="1"/>
  <c r="C17" i="37"/>
  <c r="I17" i="37" s="1"/>
  <c r="C13" i="37"/>
  <c r="C9" i="37"/>
  <c r="I9" i="37" s="1"/>
  <c r="C19" i="37"/>
  <c r="I19" i="37" s="1"/>
  <c r="C15" i="37"/>
  <c r="C11" i="37"/>
  <c r="I11" i="37" s="1"/>
  <c r="C7" i="37"/>
  <c r="I7" i="37" s="1"/>
  <c r="C18" i="37"/>
  <c r="I18" i="37" s="1"/>
  <c r="C14" i="37"/>
  <c r="C20" i="37"/>
  <c r="I20" i="37" s="1"/>
  <c r="C16" i="37"/>
  <c r="I16" i="37" s="1"/>
  <c r="C12" i="37"/>
  <c r="I12" i="37" s="1"/>
  <c r="C8" i="37"/>
  <c r="I8" i="37" s="1"/>
  <c r="B18" i="37"/>
  <c r="B14" i="37"/>
  <c r="B17" i="37"/>
  <c r="B9" i="37"/>
  <c r="B20" i="37"/>
  <c r="B16" i="37"/>
  <c r="B12" i="37"/>
  <c r="B8" i="37"/>
  <c r="B10" i="37"/>
  <c r="B21" i="37"/>
  <c r="B13" i="37"/>
  <c r="B19" i="37"/>
  <c r="B15" i="37"/>
  <c r="B11" i="37"/>
  <c r="A8" i="37"/>
  <c r="A9" i="37"/>
  <c r="A10" i="37"/>
  <c r="A11" i="37"/>
  <c r="A12" i="37"/>
  <c r="A13" i="37"/>
  <c r="A14" i="37"/>
  <c r="A15" i="37"/>
  <c r="A16" i="37"/>
  <c r="A17" i="37"/>
  <c r="A18" i="37"/>
  <c r="A19" i="37"/>
  <c r="A20" i="37"/>
  <c r="A21" i="37"/>
  <c r="A7" i="37"/>
  <c r="D15" i="37" l="1"/>
  <c r="H15" i="37"/>
  <c r="D20" i="37"/>
  <c r="H20" i="37"/>
  <c r="G15" i="37"/>
  <c r="D19" i="37"/>
  <c r="H19" i="37"/>
  <c r="D9" i="37"/>
  <c r="H9" i="37"/>
  <c r="D7" i="37"/>
  <c r="I13" i="37"/>
  <c r="G7" i="37"/>
  <c r="G13" i="37"/>
  <c r="G12" i="37"/>
  <c r="D10" i="37"/>
  <c r="H10" i="37"/>
  <c r="D8" i="37"/>
  <c r="H8" i="37"/>
  <c r="D13" i="37"/>
  <c r="H13" i="37"/>
  <c r="D12" i="37"/>
  <c r="H12" i="37"/>
  <c r="D17" i="37"/>
  <c r="H17" i="37"/>
  <c r="I14" i="37"/>
  <c r="I15" i="37"/>
  <c r="G8" i="37"/>
  <c r="D18" i="37"/>
  <c r="H18" i="37"/>
  <c r="D11" i="37"/>
  <c r="H11" i="37"/>
  <c r="D21" i="37"/>
  <c r="H21" i="37"/>
  <c r="D16" i="37"/>
  <c r="H16" i="37"/>
  <c r="D14" i="37"/>
  <c r="H14" i="37"/>
  <c r="G17" i="37"/>
  <c r="G21" i="37"/>
  <c r="G20" i="37"/>
  <c r="H7" i="37"/>
  <c r="D9" i="36"/>
  <c r="D10" i="36"/>
  <c r="D13" i="36"/>
  <c r="D14" i="36"/>
  <c r="D17" i="36"/>
  <c r="D18" i="36"/>
  <c r="D21" i="36"/>
  <c r="E7" i="36"/>
  <c r="E11" i="36"/>
  <c r="E15" i="36"/>
  <c r="E19" i="36"/>
  <c r="F7" i="36"/>
  <c r="F8" i="36"/>
  <c r="F11" i="36"/>
  <c r="F12" i="36"/>
  <c r="F15" i="36"/>
  <c r="F16" i="36"/>
  <c r="F19" i="36"/>
  <c r="F20" i="36"/>
  <c r="G9" i="36"/>
  <c r="G13" i="36"/>
  <c r="G17" i="36"/>
  <c r="G21" i="36"/>
  <c r="H9" i="36"/>
  <c r="H10" i="36"/>
  <c r="H13" i="36"/>
  <c r="H14" i="36"/>
  <c r="H17" i="36"/>
  <c r="H18" i="36"/>
  <c r="H21" i="36"/>
  <c r="I7" i="36"/>
  <c r="I11" i="36"/>
  <c r="I15" i="36"/>
  <c r="I19" i="36"/>
  <c r="J7" i="36"/>
  <c r="J8" i="36"/>
  <c r="J11" i="36"/>
  <c r="J12" i="36"/>
  <c r="J15" i="36"/>
  <c r="J16" i="36"/>
  <c r="J19" i="36"/>
  <c r="J20" i="36"/>
  <c r="K9" i="36"/>
  <c r="K13" i="36"/>
  <c r="K17" i="36"/>
  <c r="K21" i="36"/>
  <c r="L9" i="36"/>
  <c r="L10" i="36"/>
  <c r="L13" i="36"/>
  <c r="L14" i="36"/>
  <c r="L17" i="36"/>
  <c r="L18" i="36"/>
  <c r="L21" i="36"/>
  <c r="M7" i="36"/>
  <c r="M11" i="36"/>
  <c r="M15" i="36"/>
  <c r="M19" i="36"/>
  <c r="N7" i="36"/>
  <c r="N8" i="36"/>
  <c r="N11" i="36"/>
  <c r="N12" i="36"/>
  <c r="N15" i="36"/>
  <c r="N16" i="36"/>
  <c r="N19" i="36"/>
  <c r="N20" i="36"/>
  <c r="C9" i="36"/>
  <c r="C13" i="36"/>
  <c r="C17" i="36"/>
  <c r="C21" i="36"/>
  <c r="A21" i="36"/>
  <c r="F21" i="36" s="1"/>
  <c r="B21" i="36"/>
  <c r="A8" i="36"/>
  <c r="E8" i="36" s="1"/>
  <c r="B8" i="36"/>
  <c r="A9" i="36"/>
  <c r="F9" i="36" s="1"/>
  <c r="B9" i="36"/>
  <c r="A10" i="36"/>
  <c r="G10" i="36" s="1"/>
  <c r="B10" i="36"/>
  <c r="A11" i="36"/>
  <c r="D11" i="36" s="1"/>
  <c r="B11" i="36"/>
  <c r="A12" i="36"/>
  <c r="E12" i="36" s="1"/>
  <c r="B12" i="36"/>
  <c r="A13" i="36"/>
  <c r="F13" i="36" s="1"/>
  <c r="B13" i="36"/>
  <c r="A14" i="36"/>
  <c r="G14" i="36" s="1"/>
  <c r="B14" i="36"/>
  <c r="A15" i="36"/>
  <c r="D15" i="36" s="1"/>
  <c r="B15" i="36"/>
  <c r="A16" i="36"/>
  <c r="E16" i="36" s="1"/>
  <c r="B16" i="36"/>
  <c r="A17" i="36"/>
  <c r="F17" i="36" s="1"/>
  <c r="B17" i="36"/>
  <c r="A18" i="36"/>
  <c r="G18" i="36" s="1"/>
  <c r="B18" i="36"/>
  <c r="A19" i="36"/>
  <c r="D19" i="36" s="1"/>
  <c r="B19" i="36"/>
  <c r="A20" i="36"/>
  <c r="E20" i="36" s="1"/>
  <c r="B20" i="36"/>
  <c r="B7" i="36"/>
  <c r="A7" i="36"/>
  <c r="D7" i="36" s="1"/>
  <c r="C20" i="36" l="1"/>
  <c r="C16" i="36"/>
  <c r="C12" i="36"/>
  <c r="C8" i="36"/>
  <c r="I18" i="36"/>
  <c r="I14" i="36"/>
  <c r="I10" i="36"/>
  <c r="E18" i="36"/>
  <c r="E14" i="36"/>
  <c r="E10" i="36"/>
  <c r="K20" i="36"/>
  <c r="K16" i="36"/>
  <c r="K12" i="36"/>
  <c r="K8" i="36"/>
  <c r="C19" i="36"/>
  <c r="C15" i="36"/>
  <c r="C11" i="36"/>
  <c r="C7" i="36"/>
  <c r="N18" i="36"/>
  <c r="N14" i="36"/>
  <c r="N10" i="36"/>
  <c r="M21" i="36"/>
  <c r="M17" i="36"/>
  <c r="M13" i="36"/>
  <c r="M9" i="36"/>
  <c r="L20" i="36"/>
  <c r="L16" i="36"/>
  <c r="L12" i="36"/>
  <c r="L8" i="36"/>
  <c r="K19" i="36"/>
  <c r="K15" i="36"/>
  <c r="K11" i="36"/>
  <c r="K7" i="36"/>
  <c r="J18" i="36"/>
  <c r="J14" i="36"/>
  <c r="J10" i="36"/>
  <c r="I21" i="36"/>
  <c r="I17" i="36"/>
  <c r="I13" i="36"/>
  <c r="I9" i="36"/>
  <c r="H20" i="36"/>
  <c r="H16" i="36"/>
  <c r="H12" i="36"/>
  <c r="H8" i="36"/>
  <c r="G19" i="36"/>
  <c r="G15" i="36"/>
  <c r="G11" i="36"/>
  <c r="G22" i="36" s="1"/>
  <c r="G7" i="36"/>
  <c r="F18" i="36"/>
  <c r="F14" i="36"/>
  <c r="F10" i="36"/>
  <c r="F22" i="36" s="1"/>
  <c r="E21" i="36"/>
  <c r="E17" i="36"/>
  <c r="E13" i="36"/>
  <c r="E9" i="36"/>
  <c r="D20" i="36"/>
  <c r="D16" i="36"/>
  <c r="D12" i="36"/>
  <c r="D22" i="36" s="1"/>
  <c r="D8" i="36"/>
  <c r="M18" i="36"/>
  <c r="M14" i="36"/>
  <c r="M10" i="36"/>
  <c r="G20" i="36"/>
  <c r="G16" i="36"/>
  <c r="G12" i="36"/>
  <c r="G8" i="36"/>
  <c r="C18" i="36"/>
  <c r="C14" i="36"/>
  <c r="C10" i="36"/>
  <c r="C22" i="36" s="1"/>
  <c r="N21" i="36"/>
  <c r="N17" i="36"/>
  <c r="N13" i="36"/>
  <c r="N9" i="36"/>
  <c r="N22" i="36" s="1"/>
  <c r="M20" i="36"/>
  <c r="M16" i="36"/>
  <c r="M12" i="36"/>
  <c r="M8" i="36"/>
  <c r="L19" i="36"/>
  <c r="L15" i="36"/>
  <c r="L11" i="36"/>
  <c r="L22" i="36" s="1"/>
  <c r="L7" i="36"/>
  <c r="K18" i="36"/>
  <c r="K14" i="36"/>
  <c r="K10" i="36"/>
  <c r="K22" i="36" s="1"/>
  <c r="J21" i="36"/>
  <c r="J17" i="36"/>
  <c r="J13" i="36"/>
  <c r="J9" i="36"/>
  <c r="I20" i="36"/>
  <c r="I16" i="36"/>
  <c r="I12" i="36"/>
  <c r="I8" i="36"/>
  <c r="H19" i="36"/>
  <c r="H15" i="36"/>
  <c r="H11" i="36"/>
  <c r="H22" i="36" s="1"/>
  <c r="H7" i="36"/>
  <c r="I5" i="34"/>
  <c r="H5" i="34"/>
  <c r="J5" i="34" s="1"/>
  <c r="A5" i="34"/>
  <c r="M22" i="36" l="1"/>
  <c r="J22" i="36"/>
  <c r="I22" i="36"/>
  <c r="E22" i="36"/>
  <c r="G234" i="34"/>
  <c r="M234" i="34"/>
  <c r="N234" i="34"/>
  <c r="O234" i="34"/>
  <c r="G233" i="34"/>
  <c r="M233" i="34"/>
  <c r="N233" i="34"/>
  <c r="O233" i="34"/>
  <c r="G221" i="34"/>
  <c r="G222" i="34"/>
  <c r="G223" i="34"/>
  <c r="G224" i="34"/>
  <c r="G225" i="34"/>
  <c r="G226" i="34"/>
  <c r="G227" i="34"/>
  <c r="G228" i="34"/>
  <c r="G229" i="34"/>
  <c r="G230" i="34"/>
  <c r="G231" i="34"/>
  <c r="G232" i="34"/>
  <c r="M221" i="34"/>
  <c r="M222" i="34"/>
  <c r="M223" i="34"/>
  <c r="M224" i="34"/>
  <c r="M225" i="34"/>
  <c r="M226" i="34"/>
  <c r="M227" i="34"/>
  <c r="M228" i="34"/>
  <c r="M229" i="34"/>
  <c r="M230" i="34"/>
  <c r="M231" i="34"/>
  <c r="M232" i="34"/>
  <c r="N221" i="34"/>
  <c r="N222" i="34"/>
  <c r="N223" i="34"/>
  <c r="N224" i="34"/>
  <c r="N225" i="34"/>
  <c r="N226" i="34"/>
  <c r="N227" i="34"/>
  <c r="N228" i="34"/>
  <c r="N229" i="34"/>
  <c r="N230" i="34"/>
  <c r="N231" i="34"/>
  <c r="N232" i="34"/>
  <c r="O221" i="34"/>
  <c r="O222" i="34"/>
  <c r="O223" i="34"/>
  <c r="O224" i="34"/>
  <c r="O225" i="34"/>
  <c r="O226" i="34"/>
  <c r="O227" i="34"/>
  <c r="O228" i="34"/>
  <c r="O229" i="34"/>
  <c r="O230" i="34"/>
  <c r="O231" i="34"/>
  <c r="O232" i="34"/>
  <c r="G209" i="34"/>
  <c r="G210" i="34"/>
  <c r="G211" i="34"/>
  <c r="G212" i="34"/>
  <c r="G213" i="34"/>
  <c r="G214" i="34"/>
  <c r="G215" i="34"/>
  <c r="G216" i="34"/>
  <c r="G217" i="34"/>
  <c r="G218" i="34"/>
  <c r="G219" i="34"/>
  <c r="G220" i="34"/>
  <c r="M209" i="34"/>
  <c r="M210" i="34"/>
  <c r="M211" i="34"/>
  <c r="M212" i="34"/>
  <c r="M213" i="34"/>
  <c r="M214" i="34"/>
  <c r="M215" i="34"/>
  <c r="M216" i="34"/>
  <c r="M217" i="34"/>
  <c r="M218" i="34"/>
  <c r="M219" i="34"/>
  <c r="M220" i="34"/>
  <c r="N209" i="34"/>
  <c r="N210" i="34"/>
  <c r="N211" i="34"/>
  <c r="N212" i="34"/>
  <c r="N213" i="34"/>
  <c r="N214" i="34"/>
  <c r="N215" i="34"/>
  <c r="N216" i="34"/>
  <c r="N217" i="34"/>
  <c r="N218" i="34"/>
  <c r="N219" i="34"/>
  <c r="N220" i="34"/>
  <c r="O209" i="34"/>
  <c r="O210" i="34"/>
  <c r="O211" i="34"/>
  <c r="O212" i="34"/>
  <c r="O213" i="34"/>
  <c r="O214" i="34"/>
  <c r="O215" i="34"/>
  <c r="O216" i="34"/>
  <c r="O217" i="34"/>
  <c r="O218" i="34"/>
  <c r="O219" i="34"/>
  <c r="O220" i="34"/>
  <c r="G208" i="34"/>
  <c r="M208" i="34"/>
  <c r="N208" i="34"/>
  <c r="O208" i="34"/>
  <c r="G207" i="34"/>
  <c r="M207" i="34"/>
  <c r="N207" i="34"/>
  <c r="O207" i="34"/>
  <c r="G206" i="34"/>
  <c r="M206" i="34"/>
  <c r="N206" i="34"/>
  <c r="O206" i="34"/>
  <c r="G205" i="34"/>
  <c r="M205" i="34"/>
  <c r="N205" i="34"/>
  <c r="O205" i="34"/>
  <c r="G204" i="34"/>
  <c r="M204" i="34"/>
  <c r="N204" i="34"/>
  <c r="O204"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G53" i="34"/>
  <c r="G54" i="34"/>
  <c r="G55" i="34"/>
  <c r="G56" i="34"/>
  <c r="G57" i="34"/>
  <c r="G58" i="34"/>
  <c r="G59" i="34"/>
  <c r="G60" i="34"/>
  <c r="G61" i="34"/>
  <c r="G62" i="34"/>
  <c r="G63" i="34"/>
  <c r="G64" i="34"/>
  <c r="G65" i="34"/>
  <c r="G66" i="34"/>
  <c r="G67" i="34"/>
  <c r="G68" i="34"/>
  <c r="G69" i="34"/>
  <c r="G70" i="34"/>
  <c r="G71" i="34"/>
  <c r="G72" i="34"/>
  <c r="G73" i="34"/>
  <c r="G74" i="34"/>
  <c r="G75" i="34"/>
  <c r="G76" i="34"/>
  <c r="G77" i="34"/>
  <c r="G78" i="34"/>
  <c r="G79" i="34"/>
  <c r="G80" i="34"/>
  <c r="G81" i="34"/>
  <c r="G82" i="34"/>
  <c r="G83" i="34"/>
  <c r="G84" i="34"/>
  <c r="G85" i="34"/>
  <c r="G86" i="34"/>
  <c r="G87" i="34"/>
  <c r="G88" i="34"/>
  <c r="G89" i="34"/>
  <c r="G90" i="34"/>
  <c r="G91" i="34"/>
  <c r="G92" i="34"/>
  <c r="G93" i="34"/>
  <c r="G94" i="34"/>
  <c r="G95" i="34"/>
  <c r="G96" i="34"/>
  <c r="G97" i="34"/>
  <c r="G98" i="34"/>
  <c r="G99" i="34"/>
  <c r="G100" i="34"/>
  <c r="G101" i="34"/>
  <c r="G102" i="34"/>
  <c r="G103" i="34"/>
  <c r="G104" i="34"/>
  <c r="G105" i="34"/>
  <c r="G106" i="34"/>
  <c r="G107" i="34"/>
  <c r="G108" i="34"/>
  <c r="G109" i="34"/>
  <c r="G110" i="34"/>
  <c r="G111" i="34"/>
  <c r="G112" i="34"/>
  <c r="G113" i="34"/>
  <c r="G114" i="34"/>
  <c r="G115" i="34"/>
  <c r="G116" i="34"/>
  <c r="G117" i="34"/>
  <c r="G118" i="34"/>
  <c r="G119" i="34"/>
  <c r="G120" i="34"/>
  <c r="G121" i="34"/>
  <c r="G122" i="34"/>
  <c r="G123" i="34"/>
  <c r="G124" i="34"/>
  <c r="G125" i="34"/>
  <c r="G126" i="34"/>
  <c r="G127" i="34"/>
  <c r="G128" i="34"/>
  <c r="G129" i="34"/>
  <c r="G130" i="34"/>
  <c r="G131" i="34"/>
  <c r="G132" i="34"/>
  <c r="G133" i="34"/>
  <c r="G134" i="34"/>
  <c r="G135" i="34"/>
  <c r="G136" i="34"/>
  <c r="G137" i="34"/>
  <c r="G138" i="34"/>
  <c r="G139" i="34"/>
  <c r="G140" i="34"/>
  <c r="G141" i="34"/>
  <c r="G142" i="34"/>
  <c r="G143" i="34"/>
  <c r="G144" i="34"/>
  <c r="G145" i="34"/>
  <c r="G146" i="34"/>
  <c r="G147" i="34"/>
  <c r="G148" i="34"/>
  <c r="G149" i="34"/>
  <c r="G150" i="34"/>
  <c r="G151" i="34"/>
  <c r="G152" i="34"/>
  <c r="G153" i="34"/>
  <c r="G154" i="34"/>
  <c r="G155" i="34"/>
  <c r="G156" i="34"/>
  <c r="G157" i="34"/>
  <c r="G158" i="34"/>
  <c r="G159" i="34"/>
  <c r="G160" i="34"/>
  <c r="G161" i="34"/>
  <c r="G162" i="34"/>
  <c r="G163" i="34"/>
  <c r="G164" i="34"/>
  <c r="G165" i="34"/>
  <c r="G166" i="34"/>
  <c r="G167" i="34"/>
  <c r="G168" i="34"/>
  <c r="G169" i="34"/>
  <c r="G170" i="34"/>
  <c r="G171" i="34"/>
  <c r="G172" i="34"/>
  <c r="G173" i="34"/>
  <c r="G174" i="34"/>
  <c r="G175" i="34"/>
  <c r="G176" i="34"/>
  <c r="G177" i="34"/>
  <c r="G178" i="34"/>
  <c r="G179" i="34"/>
  <c r="G180" i="34"/>
  <c r="G181" i="34"/>
  <c r="G182" i="34"/>
  <c r="G183" i="34"/>
  <c r="G184" i="34"/>
  <c r="G185" i="34"/>
  <c r="G186" i="34"/>
  <c r="G187" i="34"/>
  <c r="G188" i="34"/>
  <c r="G189" i="34"/>
  <c r="G190" i="34"/>
  <c r="G191" i="34"/>
  <c r="G192" i="34"/>
  <c r="G193" i="34"/>
  <c r="G194" i="34"/>
  <c r="G195" i="34"/>
  <c r="G196" i="34"/>
  <c r="G197" i="34"/>
  <c r="G198" i="34"/>
  <c r="G199" i="34"/>
  <c r="G200" i="34"/>
  <c r="G201" i="34"/>
  <c r="G202" i="34"/>
  <c r="G203" i="34"/>
  <c r="M192" i="34" l="1"/>
  <c r="M193" i="34"/>
  <c r="M194" i="34"/>
  <c r="M195" i="34"/>
  <c r="M196" i="34"/>
  <c r="M197" i="34"/>
  <c r="M198" i="34"/>
  <c r="M199" i="34"/>
  <c r="M200" i="34"/>
  <c r="M201" i="34"/>
  <c r="M202" i="34"/>
  <c r="M203" i="34"/>
  <c r="N192" i="34"/>
  <c r="N193" i="34"/>
  <c r="N194" i="34"/>
  <c r="N195" i="34"/>
  <c r="N196" i="34"/>
  <c r="N197" i="34"/>
  <c r="N198" i="34"/>
  <c r="N199" i="34"/>
  <c r="N200" i="34"/>
  <c r="N201" i="34"/>
  <c r="N202" i="34"/>
  <c r="N203" i="34"/>
  <c r="O192" i="34"/>
  <c r="O193" i="34"/>
  <c r="O194" i="34"/>
  <c r="O195" i="34"/>
  <c r="O196" i="34"/>
  <c r="O197" i="34"/>
  <c r="O198" i="34"/>
  <c r="O199" i="34"/>
  <c r="O200" i="34"/>
  <c r="O201" i="34"/>
  <c r="O202" i="34"/>
  <c r="O203" i="34"/>
  <c r="M191" i="34"/>
  <c r="N191" i="34"/>
  <c r="O191" i="34"/>
  <c r="M190" i="34"/>
  <c r="N190" i="34"/>
  <c r="O190" i="34"/>
  <c r="M189" i="34"/>
  <c r="N189" i="34"/>
  <c r="O189" i="34"/>
  <c r="M188" i="34"/>
  <c r="N188" i="34"/>
  <c r="O188" i="34"/>
  <c r="M187" i="34"/>
  <c r="N187" i="34"/>
  <c r="O187" i="34"/>
  <c r="M175" i="34"/>
  <c r="M176" i="34"/>
  <c r="M177" i="34"/>
  <c r="M178" i="34"/>
  <c r="M179" i="34"/>
  <c r="M180" i="34"/>
  <c r="M181" i="34"/>
  <c r="M182" i="34"/>
  <c r="M183" i="34"/>
  <c r="M184" i="34"/>
  <c r="M185" i="34"/>
  <c r="M186" i="34"/>
  <c r="N175" i="34"/>
  <c r="N176" i="34"/>
  <c r="N177" i="34"/>
  <c r="N178" i="34"/>
  <c r="N179" i="34"/>
  <c r="N180" i="34"/>
  <c r="N181" i="34"/>
  <c r="N182" i="34"/>
  <c r="N183" i="34"/>
  <c r="N184" i="34"/>
  <c r="N185" i="34"/>
  <c r="N186" i="34"/>
  <c r="O175" i="34"/>
  <c r="O176" i="34"/>
  <c r="O177" i="34"/>
  <c r="O178" i="34"/>
  <c r="O179" i="34"/>
  <c r="O180" i="34"/>
  <c r="O181" i="34"/>
  <c r="O182" i="34"/>
  <c r="O183" i="34"/>
  <c r="O184" i="34"/>
  <c r="O185" i="34"/>
  <c r="O186" i="34"/>
  <c r="M164" i="34"/>
  <c r="M165" i="34"/>
  <c r="M166" i="34"/>
  <c r="M167" i="34"/>
  <c r="M168" i="34"/>
  <c r="M169" i="34"/>
  <c r="M170" i="34"/>
  <c r="M171" i="34"/>
  <c r="M172" i="34"/>
  <c r="M173" i="34"/>
  <c r="M174" i="34"/>
  <c r="N164" i="34"/>
  <c r="N165" i="34"/>
  <c r="N166" i="34"/>
  <c r="N167" i="34"/>
  <c r="N168" i="34"/>
  <c r="N169" i="34"/>
  <c r="N170" i="34"/>
  <c r="N171" i="34"/>
  <c r="N172" i="34"/>
  <c r="N173" i="34"/>
  <c r="N174" i="34"/>
  <c r="O164" i="34"/>
  <c r="O165" i="34"/>
  <c r="O166" i="34"/>
  <c r="O167" i="34"/>
  <c r="O168" i="34"/>
  <c r="O169" i="34"/>
  <c r="O170" i="34"/>
  <c r="O171" i="34"/>
  <c r="O172" i="34"/>
  <c r="O173" i="34"/>
  <c r="O174" i="34"/>
  <c r="M163" i="34"/>
  <c r="N163" i="34"/>
  <c r="O163" i="34"/>
  <c r="M150" i="34"/>
  <c r="M151" i="34"/>
  <c r="M152" i="34"/>
  <c r="M153" i="34"/>
  <c r="M154" i="34"/>
  <c r="M155" i="34"/>
  <c r="M156" i="34"/>
  <c r="M157" i="34"/>
  <c r="M158" i="34"/>
  <c r="M159" i="34"/>
  <c r="M160" i="34"/>
  <c r="M161" i="34"/>
  <c r="M162" i="34"/>
  <c r="N150" i="34"/>
  <c r="N151" i="34"/>
  <c r="N152" i="34"/>
  <c r="N153" i="34"/>
  <c r="N154" i="34"/>
  <c r="N155" i="34"/>
  <c r="N156" i="34"/>
  <c r="N157" i="34"/>
  <c r="N158" i="34"/>
  <c r="N159" i="34"/>
  <c r="N160" i="34"/>
  <c r="N161" i="34"/>
  <c r="N162" i="34"/>
  <c r="O150" i="34"/>
  <c r="O151" i="34"/>
  <c r="O152" i="34"/>
  <c r="O153" i="34"/>
  <c r="O154" i="34"/>
  <c r="O155" i="34"/>
  <c r="O156" i="34"/>
  <c r="O157" i="34"/>
  <c r="O158" i="34"/>
  <c r="O159" i="34"/>
  <c r="O160" i="34"/>
  <c r="O161" i="34"/>
  <c r="O162" i="34"/>
  <c r="M137" i="34"/>
  <c r="M138" i="34"/>
  <c r="M139" i="34"/>
  <c r="M140" i="34"/>
  <c r="M141" i="34"/>
  <c r="M142" i="34"/>
  <c r="M143" i="34"/>
  <c r="M144" i="34"/>
  <c r="M145" i="34"/>
  <c r="M146" i="34"/>
  <c r="M147" i="34"/>
  <c r="M148" i="34"/>
  <c r="M149" i="34"/>
  <c r="N137" i="34"/>
  <c r="N138" i="34"/>
  <c r="N139" i="34"/>
  <c r="N140" i="34"/>
  <c r="N141" i="34"/>
  <c r="N142" i="34"/>
  <c r="N143" i="34"/>
  <c r="N144" i="34"/>
  <c r="N145" i="34"/>
  <c r="N146" i="34"/>
  <c r="N147" i="34"/>
  <c r="N148" i="34"/>
  <c r="N149" i="34"/>
  <c r="O137" i="34"/>
  <c r="O138" i="34"/>
  <c r="O139" i="34"/>
  <c r="O140" i="34"/>
  <c r="O141" i="34"/>
  <c r="O142" i="34"/>
  <c r="O143" i="34"/>
  <c r="O144" i="34"/>
  <c r="O145" i="34"/>
  <c r="O146" i="34"/>
  <c r="O147" i="34"/>
  <c r="O148" i="34"/>
  <c r="O149" i="34"/>
  <c r="M124" i="34"/>
  <c r="M125" i="34"/>
  <c r="M126" i="34"/>
  <c r="M127" i="34"/>
  <c r="M128" i="34"/>
  <c r="M129" i="34"/>
  <c r="M130" i="34"/>
  <c r="M131" i="34"/>
  <c r="M132" i="34"/>
  <c r="M133" i="34"/>
  <c r="M134" i="34"/>
  <c r="M135" i="34"/>
  <c r="M136" i="34"/>
  <c r="N124" i="34"/>
  <c r="N125" i="34"/>
  <c r="N126" i="34"/>
  <c r="N127" i="34"/>
  <c r="N128" i="34"/>
  <c r="N129" i="34"/>
  <c r="N130" i="34"/>
  <c r="N131" i="34"/>
  <c r="N132" i="34"/>
  <c r="N133" i="34"/>
  <c r="N134" i="34"/>
  <c r="N135" i="34"/>
  <c r="N136" i="34"/>
  <c r="O124" i="34"/>
  <c r="O125" i="34"/>
  <c r="O126" i="34"/>
  <c r="O127" i="34"/>
  <c r="O128" i="34"/>
  <c r="O129" i="34"/>
  <c r="O130" i="34"/>
  <c r="O131" i="34"/>
  <c r="O132" i="34"/>
  <c r="O133" i="34"/>
  <c r="O134" i="34"/>
  <c r="O135" i="34"/>
  <c r="O136" i="34"/>
  <c r="M111" i="34"/>
  <c r="M112" i="34"/>
  <c r="M113" i="34"/>
  <c r="M114" i="34"/>
  <c r="M115" i="34"/>
  <c r="M116" i="34"/>
  <c r="M117" i="34"/>
  <c r="M118" i="34"/>
  <c r="M119" i="34"/>
  <c r="M120" i="34"/>
  <c r="M121" i="34"/>
  <c r="M122" i="34"/>
  <c r="M123" i="34"/>
  <c r="N111" i="34"/>
  <c r="N112" i="34"/>
  <c r="N113" i="34"/>
  <c r="N114" i="34"/>
  <c r="N115" i="34"/>
  <c r="N116" i="34"/>
  <c r="N117" i="34"/>
  <c r="N118" i="34"/>
  <c r="N119" i="34"/>
  <c r="N120" i="34"/>
  <c r="N121" i="34"/>
  <c r="N122" i="34"/>
  <c r="N123" i="34"/>
  <c r="O111" i="34"/>
  <c r="O112" i="34"/>
  <c r="O113" i="34"/>
  <c r="O114" i="34"/>
  <c r="O115" i="34"/>
  <c r="O116" i="34"/>
  <c r="O117" i="34"/>
  <c r="O118" i="34"/>
  <c r="O119" i="34"/>
  <c r="O120" i="34"/>
  <c r="O121" i="34"/>
  <c r="O122" i="34"/>
  <c r="O123" i="34"/>
  <c r="M98" i="34"/>
  <c r="M99" i="34"/>
  <c r="M100" i="34"/>
  <c r="M101" i="34"/>
  <c r="M102" i="34"/>
  <c r="M103" i="34"/>
  <c r="M104" i="34"/>
  <c r="M105" i="34"/>
  <c r="M106" i="34"/>
  <c r="M107" i="34"/>
  <c r="M108" i="34"/>
  <c r="M109" i="34"/>
  <c r="M110" i="34"/>
  <c r="N98" i="34"/>
  <c r="N99" i="34"/>
  <c r="N100" i="34"/>
  <c r="N101" i="34"/>
  <c r="N102" i="34"/>
  <c r="N103" i="34"/>
  <c r="N104" i="34"/>
  <c r="N105" i="34"/>
  <c r="N106" i="34"/>
  <c r="N107" i="34"/>
  <c r="N108" i="34"/>
  <c r="N109" i="34"/>
  <c r="N110" i="34"/>
  <c r="O98" i="34"/>
  <c r="O99" i="34"/>
  <c r="O100" i="34"/>
  <c r="O101" i="34"/>
  <c r="O102" i="34"/>
  <c r="O103" i="34"/>
  <c r="O104" i="34"/>
  <c r="O105" i="34"/>
  <c r="O106" i="34"/>
  <c r="O107" i="34"/>
  <c r="O108" i="34"/>
  <c r="O109" i="34"/>
  <c r="O110" i="34"/>
  <c r="M85" i="34"/>
  <c r="M86" i="34"/>
  <c r="M87" i="34"/>
  <c r="M88" i="34"/>
  <c r="M89" i="34"/>
  <c r="M90" i="34"/>
  <c r="M91" i="34"/>
  <c r="M92" i="34"/>
  <c r="M93" i="34"/>
  <c r="M94" i="34"/>
  <c r="M95" i="34"/>
  <c r="M96" i="34"/>
  <c r="M97" i="34"/>
  <c r="N85" i="34"/>
  <c r="N86" i="34"/>
  <c r="N87" i="34"/>
  <c r="N88" i="34"/>
  <c r="N89" i="34"/>
  <c r="N90" i="34"/>
  <c r="N91" i="34"/>
  <c r="N92" i="34"/>
  <c r="N93" i="34"/>
  <c r="N94" i="34"/>
  <c r="N95" i="34"/>
  <c r="N96" i="34"/>
  <c r="N97" i="34"/>
  <c r="O85" i="34"/>
  <c r="O86" i="34"/>
  <c r="O87" i="34"/>
  <c r="O88" i="34"/>
  <c r="O89" i="34"/>
  <c r="O90" i="34"/>
  <c r="O91" i="34"/>
  <c r="O92" i="34"/>
  <c r="O93" i="34"/>
  <c r="O94" i="34"/>
  <c r="O95" i="34"/>
  <c r="O96" i="34"/>
  <c r="O97" i="34"/>
  <c r="M72" i="34"/>
  <c r="M73" i="34"/>
  <c r="M74" i="34"/>
  <c r="M75" i="34"/>
  <c r="M76" i="34"/>
  <c r="M77" i="34"/>
  <c r="M78" i="34"/>
  <c r="M79" i="34"/>
  <c r="M80" i="34"/>
  <c r="M81" i="34"/>
  <c r="M82" i="34"/>
  <c r="M83" i="34"/>
  <c r="M84" i="34"/>
  <c r="N72" i="34"/>
  <c r="N73" i="34"/>
  <c r="N74" i="34"/>
  <c r="N75" i="34"/>
  <c r="N76" i="34"/>
  <c r="N77" i="34"/>
  <c r="N78" i="34"/>
  <c r="N79" i="34"/>
  <c r="N80" i="34"/>
  <c r="N81" i="34"/>
  <c r="N82" i="34"/>
  <c r="N83" i="34"/>
  <c r="N84" i="34"/>
  <c r="O72" i="34"/>
  <c r="O73" i="34"/>
  <c r="O74" i="34"/>
  <c r="O75" i="34"/>
  <c r="O76" i="34"/>
  <c r="O77" i="34"/>
  <c r="O78" i="34"/>
  <c r="O79" i="34"/>
  <c r="O80" i="34"/>
  <c r="O81" i="34"/>
  <c r="O82" i="34"/>
  <c r="O83" i="34"/>
  <c r="O84" i="34"/>
  <c r="M59" i="34"/>
  <c r="M60" i="34"/>
  <c r="M61" i="34"/>
  <c r="M62" i="34"/>
  <c r="M63" i="34"/>
  <c r="M64" i="34"/>
  <c r="M65" i="34"/>
  <c r="M66" i="34"/>
  <c r="M67" i="34"/>
  <c r="M68" i="34"/>
  <c r="M69" i="34"/>
  <c r="M70" i="34"/>
  <c r="M71" i="34"/>
  <c r="N59" i="34"/>
  <c r="N60" i="34"/>
  <c r="N61" i="34"/>
  <c r="N62" i="34"/>
  <c r="N63" i="34"/>
  <c r="N64" i="34"/>
  <c r="N65" i="34"/>
  <c r="N66" i="34"/>
  <c r="N67" i="34"/>
  <c r="N68" i="34"/>
  <c r="N69" i="34"/>
  <c r="N70" i="34"/>
  <c r="N71" i="34"/>
  <c r="O59" i="34"/>
  <c r="O60" i="34"/>
  <c r="O61" i="34"/>
  <c r="O62" i="34"/>
  <c r="O63" i="34"/>
  <c r="O64" i="34"/>
  <c r="O65" i="34"/>
  <c r="O66" i="34"/>
  <c r="O67" i="34"/>
  <c r="O68" i="34"/>
  <c r="O69" i="34"/>
  <c r="O70" i="34"/>
  <c r="O71" i="34"/>
  <c r="M46" i="34"/>
  <c r="M47" i="34"/>
  <c r="M48" i="34"/>
  <c r="M49" i="34"/>
  <c r="M50" i="34"/>
  <c r="M51" i="34"/>
  <c r="M52" i="34"/>
  <c r="M53" i="34"/>
  <c r="M54" i="34"/>
  <c r="M55" i="34"/>
  <c r="M56" i="34"/>
  <c r="M57" i="34"/>
  <c r="M58" i="34"/>
  <c r="N46" i="34"/>
  <c r="N47" i="34"/>
  <c r="N48" i="34"/>
  <c r="N49" i="34"/>
  <c r="N50" i="34"/>
  <c r="N51" i="34"/>
  <c r="N52" i="34"/>
  <c r="N53" i="34"/>
  <c r="N54" i="34"/>
  <c r="N55" i="34"/>
  <c r="N56" i="34"/>
  <c r="N57" i="34"/>
  <c r="N58" i="34"/>
  <c r="O46" i="34"/>
  <c r="O47" i="34"/>
  <c r="O48" i="34"/>
  <c r="O49" i="34"/>
  <c r="O50" i="34"/>
  <c r="O51" i="34"/>
  <c r="O52" i="34"/>
  <c r="O53" i="34"/>
  <c r="O54" i="34"/>
  <c r="O55" i="34"/>
  <c r="O56" i="34"/>
  <c r="O57" i="34"/>
  <c r="O58" i="34"/>
  <c r="M33" i="34"/>
  <c r="M34" i="34"/>
  <c r="M35" i="34"/>
  <c r="M36" i="34"/>
  <c r="M37" i="34"/>
  <c r="M38" i="34"/>
  <c r="M39" i="34"/>
  <c r="M40" i="34"/>
  <c r="M41" i="34"/>
  <c r="M42" i="34"/>
  <c r="M43" i="34"/>
  <c r="M44" i="34"/>
  <c r="M45" i="34"/>
  <c r="N33" i="34"/>
  <c r="N34" i="34"/>
  <c r="N35" i="34"/>
  <c r="N36" i="34"/>
  <c r="N37" i="34"/>
  <c r="N38" i="34"/>
  <c r="N39" i="34"/>
  <c r="N40" i="34"/>
  <c r="N41" i="34"/>
  <c r="N42" i="34"/>
  <c r="N43" i="34"/>
  <c r="N44" i="34"/>
  <c r="N45" i="34"/>
  <c r="O33" i="34"/>
  <c r="O34" i="34"/>
  <c r="O35" i="34"/>
  <c r="O36" i="34"/>
  <c r="O37" i="34"/>
  <c r="O38" i="34"/>
  <c r="O39" i="34"/>
  <c r="O40" i="34"/>
  <c r="O41" i="34"/>
  <c r="O42" i="34"/>
  <c r="O43" i="34"/>
  <c r="O44" i="34"/>
  <c r="O45" i="34"/>
  <c r="M20" i="34"/>
  <c r="M21" i="34"/>
  <c r="M22" i="34"/>
  <c r="M23" i="34"/>
  <c r="M24" i="34"/>
  <c r="M25" i="34"/>
  <c r="M26" i="34"/>
  <c r="M27" i="34"/>
  <c r="M28" i="34"/>
  <c r="M29" i="34"/>
  <c r="M30" i="34"/>
  <c r="M31" i="34"/>
  <c r="M32" i="34"/>
  <c r="N20" i="34"/>
  <c r="N21" i="34"/>
  <c r="N22" i="34"/>
  <c r="N23" i="34"/>
  <c r="N24" i="34"/>
  <c r="N25" i="34"/>
  <c r="N26" i="34"/>
  <c r="N27" i="34"/>
  <c r="N28" i="34"/>
  <c r="N29" i="34"/>
  <c r="N30" i="34"/>
  <c r="N31" i="34"/>
  <c r="N32" i="34"/>
  <c r="O20" i="34"/>
  <c r="O21" i="34"/>
  <c r="O22" i="34"/>
  <c r="O23" i="34"/>
  <c r="O24" i="34"/>
  <c r="O25" i="34"/>
  <c r="O26" i="34"/>
  <c r="O27" i="34"/>
  <c r="O28" i="34"/>
  <c r="O29" i="34"/>
  <c r="O30" i="34"/>
  <c r="O31" i="34"/>
  <c r="O32" i="34"/>
  <c r="M8" i="34"/>
  <c r="M9" i="34"/>
  <c r="M10" i="34"/>
  <c r="M11" i="34"/>
  <c r="M12" i="34"/>
  <c r="M13" i="34"/>
  <c r="M14" i="34"/>
  <c r="M15" i="34"/>
  <c r="M16" i="34"/>
  <c r="M17" i="34"/>
  <c r="M18" i="34"/>
  <c r="M19" i="34"/>
  <c r="N8" i="34"/>
  <c r="N9" i="34"/>
  <c r="N10" i="34"/>
  <c r="N11" i="34"/>
  <c r="N12" i="34"/>
  <c r="N13" i="34"/>
  <c r="N14" i="34"/>
  <c r="N15" i="34"/>
  <c r="N16" i="34"/>
  <c r="N17" i="34"/>
  <c r="N18" i="34"/>
  <c r="N19" i="34"/>
  <c r="O8" i="34"/>
  <c r="O9" i="34"/>
  <c r="O10" i="34"/>
  <c r="O11" i="34"/>
  <c r="O12" i="34"/>
  <c r="O13" i="34"/>
  <c r="O14" i="34"/>
  <c r="O15" i="34"/>
  <c r="O16" i="34"/>
  <c r="O17" i="34"/>
  <c r="O18" i="34"/>
  <c r="O19" i="34"/>
  <c r="B2" i="34" l="1"/>
  <c r="A2" i="34" s="1"/>
  <c r="O7" i="34" l="1"/>
  <c r="N7" i="34"/>
  <c r="M7" i="34"/>
  <c r="C22" i="33" l="1"/>
  <c r="E22" i="33"/>
  <c r="D8" i="33"/>
  <c r="D21" i="33"/>
  <c r="D20" i="33"/>
  <c r="D19" i="33"/>
  <c r="D18" i="33"/>
  <c r="D17" i="33"/>
  <c r="D16" i="33"/>
  <c r="D15" i="33"/>
  <c r="D14" i="33"/>
  <c r="D13" i="33"/>
  <c r="D12" i="33"/>
  <c r="D11" i="33"/>
  <c r="D10" i="33"/>
  <c r="D7" i="33"/>
  <c r="D9" i="33"/>
</calcChain>
</file>

<file path=xl/sharedStrings.xml><?xml version="1.0" encoding="utf-8"?>
<sst xmlns="http://schemas.openxmlformats.org/spreadsheetml/2006/main" count="777" uniqueCount="100">
  <si>
    <t>توفير</t>
  </si>
  <si>
    <t>هدايا</t>
  </si>
  <si>
    <t>Total</t>
  </si>
  <si>
    <t>مدارس</t>
  </si>
  <si>
    <t>طوارئ</t>
  </si>
  <si>
    <t>ملاحظات</t>
  </si>
  <si>
    <t>الصندوق</t>
  </si>
  <si>
    <t>القيمة الشهرية</t>
  </si>
  <si>
    <t>القيمة السنوية</t>
  </si>
  <si>
    <t>دورات</t>
  </si>
  <si>
    <t>صيانة السيارة</t>
  </si>
  <si>
    <t>فواتير</t>
  </si>
  <si>
    <t>اجازات</t>
  </si>
  <si>
    <t>مصاريف شهرية</t>
  </si>
  <si>
    <t>صرف</t>
  </si>
  <si>
    <t>ملابس</t>
  </si>
  <si>
    <t>دخل</t>
  </si>
  <si>
    <t>خارجي</t>
  </si>
  <si>
    <t>الراتب</t>
  </si>
  <si>
    <t>نوعه</t>
  </si>
  <si>
    <t>الشركة</t>
  </si>
  <si>
    <t>ايجار المنزل</t>
  </si>
  <si>
    <t>زكاة</t>
  </si>
  <si>
    <t>احسب حساب التامين السنوي و الترخيص</t>
  </si>
  <si>
    <t>إعدادات الصناديق</t>
  </si>
  <si>
    <t>مدفوع من شهر</t>
  </si>
  <si>
    <t>تاريخ الحركة</t>
  </si>
  <si>
    <t>من صندوق</t>
  </si>
  <si>
    <t>رصيد (من صندوق)</t>
  </si>
  <si>
    <t>إلى صندوق</t>
  </si>
  <si>
    <t>رصيد (إلى  صندوق)</t>
  </si>
  <si>
    <t>القيمة المقترحة</t>
  </si>
  <si>
    <t>القيمة / خطة</t>
  </si>
  <si>
    <t>القيمة الفعلية</t>
  </si>
  <si>
    <t>وصف الحركة</t>
  </si>
  <si>
    <t>الحالة</t>
  </si>
  <si>
    <t>فعالة؟</t>
  </si>
  <si>
    <t>من/إلى</t>
  </si>
  <si>
    <t>نوعه (من)</t>
  </si>
  <si>
    <t>نوعه (إلى)</t>
  </si>
  <si>
    <t>إيداع راتب</t>
  </si>
  <si>
    <t>التاريخ ا لحال</t>
  </si>
  <si>
    <t>التاريخ الفعال</t>
  </si>
  <si>
    <t>ضع تاريخ فعال يدوي</t>
  </si>
  <si>
    <t>الاشهر</t>
  </si>
  <si>
    <t>تم</t>
  </si>
  <si>
    <t>محجوز</t>
  </si>
  <si>
    <t>اقتطاع فواتير</t>
  </si>
  <si>
    <t>اقتطاع مصاريف شهرية</t>
  </si>
  <si>
    <t>اقتطاع مدارس</t>
  </si>
  <si>
    <t>اقتطاع ايجار المنزل</t>
  </si>
  <si>
    <t>اقتطاع توفير</t>
  </si>
  <si>
    <t>اقتطاع اجازات</t>
  </si>
  <si>
    <t>اقتطاع دورات</t>
  </si>
  <si>
    <t>اقتطاع زكاة</t>
  </si>
  <si>
    <t>اقتطاع صيانة السيارة</t>
  </si>
  <si>
    <t>اقتطاع ملابس</t>
  </si>
  <si>
    <t>اقتطاع هدايا</t>
  </si>
  <si>
    <t>اقتطاع طوارئ</t>
  </si>
  <si>
    <t>دفع الفواتير</t>
  </si>
  <si>
    <t>دفع مصاريف شهرية</t>
  </si>
  <si>
    <t>اخر قسط من سنة 2017/2018</t>
  </si>
  <si>
    <t>القسط الاول من سنة 2018/2019</t>
  </si>
  <si>
    <t>القسط الثاني من سنة 2018/2019</t>
  </si>
  <si>
    <t>دفع قسط اول ايجار المنزل</t>
  </si>
  <si>
    <t>دفع قسط ثاني ايجار المنزل</t>
  </si>
  <si>
    <t>تحويل للاستثمار</t>
  </si>
  <si>
    <t>مصاريف الاجازة</t>
  </si>
  <si>
    <t>دفع تكاليف دورة</t>
  </si>
  <si>
    <t>دفع الزكاة</t>
  </si>
  <si>
    <t>دفع صيانة سيارة</t>
  </si>
  <si>
    <t>شراء ملابس</t>
  </si>
  <si>
    <t>شراء هدايا</t>
  </si>
  <si>
    <t>دفع طوارئ</t>
  </si>
  <si>
    <t>201801</t>
  </si>
  <si>
    <t>201802</t>
  </si>
  <si>
    <t>201803</t>
  </si>
  <si>
    <t>201804</t>
  </si>
  <si>
    <t>201805</t>
  </si>
  <si>
    <t>201806</t>
  </si>
  <si>
    <t>201807</t>
  </si>
  <si>
    <t>201808</t>
  </si>
  <si>
    <t>201809</t>
  </si>
  <si>
    <t>201810</t>
  </si>
  <si>
    <t>201811</t>
  </si>
  <si>
    <t>201812</t>
  </si>
  <si>
    <t>المدخلات حسب الخطة</t>
  </si>
  <si>
    <t>المدخلات الفعلية</t>
  </si>
  <si>
    <t>وضع الصناديق</t>
  </si>
  <si>
    <t>شهر:</t>
  </si>
  <si>
    <t>نسبة المدخلات الفعلية من الخطة</t>
  </si>
  <si>
    <t>المصروفات حسب الخطة</t>
  </si>
  <si>
    <t>المصروفات الفعلية</t>
  </si>
  <si>
    <t>نسبة المصروفات الفعلية من الخطة</t>
  </si>
  <si>
    <t>الرصيد حسب الخطة</t>
  </si>
  <si>
    <t>الرصيد الفعلي</t>
  </si>
  <si>
    <t>حتى</t>
  </si>
  <si>
    <t>مجموع الدخل الفعلي</t>
  </si>
  <si>
    <t>مجموع الصرف الفعلي</t>
  </si>
  <si>
    <t>رصيد صفر؟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</si>
</sst>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F800]dddd\,\ mmmm\ dd\,\ yyyy"/>
    <numFmt numFmtId="165" formatCode="_(* #,##0_);_(* \(#,##0\);_(* &quot;-&quot;??_);_(@_)"/>
  </numFmts>
  <fonts count="8" x14ac:knownFonts="1">
    <font>
      <sz val="11"/>
      <color theme="1"/>
      <name val="Calibri"/>
      <family val="2"/>
      <scheme val="minor"/>
    </font>
    <font>
      <sz val="28"/>
      <color theme="0"/>
      <name val="Calibri"/>
      <family val="2"/>
      <scheme val="minor"/>
    </font>
    <font>
      <sz val="11"/>
      <color theme="0"/>
      <name val="Calibri"/>
      <family val="2"/>
      <scheme val="minor"/>
    </font>
    <font>
      <sz val="11"/>
      <color theme="0"/>
      <name val="Calibri"/>
      <family val="2"/>
      <scheme val="minor"/>
    </font>
    <font>
      <sz val="11"/>
      <color theme="0"/>
      <name val="Calibri"/>
      <family val="2"/>
      <scheme val="minor"/>
    </font>
    <font>
      <sz val="11"/>
      <color theme="1"/>
      <name val="Calibri"/>
      <family val="2"/>
      <scheme val="minor"/>
    </font>
    <font>
      <b/>
      <i/>
      <sz val="11"/>
      <color theme="1"/>
      <name val="Calibri"/>
      <family val="2"/>
      <scheme val="minor"/>
    </font>
    <font>
      <b/>
      <sz val="16"/>
      <color theme="1"/>
      <name val="Calibri"/>
      <family val="2"/>
      <scheme val="minor"/>
    </font>
  </fonts>
  <fills count="8">
    <fill>
      <patternFill patternType="none"/>
    </fill>
    <fill>
      <patternFill patternType="gray125"/>
    </fill>
    <fill>
      <patternFill patternType="solid">
        <fgColor rgb="FFC00000"/>
        <bgColor indexed="64"/>
      </patternFill>
    </fill>
    <fill>
      <patternFill patternType="solid">
        <fgColor theme="7"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1">
    <xf numFmtId="0" fontId="0" fillId="0" borderId="0" xfId="0"/>
    <xf numFmtId="0" fontId="0" fillId="0" borderId="0" xfId="0" applyNumberFormat="1"/>
    <xf numFmtId="0" fontId="2" fillId="3" borderId="0" xfId="0" applyFont="1" applyFill="1"/>
    <xf numFmtId="164" fontId="0" fillId="0" borderId="0" xfId="0" applyNumberFormat="1"/>
    <xf numFmtId="0" fontId="2" fillId="3" borderId="0" xfId="0" applyFont="1" applyFill="1" applyAlignment="1">
      <alignment wrapText="1"/>
    </xf>
    <xf numFmtId="14" fontId="2" fillId="3" borderId="0" xfId="0" applyNumberFormat="1" applyFont="1" applyFill="1"/>
    <xf numFmtId="14" fontId="2" fillId="2" borderId="0" xfId="0" applyNumberFormat="1" applyFont="1" applyFill="1"/>
    <xf numFmtId="0" fontId="2" fillId="3" borderId="0" xfId="0" applyNumberFormat="1" applyFont="1" applyFill="1"/>
    <xf numFmtId="0" fontId="3" fillId="3" borderId="0" xfId="0" applyFont="1" applyFill="1"/>
    <xf numFmtId="0" fontId="3" fillId="3" borderId="0" xfId="0" applyNumberFormat="1" applyFont="1" applyFill="1"/>
    <xf numFmtId="0" fontId="4" fillId="3" borderId="0" xfId="0" applyFont="1" applyFill="1"/>
    <xf numFmtId="0" fontId="4" fillId="3" borderId="0" xfId="0" applyNumberFormat="1" applyFont="1" applyFill="1"/>
    <xf numFmtId="165" fontId="6" fillId="0" borderId="1" xfId="1" applyNumberFormat="1" applyFont="1" applyBorder="1"/>
    <xf numFmtId="0" fontId="0" fillId="0" borderId="0" xfId="0" applyAlignment="1">
      <alignment horizontal="center"/>
    </xf>
    <xf numFmtId="0" fontId="7" fillId="4" borderId="0" xfId="0" applyFont="1" applyFill="1"/>
    <xf numFmtId="0" fontId="7" fillId="5" borderId="0" xfId="0" applyFont="1" applyFill="1"/>
    <xf numFmtId="9" fontId="0" fillId="0" borderId="0" xfId="2" applyFont="1"/>
    <xf numFmtId="0" fontId="2" fillId="6" borderId="0" xfId="0" applyFont="1" applyFill="1"/>
    <xf numFmtId="0" fontId="2" fillId="7" borderId="0" xfId="0" applyFont="1" applyFill="1"/>
    <xf numFmtId="0" fontId="2" fillId="0" borderId="0" xfId="0" applyFont="1"/>
    <xf numFmtId="0" fontId="1" fillId="2" borderId="0" xfId="0" applyFont="1" applyFill="1" applyAlignment="1">
      <alignment horizontal="center" vertical="center"/>
    </xf>
  </cellXfs>
  <cellStyles count="3">
    <cellStyle name="Comma" xfId="1" builtinId="3"/>
    <cellStyle name="Normal" xfId="0" builtinId="0"/>
    <cellStyle name="Percent" xfId="2" builtinId="5"/>
  </cellStyles>
  <dxfs count="43">
    <dxf>
      <font>
        <strike val="0"/>
        <outline val="0"/>
        <shadow val="0"/>
        <u val="none"/>
        <vertAlign val="baseline"/>
        <sz val="11"/>
        <color theme="0"/>
        <name val="Calibri"/>
        <scheme val="minor"/>
      </font>
      <numFmt numFmtId="0" formatCode="General"/>
      <fill>
        <patternFill patternType="solid">
          <fgColor indexed="64"/>
          <bgColor theme="7" tint="-0.249977111117893"/>
        </patternFill>
      </fill>
    </dxf>
    <dxf>
      <font>
        <strike val="0"/>
        <outline val="0"/>
        <shadow val="0"/>
        <u val="none"/>
        <vertAlign val="baseline"/>
        <sz val="11"/>
        <color theme="0"/>
        <name val="Calibri"/>
        <scheme val="minor"/>
      </font>
      <numFmt numFmtId="0" formatCode="General"/>
      <fill>
        <patternFill patternType="solid">
          <fgColor indexed="64"/>
          <bgColor theme="7" tint="-0.249977111117893"/>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font>
        <strike val="0"/>
        <outline val="0"/>
        <shadow val="0"/>
        <u val="none"/>
        <vertAlign val="baseline"/>
        <sz val="11"/>
        <color theme="0"/>
        <name val="Calibri"/>
        <scheme val="minor"/>
      </font>
      <numFmt numFmtId="0" formatCode="General"/>
      <fill>
        <patternFill patternType="solid">
          <fgColor indexed="64"/>
          <bgColor rgb="FFFF0000"/>
        </patternFill>
      </fill>
    </dxf>
    <dxf>
      <font>
        <strike val="0"/>
        <outline val="0"/>
        <shadow val="0"/>
        <u val="none"/>
        <vertAlign val="baseline"/>
        <sz val="11"/>
        <color theme="0"/>
        <name val="Calibri"/>
        <scheme val="minor"/>
      </font>
      <numFmt numFmtId="0" formatCode="General"/>
      <fill>
        <patternFill patternType="solid">
          <fgColor indexed="64"/>
          <bgColor rgb="FFFF0000"/>
        </patternFill>
      </fill>
    </dxf>
    <dxf>
      <numFmt numFmtId="13" formatCode="0%"/>
    </dxf>
    <dxf>
      <font>
        <strike val="0"/>
        <outline val="0"/>
        <shadow val="0"/>
        <u val="none"/>
        <vertAlign val="baseline"/>
        <sz val="11"/>
        <color theme="0"/>
        <name val="Calibri"/>
        <scheme val="minor"/>
      </font>
      <numFmt numFmtId="0" formatCode="General"/>
      <fill>
        <patternFill patternType="solid">
          <fgColor indexed="64"/>
          <bgColor rgb="FF00B050"/>
        </patternFill>
      </fill>
    </dxf>
    <dxf>
      <font>
        <strike val="0"/>
        <outline val="0"/>
        <shadow val="0"/>
        <u val="none"/>
        <vertAlign val="baseline"/>
        <sz val="11"/>
        <color theme="0"/>
        <name val="Calibri"/>
        <scheme val="minor"/>
      </font>
      <numFmt numFmtId="0" formatCode="General"/>
      <fill>
        <patternFill patternType="solid">
          <fgColor indexed="64"/>
          <bgColor rgb="FF00B050"/>
        </patternFill>
      </fill>
    </dxf>
    <dxf>
      <font>
        <color auto="1"/>
      </font>
      <fill>
        <patternFill>
          <bgColor theme="0"/>
        </patternFill>
      </fill>
    </dxf>
    <dxf>
      <font>
        <color theme="0"/>
      </font>
      <fill>
        <patternFill>
          <bgColor rgb="FFFF0000"/>
        </patternFill>
      </fill>
    </dxf>
    <dxf>
      <font>
        <color theme="0"/>
      </font>
      <fill>
        <patternFill>
          <bgColor rgb="FF00B050"/>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color theme="0"/>
      </font>
      <fill>
        <patternFill>
          <bgColor rgb="FF00B050"/>
        </patternFill>
      </fill>
    </dxf>
    <dxf>
      <font>
        <color theme="0"/>
      </font>
      <fill>
        <patternFill>
          <bgColor rgb="FFFF0000"/>
        </patternFill>
      </fill>
    </dxf>
    <dxf>
      <font>
        <color auto="1"/>
      </font>
      <fill>
        <patternFill>
          <bgColor theme="0"/>
        </patternFill>
      </fill>
    </dxf>
    <dxf>
      <font>
        <strike val="0"/>
        <outline val="0"/>
        <shadow val="0"/>
        <u val="none"/>
        <vertAlign val="baseline"/>
        <sz val="11"/>
        <color theme="0"/>
        <name val="Calibri"/>
        <scheme val="minor"/>
      </font>
      <fill>
        <patternFill patternType="solid">
          <fgColor indexed="64"/>
          <bgColor theme="7" tint="-0.249977111117893"/>
        </patternFill>
      </fill>
    </dxf>
    <dxf>
      <font>
        <strike val="0"/>
        <outline val="0"/>
        <shadow val="0"/>
        <u val="none"/>
        <vertAlign val="baseline"/>
        <sz val="11"/>
        <color theme="0"/>
        <name val="Calibri"/>
        <scheme val="minor"/>
      </font>
      <fill>
        <patternFill patternType="solid">
          <fgColor indexed="64"/>
          <bgColor theme="7" tint="-0.249977111117893"/>
        </patternFill>
      </fill>
    </dxf>
    <dxf>
      <font>
        <strike val="0"/>
        <outline val="0"/>
        <shadow val="0"/>
        <u val="none"/>
        <vertAlign val="baseline"/>
        <sz val="11"/>
        <color theme="0"/>
        <name val="Calibri"/>
        <scheme val="minor"/>
      </font>
      <fill>
        <patternFill patternType="solid">
          <fgColor indexed="64"/>
          <bgColor theme="7" tint="-0.249977111117893"/>
        </patternFill>
      </fill>
    </dxf>
    <dxf>
      <font>
        <b val="0"/>
        <i val="0"/>
        <strike val="0"/>
        <condense val="0"/>
        <extend val="0"/>
        <outline val="0"/>
        <shadow val="0"/>
        <u val="none"/>
        <vertAlign val="baseline"/>
        <sz val="11"/>
        <color theme="0"/>
        <name val="Calibri"/>
        <scheme val="minor"/>
      </font>
      <fill>
        <patternFill patternType="solid">
          <fgColor indexed="64"/>
          <bgColor theme="7" tint="-0.249977111117893"/>
        </patternFill>
      </fill>
    </dxf>
    <dxf>
      <font>
        <strike val="0"/>
        <outline val="0"/>
        <shadow val="0"/>
        <u val="none"/>
        <vertAlign val="baseline"/>
        <sz val="11"/>
        <color theme="0"/>
        <name val="Calibri"/>
        <scheme val="minor"/>
      </font>
      <numFmt numFmtId="0" formatCode="General"/>
      <fill>
        <patternFill patternType="solid">
          <fgColor indexed="64"/>
          <bgColor theme="7" tint="-0.249977111117893"/>
        </patternFill>
      </fill>
    </dxf>
    <dxf>
      <numFmt numFmtId="164" formatCode="[$-F800]dddd\,\ mmmm\ dd\,\ yyyy"/>
    </dxf>
    <dxf>
      <numFmt numFmtId="0" formatCode="General"/>
    </dxf>
    <dxf>
      <font>
        <b/>
        <color theme="1"/>
      </font>
      <border>
        <bottom style="thin">
          <color theme="5"/>
        </bottom>
        <vertical/>
        <horizontal/>
      </border>
    </dxf>
    <dxf>
      <font>
        <color theme="1"/>
      </font>
      <border>
        <left style="thin">
          <color theme="5"/>
        </left>
        <right style="thin">
          <color theme="5"/>
        </right>
        <top style="thin">
          <color theme="5"/>
        </top>
        <bottom style="thin">
          <color theme="5"/>
        </bottom>
        <vertical/>
        <horizontal/>
      </border>
    </dxf>
    <dxf>
      <font>
        <b val="0"/>
        <i val="0"/>
        <color theme="1"/>
      </font>
      <fill>
        <patternFill>
          <bgColor theme="0"/>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rgb="FFC00000"/>
        </patternFill>
      </fill>
      <border>
        <left style="thin">
          <color auto="1"/>
        </left>
        <right style="thin">
          <color auto="1"/>
        </right>
        <top style="thin">
          <color auto="1"/>
        </top>
        <bottom style="thin">
          <color auto="1"/>
        </bottom>
        <vertical style="thin">
          <color auto="1"/>
        </vertical>
        <horizontal style="thin">
          <color auto="1"/>
        </horizontal>
      </border>
    </dxf>
    <dxf>
      <font>
        <color theme="1"/>
      </font>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Akram" pivot="0" count="3">
      <tableStyleElement type="wholeTable" dxfId="42"/>
      <tableStyleElement type="headerRow" dxfId="41"/>
      <tableStyleElement type="firstRowStripe" dxfId="40"/>
    </tableStyle>
    <tableStyle name="SlicerStyleDark2 2" pivot="0" table="0" count="10">
      <tableStyleElement type="wholeTable" dxfId="39"/>
      <tableStyleElement type="headerRow" dxfId="38"/>
    </tableStyle>
  </tableStyles>
  <colors>
    <mruColors>
      <color rgb="FFFF66F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rgb="FFC00000"/>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theme="5"/>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76200</xdr:colOff>
      <xdr:row>0</xdr:row>
      <xdr:rowOff>152401</xdr:rowOff>
    </xdr:from>
    <xdr:to>
      <xdr:col>1</xdr:col>
      <xdr:colOff>601980</xdr:colOff>
      <xdr:row>3</xdr:row>
      <xdr:rowOff>38100</xdr:rowOff>
    </xdr:to>
    <mc:AlternateContent xmlns:mc="http://schemas.openxmlformats.org/markup-compatibility/2006" xmlns:sle15="http://schemas.microsoft.com/office/drawing/2012/slicer">
      <mc:Choice Requires="sle15">
        <xdr:graphicFrame macro="">
          <xdr:nvGraphicFramePr>
            <xdr:cNvPr id="2" name="نوعه"/>
            <xdr:cNvGraphicFramePr/>
          </xdr:nvGraphicFramePr>
          <xdr:xfrm>
            <a:off x="0" y="0"/>
            <a:ext cx="0" cy="0"/>
          </xdr:xfrm>
          <a:graphic>
            <a:graphicData uri="http://schemas.microsoft.com/office/drawing/2010/slicer">
              <sle:slicer xmlns:sle="http://schemas.microsoft.com/office/drawing/2010/slicer" name="نوعه"/>
            </a:graphicData>
          </a:graphic>
        </xdr:graphicFrame>
      </mc:Choice>
      <mc:Fallback xmlns="">
        <xdr:sp macro="" textlink="">
          <xdr:nvSpPr>
            <xdr:cNvPr id="0" name=""/>
            <xdr:cNvSpPr>
              <a:spLocks noTextEdit="1"/>
            </xdr:cNvSpPr>
          </xdr:nvSpPr>
          <xdr:spPr>
            <a:xfrm>
              <a:off x="9989941920" y="152401"/>
              <a:ext cx="1775460" cy="43433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678180</xdr:colOff>
      <xdr:row>4</xdr:row>
      <xdr:rowOff>38100</xdr:rowOff>
    </xdr:from>
    <xdr:to>
      <xdr:col>15</xdr:col>
      <xdr:colOff>289560</xdr:colOff>
      <xdr:row>30</xdr:row>
      <xdr:rowOff>83820</xdr:rowOff>
    </xdr:to>
    <mc:AlternateContent xmlns:mc="http://schemas.openxmlformats.org/markup-compatibility/2006" xmlns:sle15="http://schemas.microsoft.com/office/drawing/2012/slicer">
      <mc:Choice Requires="sle15">
        <xdr:graphicFrame macro="">
          <xdr:nvGraphicFramePr>
            <xdr:cNvPr id="2" name="الصندوق"/>
            <xdr:cNvGraphicFramePr/>
          </xdr:nvGraphicFramePr>
          <xdr:xfrm>
            <a:off x="0" y="0"/>
            <a:ext cx="0" cy="0"/>
          </xdr:xfrm>
          <a:graphic>
            <a:graphicData uri="http://schemas.microsoft.com/office/drawing/2010/slicer">
              <sle:slicer xmlns:sle="http://schemas.microsoft.com/office/drawing/2010/slicer" name="الصندوق"/>
            </a:graphicData>
          </a:graphic>
        </xdr:graphicFrame>
      </mc:Choice>
      <mc:Fallback xmlns="">
        <xdr:sp macro="" textlink="">
          <xdr:nvSpPr>
            <xdr:cNvPr id="0" name=""/>
            <xdr:cNvSpPr>
              <a:spLocks noTextEdit="1"/>
            </xdr:cNvSpPr>
          </xdr:nvSpPr>
          <xdr:spPr>
            <a:xfrm>
              <a:off x="9978252840" y="769620"/>
              <a:ext cx="1005840" cy="443484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15</xdr:col>
      <xdr:colOff>381000</xdr:colOff>
      <xdr:row>4</xdr:row>
      <xdr:rowOff>30481</xdr:rowOff>
    </xdr:from>
    <xdr:to>
      <xdr:col>16</xdr:col>
      <xdr:colOff>487680</xdr:colOff>
      <xdr:row>12</xdr:row>
      <xdr:rowOff>106681</xdr:rowOff>
    </xdr:to>
    <mc:AlternateContent xmlns:mc="http://schemas.openxmlformats.org/markup-compatibility/2006" xmlns:sle15="http://schemas.microsoft.com/office/drawing/2012/slicer">
      <mc:Choice Requires="sle15">
        <xdr:graphicFrame macro="">
          <xdr:nvGraphicFramePr>
            <xdr:cNvPr id="3" name="نوعه 1"/>
            <xdr:cNvGraphicFramePr/>
          </xdr:nvGraphicFramePr>
          <xdr:xfrm>
            <a:off x="0" y="0"/>
            <a:ext cx="0" cy="0"/>
          </xdr:xfrm>
          <a:graphic>
            <a:graphicData uri="http://schemas.microsoft.com/office/drawing/2010/slicer">
              <sle:slicer xmlns:sle="http://schemas.microsoft.com/office/drawing/2010/slicer" name="نوعه 1"/>
            </a:graphicData>
          </a:graphic>
        </xdr:graphicFrame>
      </mc:Choice>
      <mc:Fallback xmlns="">
        <xdr:sp macro="" textlink="">
          <xdr:nvSpPr>
            <xdr:cNvPr id="0" name=""/>
            <xdr:cNvSpPr>
              <a:spLocks noTextEdit="1"/>
            </xdr:cNvSpPr>
          </xdr:nvSpPr>
          <xdr:spPr>
            <a:xfrm>
              <a:off x="9977445120" y="762001"/>
              <a:ext cx="716280" cy="117348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80235</xdr:colOff>
      <xdr:row>4</xdr:row>
      <xdr:rowOff>169433</xdr:rowOff>
    </xdr:from>
    <xdr:to>
      <xdr:col>7</xdr:col>
      <xdr:colOff>542365</xdr:colOff>
      <xdr:row>10</xdr:row>
      <xdr:rowOff>89647</xdr:rowOff>
    </xdr:to>
    <mc:AlternateContent xmlns:mc="http://schemas.openxmlformats.org/markup-compatibility/2006">
      <mc:Choice xmlns:sle15="http://schemas.microsoft.com/office/drawing/2012/slicer" Requires="sle15">
        <xdr:graphicFrame macro="">
          <xdr:nvGraphicFramePr>
            <xdr:cNvPr id="2" name="رصيد صفر؟"/>
            <xdr:cNvGraphicFramePr/>
          </xdr:nvGraphicFramePr>
          <xdr:xfrm>
            <a:off x="0" y="0"/>
            <a:ext cx="0" cy="0"/>
          </xdr:xfrm>
          <a:graphic>
            <a:graphicData uri="http://schemas.microsoft.com/office/drawing/2010/slicer">
              <sle:slicer xmlns:sle="http://schemas.microsoft.com/office/drawing/2010/slicer" name="رصيد صفر؟"/>
            </a:graphicData>
          </a:graphic>
        </xdr:graphicFrame>
      </mc:Choice>
      <mc:Fallback>
        <xdr:sp macro="" textlink="">
          <xdr:nvSpPr>
            <xdr:cNvPr id="0" name=""/>
            <xdr:cNvSpPr>
              <a:spLocks noTextEdit="1"/>
            </xdr:cNvSpPr>
          </xdr:nvSpPr>
          <xdr:spPr>
            <a:xfrm>
              <a:off x="9982876835" y="904539"/>
              <a:ext cx="1071730" cy="1022873"/>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نوعه" sourceName="نوعه">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الصندوق" sourceName="الصندوق">
  <extLst>
    <x:ext xmlns:x15="http://schemas.microsoft.com/office/spreadsheetml/2010/11/main" uri="{2F2917AC-EB37-4324-AD4E-5DD8C200BD13}">
      <x15:tableSlicerCache tableId="2"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نوعه1" sourceName="نوعه">
  <extLst>
    <x:ext xmlns:x15="http://schemas.microsoft.com/office/spreadsheetml/2010/11/main" uri="{2F2917AC-EB37-4324-AD4E-5DD8C200BD13}">
      <x15:tableSlicerCache tableId="2"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رصيد_صفر?" sourceName="رصيد صفر؟">
  <extLst>
    <x:ext xmlns:x15="http://schemas.microsoft.com/office/spreadsheetml/2010/11/main" uri="{2F2917AC-EB37-4324-AD4E-5DD8C200BD13}">
      <x15:tableSlicerCache tableId="5"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نوعه" cache="Slicer_نوعه" caption="نوعه" columnCount="3" showCaption="0" style="SlicerStyleDark2 2" rowHeight="234950"/>
</slicers>
</file>

<file path=xl/slicers/slicer2.xml><?xml version="1.0" encoding="utf-8"?>
<slicers xmlns="http://schemas.microsoft.com/office/spreadsheetml/2009/9/main" xmlns:mc="http://schemas.openxmlformats.org/markup-compatibility/2006" xmlns:x="http://schemas.openxmlformats.org/spreadsheetml/2006/main" mc:Ignorable="x">
  <slicer name="الصندوق" cache="Slicer_الصندوق" caption="الصندوق" style="SlicerStyleDark2 2" rowHeight="234950"/>
  <slicer name="نوعه 1" cache="Slicer_نوعه1" caption="نوعه" style="SlicerStyleDark2 2" rowHeight="234950"/>
</slicers>
</file>

<file path=xl/slicers/slicer3.xml><?xml version="1.0" encoding="utf-8"?>
<slicers xmlns="http://schemas.microsoft.com/office/spreadsheetml/2009/9/main" xmlns:mc="http://schemas.openxmlformats.org/markup-compatibility/2006" xmlns:x="http://schemas.openxmlformats.org/spreadsheetml/2006/main" mc:Ignorable="x">
  <slicer name="رصيد صفر؟" cache="Slicer_رصيد_صفر?" caption="رصيد صفر؟" style="SlicerStyleDark2 2" rowHeight="234950"/>
</slicers>
</file>

<file path=xl/tables/table1.xml><?xml version="1.0" encoding="utf-8"?>
<table xmlns="http://schemas.openxmlformats.org/spreadsheetml/2006/main" id="1" name="Table1" displayName="Table1" ref="A6:E22" totalsRowCount="1">
  <autoFilter ref="A6:E21"/>
  <sortState ref="A7:E21">
    <sortCondition ref="B6:B21"/>
  </sortState>
  <tableColumns count="5">
    <tableColumn id="1" name="الصندوق" totalsRowLabel="Total"/>
    <tableColumn id="2" name="نوعه"/>
    <tableColumn id="3" name="القيمة الشهرية" totalsRowFunction="sum"/>
    <tableColumn id="4" name="القيمة السنوية" dataDxfId="37">
      <calculatedColumnFormula>12*Table1[[#This Row],[القيمة الشهرية]]</calculatedColumnFormula>
    </tableColumn>
    <tableColumn id="5" name="ملاحظات" totalsRowFunction="count"/>
  </tableColumns>
  <tableStyleInfo name="Akram" showFirstColumn="0" showLastColumn="0" showRowStripes="1" showColumnStripes="0"/>
</table>
</file>

<file path=xl/tables/table2.xml><?xml version="1.0" encoding="utf-8"?>
<table xmlns="http://schemas.openxmlformats.org/spreadsheetml/2006/main" id="3" name="الحركات" displayName="الحركات" ref="A6:O234" totalsRowShown="0">
  <autoFilter ref="A6:O234"/>
  <tableColumns count="15">
    <tableColumn id="1" name="مدفوع من شهر"/>
    <tableColumn id="2" name="تاريخ الحركة" dataDxfId="36"/>
    <tableColumn id="3" name="من صندوق"/>
    <tableColumn id="4" name="رصيد (من صندوق)" dataDxfId="1">
      <calculatedColumnFormula>VLOOKUP(الحركات[[#This Row],[من صندوق]],Table5[],5,0)</calculatedColumnFormula>
    </tableColumn>
    <tableColumn id="5" name="إلى صندوق"/>
    <tableColumn id="6" name="رصيد (إلى  صندوق)" dataDxfId="0">
      <calculatedColumnFormula>VLOOKUP(الحركات[[#This Row],[إلى صندوق]],Table5[[الصندوق]:[الرصيد الفعلي]],5,0)</calculatedColumnFormula>
    </tableColumn>
    <tableColumn id="7" name="القيمة المقترحة" dataDxfId="35">
      <calculatedColumnFormula>IF(VLOOKUP(الحركات[إلى صندوق],Table1[],3,0)=0,VLOOKUP(الحركات[[#This Row],[من صندوق]],Table1[[الصندوق]:[القيمة الشهرية]],3,0),VLOOKUP(الحركات[إلى صندوق],Table1[],3,0))</calculatedColumnFormula>
    </tableColumn>
    <tableColumn id="8" name="القيمة / خطة"/>
    <tableColumn id="9" name="القيمة الفعلية"/>
    <tableColumn id="10" name="وصف الحركة"/>
    <tableColumn id="11" name="الحالة"/>
    <tableColumn id="12" name="فعالة؟" dataDxfId="34"/>
    <tableColumn id="13" name="من/إلى" dataDxfId="33">
      <calculatedColumnFormula>الحركات[من صندوق]&amp;"/"&amp;الحركات[إلى صندوق]</calculatedColumnFormula>
    </tableColumn>
    <tableColumn id="14" name="نوعه (من)" dataDxfId="32">
      <calculatedColumnFormula>VLOOKUP(الحركات[من صندوق],Table1[],2,0)</calculatedColumnFormula>
    </tableColumn>
    <tableColumn id="15" name="نوعه (إلى)" dataDxfId="31">
      <calculatedColumnFormula>VLOOKUP(الحركات[إلى صندوق],Table1[[الصندوق]:[نوعه]],2,0)</calculatedColumnFormula>
    </tableColumn>
  </tableColumns>
  <tableStyleInfo name="Akram" showFirstColumn="0" showLastColumn="0" showRowStripes="1" showColumnStripes="0"/>
</table>
</file>

<file path=xl/tables/table3.xml><?xml version="1.0" encoding="utf-8"?>
<table xmlns="http://schemas.openxmlformats.org/spreadsheetml/2006/main" id="2" name="شهر12" displayName="شهر12" ref="A6:N22" totalsRowCount="1">
  <autoFilter ref="A6:N21">
    <filterColumn colId="1">
      <filters>
        <filter val="دخل"/>
        <filter val="صرف"/>
      </filters>
    </filterColumn>
  </autoFilter>
  <tableColumns count="14">
    <tableColumn id="1" name="الصندوق" totalsRowLabel="Total">
      <calculatedColumnFormula>Table1[[#This Row],[الصندوق]]</calculatedColumnFormula>
    </tableColumn>
    <tableColumn id="2" name="نوعه">
      <calculatedColumnFormula>Table1[[#This Row],[نوعه]]</calculatedColumnFormula>
    </tableColumn>
    <tableColumn id="3" name="201801" totalsRowFunction="sum" dataDxfId="27">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4" name="201802" totalsRowFunction="sum" dataDxfId="26">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5" name="201803" totalsRowFunction="sum" dataDxfId="25">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6" name="201804" totalsRowFunction="sum" dataDxfId="24">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7" name="201805" totalsRowFunction="sum" dataDxfId="23">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8" name="201806" totalsRowFunction="sum" dataDxfId="22">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9" name="201807" totalsRowFunction="sum" dataDxfId="21">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10" name="201808" totalsRowFunction="sum" dataDxfId="20">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11" name="201809" totalsRowFunction="sum" dataDxfId="19">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12" name="201810" totalsRowFunction="sum" dataDxfId="18">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13" name="201811" totalsRowFunction="sum" dataDxfId="17">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 id="14" name="201812" totalsRowFunction="sum" dataDxfId="16">
      <calculatedColumnFormula>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calculatedColumnFormula>
    </tableColumn>
  </tableColumns>
  <tableStyleInfo name="Akram" showFirstColumn="0" showLastColumn="0" showRowStripes="1" showColumnStripes="0"/>
</table>
</file>

<file path=xl/tables/table4.xml><?xml version="1.0" encoding="utf-8"?>
<table xmlns="http://schemas.openxmlformats.org/spreadsheetml/2006/main" id="4" name="Table4" displayName="Table4" ref="A6:I21" totalsRowShown="0">
  <autoFilter ref="A6:I21"/>
  <tableColumns count="9">
    <tableColumn id="1" name="الصندوق">
      <calculatedColumnFormula>Table1[[#This Row],[الصندوق]]</calculatedColumnFormula>
    </tableColumn>
    <tableColumn id="2" name="المدخلات حسب الخطة" dataDxfId="12">
      <calculatedColumnFormula>SUMIFS(الحركات[القيمة / خطة],الحركات[إلى صندوق],Table4[[#This Row],[الصندوق]],الحركات[مدفوع من شهر],$F$3)</calculatedColumnFormula>
    </tableColumn>
    <tableColumn id="3" name="المدخلات الفعلية" dataDxfId="11">
      <calculatedColumnFormula>SUMIFS(الحركات[القيمة الفعلية],الحركات[إلى صندوق],Table4[[#This Row],[الصندوق]],الحركات[مدفوع من شهر],$F$3)</calculatedColumnFormula>
    </tableColumn>
    <tableColumn id="4" name="نسبة المدخلات الفعلية من الخطة" dataDxfId="10" dataCellStyle="Percent">
      <calculatedColumnFormula>IFERROR(Table4[[#This Row],[المدخلات الفعلية]]/Table4[[#This Row],[المدخلات حسب الخطة]],1)</calculatedColumnFormula>
    </tableColumn>
    <tableColumn id="5" name="المصروفات حسب الخطة" dataDxfId="9">
      <calculatedColumnFormula>SUMIFS(الحركات[القيمة / خطة],الحركات[من صندوق],Table4[[#This Row],[الصندوق]],الحركات[مدفوع من شهر],'الوضع في شهر'!$F$3)</calculatedColumnFormula>
    </tableColumn>
    <tableColumn id="6" name="المصروفات الفعلية" dataDxfId="8">
      <calculatedColumnFormula>SUMIFS(الحركات[القيمة الفعلية],الحركات[من صندوق],Table4[[#This Row],[الصندوق]],الحركات[مدفوع من شهر],$F$3)</calculatedColumnFormula>
    </tableColumn>
    <tableColumn id="7" name="نسبة المصروفات الفعلية من الخطة" dataCellStyle="Percent">
      <calculatedColumnFormula>IFERROR(Table4[[#This Row],[المصروفات الفعلية]]/Table4[[#This Row],[المصروفات حسب الخطة]],1)</calculatedColumnFormula>
    </tableColumn>
    <tableColumn id="8" name="الرصيد حسب الخطة" dataDxfId="7">
      <calculatedColumnFormula>Table4[[#This Row],[المدخلات حسب الخطة]]-Table4[[#This Row],[المصروفات حسب الخطة]]</calculatedColumnFormula>
    </tableColumn>
    <tableColumn id="9" name="الرصيد الفعلي" dataDxfId="6">
      <calculatedColumnFormula>Table4[[#This Row],[المدخلات الفعلية]]-Table4[[#This Row],[المصروفات الفعلية]]</calculatedColumnFormula>
    </tableColumn>
  </tableColumns>
  <tableStyleInfo name="Akram" showFirstColumn="0" showLastColumn="0" showRowStripes="1" showColumnStripes="0"/>
</table>
</file>

<file path=xl/tables/table5.xml><?xml version="1.0" encoding="utf-8"?>
<table xmlns="http://schemas.openxmlformats.org/spreadsheetml/2006/main" id="5" name="Table5" displayName="Table5" ref="A6:F21" totalsRowShown="0">
  <autoFilter ref="A6:F21"/>
  <tableColumns count="6">
    <tableColumn id="1" name="الصندوق">
      <calculatedColumnFormula>Table1[[#This Row],[الصندوق]]</calculatedColumnFormula>
    </tableColumn>
    <tableColumn id="2" name="نوعه">
      <calculatedColumnFormula>Table1[[#This Row],[نوعه]]</calculatedColumnFormula>
    </tableColumn>
    <tableColumn id="3" name="مجموع الدخل الفعلي" dataDxfId="5">
      <calculatedColumnFormula>SUMIFS(الحركات[القيمة الفعلية],الحركات[إلى صندوق],Table5[[#This Row],[الصندوق]])</calculatedColumnFormula>
    </tableColumn>
    <tableColumn id="4" name="مجموع الصرف الفعلي" dataDxfId="4">
      <calculatedColumnFormula>SUMIFS(الحركات[القيمة الفعلية],الحركات[من صندوق],Table5[[#This Row],[الصندوق]])</calculatedColumnFormula>
    </tableColumn>
    <tableColumn id="5" name="الرصيد الفعلي" dataDxfId="3">
      <calculatedColumnFormula>Table5[[#This Row],[مجموع الدخل الفعلي]]-Table5[[#This Row],[مجموع الصرف الفعلي]]</calculatedColumnFormula>
    </tableColumn>
    <tableColumn id="6" name="رصيد صفر؟" dataDxfId="2">
      <calculatedColumnFormula>Table5[[#This Row],[الرصيد الفعلي]]=0</calculatedColumnFormula>
    </tableColumn>
  </tableColumns>
  <tableStyleInfo name="Akram" showFirstColumn="0" showLastColumn="0" showRowStripes="1" showColumnStripes="0"/>
</table>
</file>

<file path=xl/tables/table6.xml><?xml version="1.0" encoding="utf-8"?>
<table xmlns="http://schemas.openxmlformats.org/spreadsheetml/2006/main" id="6" name="Months" displayName="Months" ref="A1:A13" totalsRowShown="0">
  <autoFilter ref="A1:A13"/>
  <tableColumns count="1">
    <tableColumn id="1" name="الاشهر"/>
  </tableColumns>
  <tableStyleInfo name="TableStyleMedium2" showFirstColumn="0" showLastColumn="0" showRowStripes="1" showColumnStripes="0"/>
</table>
</file>

<file path=xl/tables/table7.xml><?xml version="1.0" encoding="utf-8"?>
<table xmlns="http://schemas.openxmlformats.org/spreadsheetml/2006/main" id="7" name="Table7" displayName="Table7" ref="C1:C3" totalsRowShown="0">
  <autoFilter ref="C1:C3"/>
  <tableColumns count="1">
    <tableColumn id="1" name="الحالة"/>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table" Target="../tables/table5.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rightToLeft="1" workbookViewId="0">
      <selection activeCell="B13" sqref="B13"/>
    </sheetView>
  </sheetViews>
  <sheetFormatPr defaultRowHeight="14.4" x14ac:dyDescent="0.3"/>
  <cols>
    <col min="1" max="4" width="18.21875" customWidth="1"/>
    <col min="5" max="5" width="28.21875" customWidth="1"/>
    <col min="6" max="6" width="12.109375" customWidth="1"/>
  </cols>
  <sheetData>
    <row r="1" spans="1:5" x14ac:dyDescent="0.3">
      <c r="A1" s="20" t="s">
        <v>24</v>
      </c>
      <c r="B1" s="20"/>
      <c r="C1" s="20"/>
      <c r="D1" s="20"/>
      <c r="E1" s="20"/>
    </row>
    <row r="2" spans="1:5" x14ac:dyDescent="0.3">
      <c r="A2" s="20"/>
      <c r="B2" s="20"/>
      <c r="C2" s="20"/>
      <c r="D2" s="20"/>
      <c r="E2" s="20"/>
    </row>
    <row r="3" spans="1:5" x14ac:dyDescent="0.3">
      <c r="A3" s="20"/>
      <c r="B3" s="20"/>
      <c r="C3" s="20"/>
      <c r="D3" s="20"/>
      <c r="E3" s="20"/>
    </row>
    <row r="4" spans="1:5" x14ac:dyDescent="0.3">
      <c r="A4" s="20"/>
      <c r="B4" s="20"/>
      <c r="C4" s="20"/>
      <c r="D4" s="20"/>
      <c r="E4" s="20"/>
    </row>
    <row r="6" spans="1:5" x14ac:dyDescent="0.3">
      <c r="A6" t="s">
        <v>6</v>
      </c>
      <c r="B6" t="s">
        <v>19</v>
      </c>
      <c r="C6" t="s">
        <v>7</v>
      </c>
      <c r="D6" t="s">
        <v>8</v>
      </c>
      <c r="E6" t="s">
        <v>5</v>
      </c>
    </row>
    <row r="7" spans="1:5" x14ac:dyDescent="0.3">
      <c r="A7" t="s">
        <v>20</v>
      </c>
      <c r="B7" t="s">
        <v>17</v>
      </c>
      <c r="C7">
        <v>10000</v>
      </c>
      <c r="D7">
        <f>12*Table1[[#This Row],[القيمة الشهرية]]</f>
        <v>120000</v>
      </c>
    </row>
    <row r="8" spans="1:5" x14ac:dyDescent="0.3">
      <c r="A8" t="s">
        <v>14</v>
      </c>
      <c r="B8" t="s">
        <v>17</v>
      </c>
      <c r="D8" s="1">
        <f>12*Table1[[#This Row],[القيمة الشهرية]]</f>
        <v>0</v>
      </c>
    </row>
    <row r="9" spans="1:5" x14ac:dyDescent="0.3">
      <c r="A9" t="s">
        <v>18</v>
      </c>
      <c r="B9" t="s">
        <v>16</v>
      </c>
      <c r="C9">
        <v>10000</v>
      </c>
      <c r="D9">
        <f>12*Table1[[#This Row],[القيمة الشهرية]]</f>
        <v>120000</v>
      </c>
    </row>
    <row r="10" spans="1:5" x14ac:dyDescent="0.3">
      <c r="A10" t="s">
        <v>11</v>
      </c>
      <c r="B10" t="s">
        <v>14</v>
      </c>
      <c r="C10">
        <v>250</v>
      </c>
      <c r="D10" s="1">
        <f>12*Table1[[#This Row],[القيمة الشهرية]]</f>
        <v>3000</v>
      </c>
    </row>
    <row r="11" spans="1:5" x14ac:dyDescent="0.3">
      <c r="A11" t="s">
        <v>13</v>
      </c>
      <c r="B11" t="s">
        <v>14</v>
      </c>
      <c r="C11">
        <v>4000</v>
      </c>
      <c r="D11" s="1">
        <f>12*Table1[[#This Row],[القيمة الشهرية]]</f>
        <v>48000</v>
      </c>
    </row>
    <row r="12" spans="1:5" x14ac:dyDescent="0.3">
      <c r="A12" t="s">
        <v>3</v>
      </c>
      <c r="B12" t="s">
        <v>14</v>
      </c>
      <c r="C12">
        <v>2000</v>
      </c>
      <c r="D12" s="1">
        <f>12*Table1[[#This Row],[القيمة الشهرية]]</f>
        <v>24000</v>
      </c>
    </row>
    <row r="13" spans="1:5" x14ac:dyDescent="0.3">
      <c r="A13" t="s">
        <v>21</v>
      </c>
      <c r="B13" t="s">
        <v>14</v>
      </c>
      <c r="C13">
        <v>1500</v>
      </c>
      <c r="D13" s="1">
        <f>12*Table1[[#This Row],[القيمة الشهرية]]</f>
        <v>18000</v>
      </c>
    </row>
    <row r="14" spans="1:5" x14ac:dyDescent="0.3">
      <c r="A14" t="s">
        <v>0</v>
      </c>
      <c r="B14" t="s">
        <v>14</v>
      </c>
      <c r="C14">
        <v>500</v>
      </c>
      <c r="D14" s="1">
        <f>12*Table1[[#This Row],[القيمة الشهرية]]</f>
        <v>6000</v>
      </c>
    </row>
    <row r="15" spans="1:5" x14ac:dyDescent="0.3">
      <c r="A15" t="s">
        <v>12</v>
      </c>
      <c r="B15" t="s">
        <v>14</v>
      </c>
      <c r="C15">
        <v>400</v>
      </c>
      <c r="D15" s="1">
        <f>12*Table1[[#This Row],[القيمة الشهرية]]</f>
        <v>4800</v>
      </c>
    </row>
    <row r="16" spans="1:5" x14ac:dyDescent="0.3">
      <c r="A16" t="s">
        <v>9</v>
      </c>
      <c r="B16" t="s">
        <v>14</v>
      </c>
      <c r="C16">
        <v>200</v>
      </c>
      <c r="D16" s="1">
        <f>12*Table1[[#This Row],[القيمة الشهرية]]</f>
        <v>2400</v>
      </c>
    </row>
    <row r="17" spans="1:5" x14ac:dyDescent="0.3">
      <c r="A17" t="s">
        <v>22</v>
      </c>
      <c r="B17" t="s">
        <v>14</v>
      </c>
      <c r="C17">
        <v>200</v>
      </c>
      <c r="D17" s="1">
        <f>12*Table1[[#This Row],[القيمة الشهرية]]</f>
        <v>2400</v>
      </c>
    </row>
    <row r="18" spans="1:5" x14ac:dyDescent="0.3">
      <c r="A18" t="s">
        <v>10</v>
      </c>
      <c r="B18" t="s">
        <v>14</v>
      </c>
      <c r="C18">
        <v>250</v>
      </c>
      <c r="D18" s="1">
        <f>12*Table1[[#This Row],[القيمة الشهرية]]</f>
        <v>3000</v>
      </c>
      <c r="E18" t="s">
        <v>23</v>
      </c>
    </row>
    <row r="19" spans="1:5" x14ac:dyDescent="0.3">
      <c r="A19" t="s">
        <v>15</v>
      </c>
      <c r="B19" t="s">
        <v>14</v>
      </c>
      <c r="C19">
        <v>300</v>
      </c>
      <c r="D19" s="1">
        <f>12*Table1[[#This Row],[القيمة الشهرية]]</f>
        <v>3600</v>
      </c>
    </row>
    <row r="20" spans="1:5" x14ac:dyDescent="0.3">
      <c r="A20" t="s">
        <v>1</v>
      </c>
      <c r="B20" t="s">
        <v>14</v>
      </c>
      <c r="C20">
        <v>200</v>
      </c>
      <c r="D20" s="1">
        <f>12*Table1[[#This Row],[القيمة الشهرية]]</f>
        <v>2400</v>
      </c>
    </row>
    <row r="21" spans="1:5" x14ac:dyDescent="0.3">
      <c r="A21" t="s">
        <v>4</v>
      </c>
      <c r="B21" t="s">
        <v>14</v>
      </c>
      <c r="C21">
        <v>200</v>
      </c>
      <c r="D21" s="1">
        <f>12*Table1[[#This Row],[القيمة الشهرية]]</f>
        <v>2400</v>
      </c>
    </row>
    <row r="22" spans="1:5" x14ac:dyDescent="0.3">
      <c r="A22" t="s">
        <v>2</v>
      </c>
      <c r="C22">
        <f>SUBTOTAL(109,Table1[القيمة الشهرية])</f>
        <v>30000</v>
      </c>
      <c r="E22">
        <f>SUBTOTAL(103,Table1[ملاحظات])</f>
        <v>1</v>
      </c>
    </row>
  </sheetData>
  <mergeCells count="1">
    <mergeCell ref="A1:E4"/>
  </mergeCells>
  <pageMargins left="0.7" right="0.7" top="0.75" bottom="0.75" header="0.3" footer="0.3"/>
  <pageSetup paperSize="9" orientation="portrait"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4"/>
  <sheetViews>
    <sheetView showGridLines="0" rightToLeft="1" tabSelected="1" zoomScale="170" zoomScaleNormal="170" workbookViewId="0">
      <selection activeCell="F8" sqref="F8"/>
    </sheetView>
  </sheetViews>
  <sheetFormatPr defaultRowHeight="14.4" x14ac:dyDescent="0.3"/>
  <cols>
    <col min="1" max="1" width="13.21875" customWidth="1"/>
    <col min="2" max="2" width="21.44140625" bestFit="1" customWidth="1"/>
    <col min="3" max="3" width="13.6640625" customWidth="1"/>
    <col min="4" max="4" width="16.21875" customWidth="1"/>
    <col min="5" max="5" width="13" customWidth="1"/>
    <col min="6" max="6" width="16.33203125" customWidth="1"/>
    <col min="7" max="7" width="13.5546875" bestFit="1" customWidth="1"/>
    <col min="8" max="8" width="12.21875" customWidth="1"/>
    <col min="9" max="9" width="12.109375" customWidth="1"/>
    <col min="10" max="10" width="15.77734375" bestFit="1" customWidth="1"/>
    <col min="11" max="11" width="8.6640625" customWidth="1"/>
    <col min="12" max="12" width="7.33203125" customWidth="1"/>
    <col min="13" max="13" width="15.6640625" bestFit="1" customWidth="1"/>
    <col min="14" max="14" width="10" customWidth="1"/>
    <col min="15" max="15" width="9.33203125" customWidth="1"/>
  </cols>
  <sheetData>
    <row r="1" spans="1:15" ht="28.8" x14ac:dyDescent="0.3">
      <c r="A1" s="2" t="s">
        <v>42</v>
      </c>
      <c r="B1" s="2" t="s">
        <v>41</v>
      </c>
      <c r="C1" s="4" t="s">
        <v>43</v>
      </c>
    </row>
    <row r="2" spans="1:15" x14ac:dyDescent="0.3">
      <c r="A2" s="5">
        <f ca="1">IF(ISBLANK(C2),B2,C2)</f>
        <v>43241</v>
      </c>
      <c r="B2" s="5">
        <f ca="1">TODAY()</f>
        <v>43241</v>
      </c>
      <c r="C2" s="6"/>
    </row>
    <row r="5" spans="1:15" x14ac:dyDescent="0.3">
      <c r="A5" s="12">
        <f>SUBTOTAL(3,الحركات[مدفوع من شهر])</f>
        <v>228</v>
      </c>
      <c r="H5" s="12">
        <f>SUBTOTAL(9,الحركات[القيمة / خطة])</f>
        <v>360000</v>
      </c>
      <c r="I5" s="12">
        <f>SUBTOTAL(9,الحركات[القيمة الفعلية])</f>
        <v>0</v>
      </c>
      <c r="J5" s="12">
        <f>H5-I5</f>
        <v>360000</v>
      </c>
    </row>
    <row r="6" spans="1:15" x14ac:dyDescent="0.3">
      <c r="A6" t="s">
        <v>25</v>
      </c>
      <c r="B6" t="s">
        <v>26</v>
      </c>
      <c r="C6" t="s">
        <v>27</v>
      </c>
      <c r="D6" t="s">
        <v>28</v>
      </c>
      <c r="E6" t="s">
        <v>29</v>
      </c>
      <c r="F6" t="s">
        <v>30</v>
      </c>
      <c r="G6" t="s">
        <v>31</v>
      </c>
      <c r="H6" t="s">
        <v>32</v>
      </c>
      <c r="I6" t="s">
        <v>33</v>
      </c>
      <c r="J6" t="s">
        <v>34</v>
      </c>
      <c r="K6" t="s">
        <v>35</v>
      </c>
      <c r="L6" t="s">
        <v>36</v>
      </c>
      <c r="M6" t="s">
        <v>37</v>
      </c>
      <c r="N6" t="s">
        <v>38</v>
      </c>
      <c r="O6" t="s">
        <v>39</v>
      </c>
    </row>
    <row r="7" spans="1:15" x14ac:dyDescent="0.3">
      <c r="A7">
        <v>201801</v>
      </c>
      <c r="B7" s="3"/>
      <c r="C7" t="s">
        <v>20</v>
      </c>
      <c r="D7" s="2">
        <f>VLOOKUP(الحركات[[#This Row],[من صندوق]],Table5[],5,0)</f>
        <v>0</v>
      </c>
      <c r="E7" t="s">
        <v>18</v>
      </c>
      <c r="F7" s="2">
        <f>VLOOKUP(الحركات[[#This Row],[إلى صندوق]],Table5[[الصندوق]:[الرصيد الفعلي]],5,0)</f>
        <v>0</v>
      </c>
      <c r="G7" s="2">
        <f>IF(VLOOKUP(الحركات[إلى صندوق],Table1[],3,0)=0,VLOOKUP(الحركات[[#This Row],[من صندوق]],Table1[[الصندوق]:[القيمة الشهرية]],3,0),VLOOKUP(الحركات[إلى صندوق],Table1[],3,0))</f>
        <v>10000</v>
      </c>
      <c r="H7">
        <v>10000</v>
      </c>
      <c r="J7" t="s">
        <v>40</v>
      </c>
      <c r="L7" s="2"/>
      <c r="M7" s="2" t="str">
        <f>الحركات[من صندوق]&amp;"/"&amp;الحركات[إلى صندوق]</f>
        <v>الشركة/الراتب</v>
      </c>
      <c r="N7" s="2" t="str">
        <f>VLOOKUP(الحركات[من صندوق],Table1[],2,0)</f>
        <v>خارجي</v>
      </c>
      <c r="O7" s="2" t="str">
        <f>VLOOKUP(الحركات[إلى صندوق],Table1[[الصندوق]:[نوعه]],2,0)</f>
        <v>دخل</v>
      </c>
    </row>
    <row r="8" spans="1:15" x14ac:dyDescent="0.3">
      <c r="A8">
        <v>201801</v>
      </c>
      <c r="B8" s="3"/>
      <c r="C8" t="s">
        <v>18</v>
      </c>
      <c r="D8" s="2">
        <f>VLOOKUP(الحركات[[#This Row],[من صندوق]],Table5[],5,0)</f>
        <v>0</v>
      </c>
      <c r="E8" t="s">
        <v>11</v>
      </c>
      <c r="F8" s="2">
        <f>VLOOKUP(الحركات[[#This Row],[إلى صندوق]],Table5[[الصندوق]:[الرصيد الفعلي]],5,0)</f>
        <v>0</v>
      </c>
      <c r="G8" s="7">
        <f>IF(VLOOKUP(الحركات[إلى صندوق],Table1[],3,0)=0,VLOOKUP(الحركات[[#This Row],[من صندوق]],Table1[[الصندوق]:[القيمة الشهرية]],3,0),VLOOKUP(الحركات[إلى صندوق],Table1[],3,0))</f>
        <v>250</v>
      </c>
      <c r="H8">
        <v>250</v>
      </c>
      <c r="J8" t="s">
        <v>47</v>
      </c>
      <c r="L8" s="2"/>
      <c r="M8" s="2" t="str">
        <f>الحركات[من صندوق]&amp;"/"&amp;الحركات[إلى صندوق]</f>
        <v>الراتب/فواتير</v>
      </c>
      <c r="N8" s="2" t="str">
        <f>VLOOKUP(الحركات[من صندوق],Table1[],2,0)</f>
        <v>دخل</v>
      </c>
      <c r="O8" s="2" t="str">
        <f>VLOOKUP(الحركات[إلى صندوق],Table1[[الصندوق]:[نوعه]],2,0)</f>
        <v>صرف</v>
      </c>
    </row>
    <row r="9" spans="1:15" x14ac:dyDescent="0.3">
      <c r="A9">
        <v>201801</v>
      </c>
      <c r="B9" s="3"/>
      <c r="C9" t="s">
        <v>18</v>
      </c>
      <c r="D9" s="2">
        <f>VLOOKUP(الحركات[[#This Row],[من صندوق]],Table5[],5,0)</f>
        <v>0</v>
      </c>
      <c r="E9" t="s">
        <v>13</v>
      </c>
      <c r="F9" s="2">
        <f>VLOOKUP(الحركات[[#This Row],[إلى صندوق]],Table5[[الصندوق]:[الرصيد الفعلي]],5,0)</f>
        <v>0</v>
      </c>
      <c r="G9" s="7">
        <f>IF(VLOOKUP(الحركات[إلى صندوق],Table1[],3,0)=0,VLOOKUP(الحركات[[#This Row],[من صندوق]],Table1[[الصندوق]:[القيمة الشهرية]],3,0),VLOOKUP(الحركات[إلى صندوق],Table1[],3,0))</f>
        <v>4000</v>
      </c>
      <c r="H9">
        <v>4000</v>
      </c>
      <c r="J9" t="s">
        <v>48</v>
      </c>
      <c r="L9" s="2"/>
      <c r="M9" s="2" t="str">
        <f>الحركات[من صندوق]&amp;"/"&amp;الحركات[إلى صندوق]</f>
        <v>الراتب/مصاريف شهرية</v>
      </c>
      <c r="N9" s="2" t="str">
        <f>VLOOKUP(الحركات[من صندوق],Table1[],2,0)</f>
        <v>دخل</v>
      </c>
      <c r="O9" s="2" t="str">
        <f>VLOOKUP(الحركات[إلى صندوق],Table1[[الصندوق]:[نوعه]],2,0)</f>
        <v>صرف</v>
      </c>
    </row>
    <row r="10" spans="1:15" x14ac:dyDescent="0.3">
      <c r="A10">
        <v>201801</v>
      </c>
      <c r="B10" s="3"/>
      <c r="C10" t="s">
        <v>18</v>
      </c>
      <c r="D10" s="2">
        <f>VLOOKUP(الحركات[[#This Row],[من صندوق]],Table5[],5,0)</f>
        <v>0</v>
      </c>
      <c r="E10" t="s">
        <v>3</v>
      </c>
      <c r="F10" s="2">
        <f>VLOOKUP(الحركات[[#This Row],[إلى صندوق]],Table5[[الصندوق]:[الرصيد الفعلي]],5,0)</f>
        <v>0</v>
      </c>
      <c r="G10" s="7">
        <f>IF(VLOOKUP(الحركات[إلى صندوق],Table1[],3,0)=0,VLOOKUP(الحركات[[#This Row],[من صندوق]],Table1[[الصندوق]:[القيمة الشهرية]],3,0),VLOOKUP(الحركات[إلى صندوق],Table1[],3,0))</f>
        <v>2000</v>
      </c>
      <c r="H10">
        <v>2000</v>
      </c>
      <c r="J10" t="s">
        <v>49</v>
      </c>
      <c r="L10" s="2"/>
      <c r="M10" s="2" t="str">
        <f>الحركات[من صندوق]&amp;"/"&amp;الحركات[إلى صندوق]</f>
        <v>الراتب/مدارس</v>
      </c>
      <c r="N10" s="2" t="str">
        <f>VLOOKUP(الحركات[من صندوق],Table1[],2,0)</f>
        <v>دخل</v>
      </c>
      <c r="O10" s="2" t="str">
        <f>VLOOKUP(الحركات[إلى صندوق],Table1[[الصندوق]:[نوعه]],2,0)</f>
        <v>صرف</v>
      </c>
    </row>
    <row r="11" spans="1:15" x14ac:dyDescent="0.3">
      <c r="A11">
        <v>201801</v>
      </c>
      <c r="B11" s="3"/>
      <c r="C11" t="s">
        <v>18</v>
      </c>
      <c r="D11" s="2">
        <f>VLOOKUP(الحركات[[#This Row],[من صندوق]],Table5[],5,0)</f>
        <v>0</v>
      </c>
      <c r="E11" t="s">
        <v>21</v>
      </c>
      <c r="F11" s="2">
        <f>VLOOKUP(الحركات[[#This Row],[إلى صندوق]],Table5[[الصندوق]:[الرصيد الفعلي]],5,0)</f>
        <v>0</v>
      </c>
      <c r="G11" s="7">
        <f>IF(VLOOKUP(الحركات[إلى صندوق],Table1[],3,0)=0,VLOOKUP(الحركات[[#This Row],[من صندوق]],Table1[[الصندوق]:[القيمة الشهرية]],3,0),VLOOKUP(الحركات[إلى صندوق],Table1[],3,0))</f>
        <v>1500</v>
      </c>
      <c r="H11">
        <v>1500</v>
      </c>
      <c r="J11" t="s">
        <v>50</v>
      </c>
      <c r="L11" s="2"/>
      <c r="M11" s="2" t="str">
        <f>الحركات[من صندوق]&amp;"/"&amp;الحركات[إلى صندوق]</f>
        <v>الراتب/ايجار المنزل</v>
      </c>
      <c r="N11" s="2" t="str">
        <f>VLOOKUP(الحركات[من صندوق],Table1[],2,0)</f>
        <v>دخل</v>
      </c>
      <c r="O11" s="2" t="str">
        <f>VLOOKUP(الحركات[إلى صندوق],Table1[[الصندوق]:[نوعه]],2,0)</f>
        <v>صرف</v>
      </c>
    </row>
    <row r="12" spans="1:15" x14ac:dyDescent="0.3">
      <c r="A12">
        <v>201801</v>
      </c>
      <c r="B12" s="3"/>
      <c r="C12" t="s">
        <v>18</v>
      </c>
      <c r="D12" s="2">
        <f>VLOOKUP(الحركات[[#This Row],[من صندوق]],Table5[],5,0)</f>
        <v>0</v>
      </c>
      <c r="E12" t="s">
        <v>0</v>
      </c>
      <c r="F12" s="2">
        <f>VLOOKUP(الحركات[[#This Row],[إلى صندوق]],Table5[[الصندوق]:[الرصيد الفعلي]],5,0)</f>
        <v>0</v>
      </c>
      <c r="G12" s="7">
        <f>IF(VLOOKUP(الحركات[إلى صندوق],Table1[],3,0)=0,VLOOKUP(الحركات[[#This Row],[من صندوق]],Table1[[الصندوق]:[القيمة الشهرية]],3,0),VLOOKUP(الحركات[إلى صندوق],Table1[],3,0))</f>
        <v>500</v>
      </c>
      <c r="H12">
        <v>500</v>
      </c>
      <c r="J12" t="s">
        <v>51</v>
      </c>
      <c r="L12" s="2"/>
      <c r="M12" s="2" t="str">
        <f>الحركات[من صندوق]&amp;"/"&amp;الحركات[إلى صندوق]</f>
        <v>الراتب/توفير</v>
      </c>
      <c r="N12" s="2" t="str">
        <f>VLOOKUP(الحركات[من صندوق],Table1[],2,0)</f>
        <v>دخل</v>
      </c>
      <c r="O12" s="2" t="str">
        <f>VLOOKUP(الحركات[إلى صندوق],Table1[[الصندوق]:[نوعه]],2,0)</f>
        <v>صرف</v>
      </c>
    </row>
    <row r="13" spans="1:15" x14ac:dyDescent="0.3">
      <c r="A13">
        <v>201801</v>
      </c>
      <c r="B13" s="3"/>
      <c r="C13" t="s">
        <v>18</v>
      </c>
      <c r="D13" s="2">
        <f>VLOOKUP(الحركات[[#This Row],[من صندوق]],Table5[],5,0)</f>
        <v>0</v>
      </c>
      <c r="E13" t="s">
        <v>12</v>
      </c>
      <c r="F13" s="2">
        <f>VLOOKUP(الحركات[[#This Row],[إلى صندوق]],Table5[[الصندوق]:[الرصيد الفعلي]],5,0)</f>
        <v>0</v>
      </c>
      <c r="G13" s="7">
        <f>IF(VLOOKUP(الحركات[إلى صندوق],Table1[],3,0)=0,VLOOKUP(الحركات[[#This Row],[من صندوق]],Table1[[الصندوق]:[القيمة الشهرية]],3,0),VLOOKUP(الحركات[إلى صندوق],Table1[],3,0))</f>
        <v>400</v>
      </c>
      <c r="H13">
        <v>400</v>
      </c>
      <c r="J13" t="s">
        <v>52</v>
      </c>
      <c r="L13" s="2"/>
      <c r="M13" s="2" t="str">
        <f>الحركات[من صندوق]&amp;"/"&amp;الحركات[إلى صندوق]</f>
        <v>الراتب/اجازات</v>
      </c>
      <c r="N13" s="2" t="str">
        <f>VLOOKUP(الحركات[من صندوق],Table1[],2,0)</f>
        <v>دخل</v>
      </c>
      <c r="O13" s="2" t="str">
        <f>VLOOKUP(الحركات[إلى صندوق],Table1[[الصندوق]:[نوعه]],2,0)</f>
        <v>صرف</v>
      </c>
    </row>
    <row r="14" spans="1:15" x14ac:dyDescent="0.3">
      <c r="A14">
        <v>201801</v>
      </c>
      <c r="B14" s="3"/>
      <c r="C14" t="s">
        <v>18</v>
      </c>
      <c r="D14" s="2">
        <f>VLOOKUP(الحركات[[#This Row],[من صندوق]],Table5[],5,0)</f>
        <v>0</v>
      </c>
      <c r="E14" t="s">
        <v>9</v>
      </c>
      <c r="F14" s="2">
        <f>VLOOKUP(الحركات[[#This Row],[إلى صندوق]],Table5[[الصندوق]:[الرصيد الفعلي]],5,0)</f>
        <v>0</v>
      </c>
      <c r="G14" s="7">
        <f>IF(VLOOKUP(الحركات[إلى صندوق],Table1[],3,0)=0,VLOOKUP(الحركات[[#This Row],[من صندوق]],Table1[[الصندوق]:[القيمة الشهرية]],3,0),VLOOKUP(الحركات[إلى صندوق],Table1[],3,0))</f>
        <v>200</v>
      </c>
      <c r="H14">
        <v>200</v>
      </c>
      <c r="J14" t="s">
        <v>53</v>
      </c>
      <c r="L14" s="2"/>
      <c r="M14" s="2" t="str">
        <f>الحركات[من صندوق]&amp;"/"&amp;الحركات[إلى صندوق]</f>
        <v>الراتب/دورات</v>
      </c>
      <c r="N14" s="2" t="str">
        <f>VLOOKUP(الحركات[من صندوق],Table1[],2,0)</f>
        <v>دخل</v>
      </c>
      <c r="O14" s="2" t="str">
        <f>VLOOKUP(الحركات[إلى صندوق],Table1[[الصندوق]:[نوعه]],2,0)</f>
        <v>صرف</v>
      </c>
    </row>
    <row r="15" spans="1:15" x14ac:dyDescent="0.3">
      <c r="A15">
        <v>201801</v>
      </c>
      <c r="B15" s="3"/>
      <c r="C15" t="s">
        <v>18</v>
      </c>
      <c r="D15" s="2">
        <f>VLOOKUP(الحركات[[#This Row],[من صندوق]],Table5[],5,0)</f>
        <v>0</v>
      </c>
      <c r="E15" t="s">
        <v>22</v>
      </c>
      <c r="F15" s="2">
        <f>VLOOKUP(الحركات[[#This Row],[إلى صندوق]],Table5[[الصندوق]:[الرصيد الفعلي]],5,0)</f>
        <v>0</v>
      </c>
      <c r="G15" s="7">
        <f>IF(VLOOKUP(الحركات[إلى صندوق],Table1[],3,0)=0,VLOOKUP(الحركات[[#This Row],[من صندوق]],Table1[[الصندوق]:[القيمة الشهرية]],3,0),VLOOKUP(الحركات[إلى صندوق],Table1[],3,0))</f>
        <v>200</v>
      </c>
      <c r="H15">
        <v>200</v>
      </c>
      <c r="J15" t="s">
        <v>54</v>
      </c>
      <c r="L15" s="2"/>
      <c r="M15" s="2" t="str">
        <f>الحركات[من صندوق]&amp;"/"&amp;الحركات[إلى صندوق]</f>
        <v>الراتب/زكاة</v>
      </c>
      <c r="N15" s="2" t="str">
        <f>VLOOKUP(الحركات[من صندوق],Table1[],2,0)</f>
        <v>دخل</v>
      </c>
      <c r="O15" s="2" t="str">
        <f>VLOOKUP(الحركات[إلى صندوق],Table1[[الصندوق]:[نوعه]],2,0)</f>
        <v>صرف</v>
      </c>
    </row>
    <row r="16" spans="1:15" x14ac:dyDescent="0.3">
      <c r="A16">
        <v>201801</v>
      </c>
      <c r="B16" s="3"/>
      <c r="C16" t="s">
        <v>18</v>
      </c>
      <c r="D16" s="2">
        <f>VLOOKUP(الحركات[[#This Row],[من صندوق]],Table5[],5,0)</f>
        <v>0</v>
      </c>
      <c r="E16" t="s">
        <v>10</v>
      </c>
      <c r="F16" s="2">
        <f>VLOOKUP(الحركات[[#This Row],[إلى صندوق]],Table5[[الصندوق]:[الرصيد الفعلي]],5,0)</f>
        <v>0</v>
      </c>
      <c r="G16" s="7">
        <f>IF(VLOOKUP(الحركات[إلى صندوق],Table1[],3,0)=0,VLOOKUP(الحركات[[#This Row],[من صندوق]],Table1[[الصندوق]:[القيمة الشهرية]],3,0),VLOOKUP(الحركات[إلى صندوق],Table1[],3,0))</f>
        <v>250</v>
      </c>
      <c r="H16">
        <v>250</v>
      </c>
      <c r="J16" t="s">
        <v>55</v>
      </c>
      <c r="L16" s="2"/>
      <c r="M16" s="2" t="str">
        <f>الحركات[من صندوق]&amp;"/"&amp;الحركات[إلى صندوق]</f>
        <v>الراتب/صيانة السيارة</v>
      </c>
      <c r="N16" s="2" t="str">
        <f>VLOOKUP(الحركات[من صندوق],Table1[],2,0)</f>
        <v>دخل</v>
      </c>
      <c r="O16" s="2" t="str">
        <f>VLOOKUP(الحركات[إلى صندوق],Table1[[الصندوق]:[نوعه]],2,0)</f>
        <v>صرف</v>
      </c>
    </row>
    <row r="17" spans="1:15" x14ac:dyDescent="0.3">
      <c r="A17">
        <v>201801</v>
      </c>
      <c r="B17" s="3"/>
      <c r="C17" t="s">
        <v>18</v>
      </c>
      <c r="D17" s="2">
        <f>VLOOKUP(الحركات[[#This Row],[من صندوق]],Table5[],5,0)</f>
        <v>0</v>
      </c>
      <c r="E17" t="s">
        <v>15</v>
      </c>
      <c r="F17" s="2">
        <f>VLOOKUP(الحركات[[#This Row],[إلى صندوق]],Table5[[الصندوق]:[الرصيد الفعلي]],5,0)</f>
        <v>0</v>
      </c>
      <c r="G17" s="7">
        <f>IF(VLOOKUP(الحركات[إلى صندوق],Table1[],3,0)=0,VLOOKUP(الحركات[[#This Row],[من صندوق]],Table1[[الصندوق]:[القيمة الشهرية]],3,0),VLOOKUP(الحركات[إلى صندوق],Table1[],3,0))</f>
        <v>300</v>
      </c>
      <c r="H17">
        <v>300</v>
      </c>
      <c r="J17" t="s">
        <v>56</v>
      </c>
      <c r="L17" s="2"/>
      <c r="M17" s="2" t="str">
        <f>الحركات[من صندوق]&amp;"/"&amp;الحركات[إلى صندوق]</f>
        <v>الراتب/ملابس</v>
      </c>
      <c r="N17" s="2" t="str">
        <f>VLOOKUP(الحركات[من صندوق],Table1[],2,0)</f>
        <v>دخل</v>
      </c>
      <c r="O17" s="2" t="str">
        <f>VLOOKUP(الحركات[إلى صندوق],Table1[[الصندوق]:[نوعه]],2,0)</f>
        <v>صرف</v>
      </c>
    </row>
    <row r="18" spans="1:15" x14ac:dyDescent="0.3">
      <c r="A18">
        <v>201801</v>
      </c>
      <c r="B18" s="3"/>
      <c r="C18" t="s">
        <v>18</v>
      </c>
      <c r="D18" s="2">
        <f>VLOOKUP(الحركات[[#This Row],[من صندوق]],Table5[],5,0)</f>
        <v>0</v>
      </c>
      <c r="E18" t="s">
        <v>1</v>
      </c>
      <c r="F18" s="2">
        <f>VLOOKUP(الحركات[[#This Row],[إلى صندوق]],Table5[[الصندوق]:[الرصيد الفعلي]],5,0)</f>
        <v>0</v>
      </c>
      <c r="G18" s="7">
        <f>IF(VLOOKUP(الحركات[إلى صندوق],Table1[],3,0)=0,VLOOKUP(الحركات[[#This Row],[من صندوق]],Table1[[الصندوق]:[القيمة الشهرية]],3,0),VLOOKUP(الحركات[إلى صندوق],Table1[],3,0))</f>
        <v>200</v>
      </c>
      <c r="H18">
        <v>200</v>
      </c>
      <c r="J18" t="s">
        <v>57</v>
      </c>
      <c r="L18" s="2"/>
      <c r="M18" s="2" t="str">
        <f>الحركات[من صندوق]&amp;"/"&amp;الحركات[إلى صندوق]</f>
        <v>الراتب/هدايا</v>
      </c>
      <c r="N18" s="2" t="str">
        <f>VLOOKUP(الحركات[من صندوق],Table1[],2,0)</f>
        <v>دخل</v>
      </c>
      <c r="O18" s="2" t="str">
        <f>VLOOKUP(الحركات[إلى صندوق],Table1[[الصندوق]:[نوعه]],2,0)</f>
        <v>صرف</v>
      </c>
    </row>
    <row r="19" spans="1:15" x14ac:dyDescent="0.3">
      <c r="A19">
        <v>201801</v>
      </c>
      <c r="B19" s="3"/>
      <c r="C19" t="s">
        <v>18</v>
      </c>
      <c r="D19" s="2">
        <f>VLOOKUP(الحركات[[#This Row],[من صندوق]],Table5[],5,0)</f>
        <v>0</v>
      </c>
      <c r="E19" t="s">
        <v>4</v>
      </c>
      <c r="F19" s="2">
        <f>VLOOKUP(الحركات[[#This Row],[إلى صندوق]],Table5[[الصندوق]:[الرصيد الفعلي]],5,0)</f>
        <v>0</v>
      </c>
      <c r="G19" s="7">
        <f>IF(VLOOKUP(الحركات[إلى صندوق],Table1[],3,0)=0,VLOOKUP(الحركات[[#This Row],[من صندوق]],Table1[[الصندوق]:[القيمة الشهرية]],3,0),VLOOKUP(الحركات[إلى صندوق],Table1[],3,0))</f>
        <v>200</v>
      </c>
      <c r="H19">
        <v>200</v>
      </c>
      <c r="J19" t="s">
        <v>58</v>
      </c>
      <c r="L19" s="2"/>
      <c r="M19" s="2" t="str">
        <f>الحركات[من صندوق]&amp;"/"&amp;الحركات[إلى صندوق]</f>
        <v>الراتب/طوارئ</v>
      </c>
      <c r="N19" s="2" t="str">
        <f>VLOOKUP(الحركات[من صندوق],Table1[],2,0)</f>
        <v>دخل</v>
      </c>
      <c r="O19" s="2" t="str">
        <f>VLOOKUP(الحركات[إلى صندوق],Table1[[الصندوق]:[نوعه]],2,0)</f>
        <v>صرف</v>
      </c>
    </row>
    <row r="20" spans="1:15" x14ac:dyDescent="0.3">
      <c r="A20">
        <v>201802</v>
      </c>
      <c r="B20" s="3"/>
      <c r="C20" t="s">
        <v>20</v>
      </c>
      <c r="D20" s="2">
        <f>VLOOKUP(الحركات[[#This Row],[من صندوق]],Table5[],5,0)</f>
        <v>0</v>
      </c>
      <c r="E20" t="s">
        <v>18</v>
      </c>
      <c r="F20" s="2">
        <f>VLOOKUP(الحركات[[#This Row],[إلى صندوق]],Table5[[الصندوق]:[الرصيد الفعلي]],5,0)</f>
        <v>0</v>
      </c>
      <c r="G20" s="7">
        <f>IF(VLOOKUP(الحركات[إلى صندوق],Table1[],3,0)=0,VLOOKUP(الحركات[[#This Row],[من صندوق]],Table1[[الصندوق]:[القيمة الشهرية]],3,0),VLOOKUP(الحركات[إلى صندوق],Table1[],3,0))</f>
        <v>10000</v>
      </c>
      <c r="H20">
        <v>10000</v>
      </c>
      <c r="J20" t="s">
        <v>40</v>
      </c>
      <c r="L20" s="2"/>
      <c r="M20" s="2" t="str">
        <f>الحركات[من صندوق]&amp;"/"&amp;الحركات[إلى صندوق]</f>
        <v>الشركة/الراتب</v>
      </c>
      <c r="N20" s="2" t="str">
        <f>VLOOKUP(الحركات[من صندوق],Table1[],2,0)</f>
        <v>خارجي</v>
      </c>
      <c r="O20" s="2" t="str">
        <f>VLOOKUP(الحركات[إلى صندوق],Table1[[الصندوق]:[نوعه]],2,0)</f>
        <v>دخل</v>
      </c>
    </row>
    <row r="21" spans="1:15" x14ac:dyDescent="0.3">
      <c r="A21">
        <v>201802</v>
      </c>
      <c r="B21" s="3"/>
      <c r="C21" t="s">
        <v>18</v>
      </c>
      <c r="D21" s="2">
        <f>VLOOKUP(الحركات[[#This Row],[من صندوق]],Table5[],5,0)</f>
        <v>0</v>
      </c>
      <c r="E21" t="s">
        <v>11</v>
      </c>
      <c r="F21" s="2">
        <f>VLOOKUP(الحركات[[#This Row],[إلى صندوق]],Table5[[الصندوق]:[الرصيد الفعلي]],5,0)</f>
        <v>0</v>
      </c>
      <c r="G21" s="7">
        <f>IF(VLOOKUP(الحركات[إلى صندوق],Table1[],3,0)=0,VLOOKUP(الحركات[[#This Row],[من صندوق]],Table1[[الصندوق]:[القيمة الشهرية]],3,0),VLOOKUP(الحركات[إلى صندوق],Table1[],3,0))</f>
        <v>250</v>
      </c>
      <c r="H21">
        <v>250</v>
      </c>
      <c r="J21" t="s">
        <v>47</v>
      </c>
      <c r="L21" s="2"/>
      <c r="M21" s="2" t="str">
        <f>الحركات[من صندوق]&amp;"/"&amp;الحركات[إلى صندوق]</f>
        <v>الراتب/فواتير</v>
      </c>
      <c r="N21" s="2" t="str">
        <f>VLOOKUP(الحركات[من صندوق],Table1[],2,0)</f>
        <v>دخل</v>
      </c>
      <c r="O21" s="2" t="str">
        <f>VLOOKUP(الحركات[إلى صندوق],Table1[[الصندوق]:[نوعه]],2,0)</f>
        <v>صرف</v>
      </c>
    </row>
    <row r="22" spans="1:15" x14ac:dyDescent="0.3">
      <c r="A22">
        <v>201802</v>
      </c>
      <c r="B22" s="3"/>
      <c r="C22" t="s">
        <v>18</v>
      </c>
      <c r="D22" s="2">
        <f>VLOOKUP(الحركات[[#This Row],[من صندوق]],Table5[],5,0)</f>
        <v>0</v>
      </c>
      <c r="E22" t="s">
        <v>13</v>
      </c>
      <c r="F22" s="2">
        <f>VLOOKUP(الحركات[[#This Row],[إلى صندوق]],Table5[[الصندوق]:[الرصيد الفعلي]],5,0)</f>
        <v>0</v>
      </c>
      <c r="G22" s="7">
        <f>IF(VLOOKUP(الحركات[إلى صندوق],Table1[],3,0)=0,VLOOKUP(الحركات[[#This Row],[من صندوق]],Table1[[الصندوق]:[القيمة الشهرية]],3,0),VLOOKUP(الحركات[إلى صندوق],Table1[],3,0))</f>
        <v>4000</v>
      </c>
      <c r="H22">
        <v>4000</v>
      </c>
      <c r="J22" t="s">
        <v>48</v>
      </c>
      <c r="L22" s="2"/>
      <c r="M22" s="2" t="str">
        <f>الحركات[من صندوق]&amp;"/"&amp;الحركات[إلى صندوق]</f>
        <v>الراتب/مصاريف شهرية</v>
      </c>
      <c r="N22" s="2" t="str">
        <f>VLOOKUP(الحركات[من صندوق],Table1[],2,0)</f>
        <v>دخل</v>
      </c>
      <c r="O22" s="2" t="str">
        <f>VLOOKUP(الحركات[إلى صندوق],Table1[[الصندوق]:[نوعه]],2,0)</f>
        <v>صرف</v>
      </c>
    </row>
    <row r="23" spans="1:15" x14ac:dyDescent="0.3">
      <c r="A23">
        <v>201802</v>
      </c>
      <c r="B23" s="3"/>
      <c r="C23" t="s">
        <v>18</v>
      </c>
      <c r="D23" s="2">
        <f>VLOOKUP(الحركات[[#This Row],[من صندوق]],Table5[],5,0)</f>
        <v>0</v>
      </c>
      <c r="E23" t="s">
        <v>3</v>
      </c>
      <c r="F23" s="2">
        <f>VLOOKUP(الحركات[[#This Row],[إلى صندوق]],Table5[[الصندوق]:[الرصيد الفعلي]],5,0)</f>
        <v>0</v>
      </c>
      <c r="G23" s="7">
        <f>IF(VLOOKUP(الحركات[إلى صندوق],Table1[],3,0)=0,VLOOKUP(الحركات[[#This Row],[من صندوق]],Table1[[الصندوق]:[القيمة الشهرية]],3,0),VLOOKUP(الحركات[إلى صندوق],Table1[],3,0))</f>
        <v>2000</v>
      </c>
      <c r="H23">
        <v>2000</v>
      </c>
      <c r="J23" t="s">
        <v>49</v>
      </c>
      <c r="L23" s="2"/>
      <c r="M23" s="2" t="str">
        <f>الحركات[من صندوق]&amp;"/"&amp;الحركات[إلى صندوق]</f>
        <v>الراتب/مدارس</v>
      </c>
      <c r="N23" s="2" t="str">
        <f>VLOOKUP(الحركات[من صندوق],Table1[],2,0)</f>
        <v>دخل</v>
      </c>
      <c r="O23" s="2" t="str">
        <f>VLOOKUP(الحركات[إلى صندوق],Table1[[الصندوق]:[نوعه]],2,0)</f>
        <v>صرف</v>
      </c>
    </row>
    <row r="24" spans="1:15" x14ac:dyDescent="0.3">
      <c r="A24">
        <v>201802</v>
      </c>
      <c r="B24" s="3"/>
      <c r="C24" t="s">
        <v>18</v>
      </c>
      <c r="D24" s="2">
        <f>VLOOKUP(الحركات[[#This Row],[من صندوق]],Table5[],5,0)</f>
        <v>0</v>
      </c>
      <c r="E24" t="s">
        <v>21</v>
      </c>
      <c r="F24" s="2">
        <f>VLOOKUP(الحركات[[#This Row],[إلى صندوق]],Table5[[الصندوق]:[الرصيد الفعلي]],5,0)</f>
        <v>0</v>
      </c>
      <c r="G24" s="7">
        <f>IF(VLOOKUP(الحركات[إلى صندوق],Table1[],3,0)=0,VLOOKUP(الحركات[[#This Row],[من صندوق]],Table1[[الصندوق]:[القيمة الشهرية]],3,0),VLOOKUP(الحركات[إلى صندوق],Table1[],3,0))</f>
        <v>1500</v>
      </c>
      <c r="H24">
        <v>1500</v>
      </c>
      <c r="J24" t="s">
        <v>50</v>
      </c>
      <c r="L24" s="2"/>
      <c r="M24" s="2" t="str">
        <f>الحركات[من صندوق]&amp;"/"&amp;الحركات[إلى صندوق]</f>
        <v>الراتب/ايجار المنزل</v>
      </c>
      <c r="N24" s="2" t="str">
        <f>VLOOKUP(الحركات[من صندوق],Table1[],2,0)</f>
        <v>دخل</v>
      </c>
      <c r="O24" s="2" t="str">
        <f>VLOOKUP(الحركات[إلى صندوق],Table1[[الصندوق]:[نوعه]],2,0)</f>
        <v>صرف</v>
      </c>
    </row>
    <row r="25" spans="1:15" x14ac:dyDescent="0.3">
      <c r="A25">
        <v>201802</v>
      </c>
      <c r="B25" s="3"/>
      <c r="C25" t="s">
        <v>18</v>
      </c>
      <c r="D25" s="2">
        <f>VLOOKUP(الحركات[[#This Row],[من صندوق]],Table5[],5,0)</f>
        <v>0</v>
      </c>
      <c r="E25" t="s">
        <v>0</v>
      </c>
      <c r="F25" s="2">
        <f>VLOOKUP(الحركات[[#This Row],[إلى صندوق]],Table5[[الصندوق]:[الرصيد الفعلي]],5,0)</f>
        <v>0</v>
      </c>
      <c r="G25" s="7">
        <f>IF(VLOOKUP(الحركات[إلى صندوق],Table1[],3,0)=0,VLOOKUP(الحركات[[#This Row],[من صندوق]],Table1[[الصندوق]:[القيمة الشهرية]],3,0),VLOOKUP(الحركات[إلى صندوق],Table1[],3,0))</f>
        <v>500</v>
      </c>
      <c r="H25">
        <v>500</v>
      </c>
      <c r="J25" t="s">
        <v>51</v>
      </c>
      <c r="L25" s="2"/>
      <c r="M25" s="2" t="str">
        <f>الحركات[من صندوق]&amp;"/"&amp;الحركات[إلى صندوق]</f>
        <v>الراتب/توفير</v>
      </c>
      <c r="N25" s="2" t="str">
        <f>VLOOKUP(الحركات[من صندوق],Table1[],2,0)</f>
        <v>دخل</v>
      </c>
      <c r="O25" s="2" t="str">
        <f>VLOOKUP(الحركات[إلى صندوق],Table1[[الصندوق]:[نوعه]],2,0)</f>
        <v>صرف</v>
      </c>
    </row>
    <row r="26" spans="1:15" x14ac:dyDescent="0.3">
      <c r="A26">
        <v>201802</v>
      </c>
      <c r="B26" s="3"/>
      <c r="C26" t="s">
        <v>18</v>
      </c>
      <c r="D26" s="2">
        <f>VLOOKUP(الحركات[[#This Row],[من صندوق]],Table5[],5,0)</f>
        <v>0</v>
      </c>
      <c r="E26" t="s">
        <v>12</v>
      </c>
      <c r="F26" s="2">
        <f>VLOOKUP(الحركات[[#This Row],[إلى صندوق]],Table5[[الصندوق]:[الرصيد الفعلي]],5,0)</f>
        <v>0</v>
      </c>
      <c r="G26" s="7">
        <f>IF(VLOOKUP(الحركات[إلى صندوق],Table1[],3,0)=0,VLOOKUP(الحركات[[#This Row],[من صندوق]],Table1[[الصندوق]:[القيمة الشهرية]],3,0),VLOOKUP(الحركات[إلى صندوق],Table1[],3,0))</f>
        <v>400</v>
      </c>
      <c r="H26">
        <v>400</v>
      </c>
      <c r="J26" t="s">
        <v>52</v>
      </c>
      <c r="L26" s="2"/>
      <c r="M26" s="2" t="str">
        <f>الحركات[من صندوق]&amp;"/"&amp;الحركات[إلى صندوق]</f>
        <v>الراتب/اجازات</v>
      </c>
      <c r="N26" s="2" t="str">
        <f>VLOOKUP(الحركات[من صندوق],Table1[],2,0)</f>
        <v>دخل</v>
      </c>
      <c r="O26" s="2" t="str">
        <f>VLOOKUP(الحركات[إلى صندوق],Table1[[الصندوق]:[نوعه]],2,0)</f>
        <v>صرف</v>
      </c>
    </row>
    <row r="27" spans="1:15" x14ac:dyDescent="0.3">
      <c r="A27">
        <v>201802</v>
      </c>
      <c r="B27" s="3"/>
      <c r="C27" t="s">
        <v>18</v>
      </c>
      <c r="D27" s="2">
        <f>VLOOKUP(الحركات[[#This Row],[من صندوق]],Table5[],5,0)</f>
        <v>0</v>
      </c>
      <c r="E27" t="s">
        <v>9</v>
      </c>
      <c r="F27" s="2">
        <f>VLOOKUP(الحركات[[#This Row],[إلى صندوق]],Table5[[الصندوق]:[الرصيد الفعلي]],5,0)</f>
        <v>0</v>
      </c>
      <c r="G27" s="7">
        <f>IF(VLOOKUP(الحركات[إلى صندوق],Table1[],3,0)=0,VLOOKUP(الحركات[[#This Row],[من صندوق]],Table1[[الصندوق]:[القيمة الشهرية]],3,0),VLOOKUP(الحركات[إلى صندوق],Table1[],3,0))</f>
        <v>200</v>
      </c>
      <c r="H27">
        <v>200</v>
      </c>
      <c r="J27" t="s">
        <v>53</v>
      </c>
      <c r="L27" s="2"/>
      <c r="M27" s="2" t="str">
        <f>الحركات[من صندوق]&amp;"/"&amp;الحركات[إلى صندوق]</f>
        <v>الراتب/دورات</v>
      </c>
      <c r="N27" s="2" t="str">
        <f>VLOOKUP(الحركات[من صندوق],Table1[],2,0)</f>
        <v>دخل</v>
      </c>
      <c r="O27" s="2" t="str">
        <f>VLOOKUP(الحركات[إلى صندوق],Table1[[الصندوق]:[نوعه]],2,0)</f>
        <v>صرف</v>
      </c>
    </row>
    <row r="28" spans="1:15" x14ac:dyDescent="0.3">
      <c r="A28">
        <v>201802</v>
      </c>
      <c r="B28" s="3"/>
      <c r="C28" t="s">
        <v>18</v>
      </c>
      <c r="D28" s="2">
        <f>VLOOKUP(الحركات[[#This Row],[من صندوق]],Table5[],5,0)</f>
        <v>0</v>
      </c>
      <c r="E28" t="s">
        <v>22</v>
      </c>
      <c r="F28" s="2">
        <f>VLOOKUP(الحركات[[#This Row],[إلى صندوق]],Table5[[الصندوق]:[الرصيد الفعلي]],5,0)</f>
        <v>0</v>
      </c>
      <c r="G28" s="7">
        <f>IF(VLOOKUP(الحركات[إلى صندوق],Table1[],3,0)=0,VLOOKUP(الحركات[[#This Row],[من صندوق]],Table1[[الصندوق]:[القيمة الشهرية]],3,0),VLOOKUP(الحركات[إلى صندوق],Table1[],3,0))</f>
        <v>200</v>
      </c>
      <c r="H28">
        <v>200</v>
      </c>
      <c r="J28" t="s">
        <v>54</v>
      </c>
      <c r="L28" s="2"/>
      <c r="M28" s="2" t="str">
        <f>الحركات[من صندوق]&amp;"/"&amp;الحركات[إلى صندوق]</f>
        <v>الراتب/زكاة</v>
      </c>
      <c r="N28" s="2" t="str">
        <f>VLOOKUP(الحركات[من صندوق],Table1[],2,0)</f>
        <v>دخل</v>
      </c>
      <c r="O28" s="2" t="str">
        <f>VLOOKUP(الحركات[إلى صندوق],Table1[[الصندوق]:[نوعه]],2,0)</f>
        <v>صرف</v>
      </c>
    </row>
    <row r="29" spans="1:15" x14ac:dyDescent="0.3">
      <c r="A29">
        <v>201802</v>
      </c>
      <c r="B29" s="3"/>
      <c r="C29" t="s">
        <v>18</v>
      </c>
      <c r="D29" s="2">
        <f>VLOOKUP(الحركات[[#This Row],[من صندوق]],Table5[],5,0)</f>
        <v>0</v>
      </c>
      <c r="E29" t="s">
        <v>10</v>
      </c>
      <c r="F29" s="2">
        <f>VLOOKUP(الحركات[[#This Row],[إلى صندوق]],Table5[[الصندوق]:[الرصيد الفعلي]],5,0)</f>
        <v>0</v>
      </c>
      <c r="G29" s="7">
        <f>IF(VLOOKUP(الحركات[إلى صندوق],Table1[],3,0)=0,VLOOKUP(الحركات[[#This Row],[من صندوق]],Table1[[الصندوق]:[القيمة الشهرية]],3,0),VLOOKUP(الحركات[إلى صندوق],Table1[],3,0))</f>
        <v>250</v>
      </c>
      <c r="H29">
        <v>250</v>
      </c>
      <c r="J29" t="s">
        <v>55</v>
      </c>
      <c r="L29" s="2"/>
      <c r="M29" s="2" t="str">
        <f>الحركات[من صندوق]&amp;"/"&amp;الحركات[إلى صندوق]</f>
        <v>الراتب/صيانة السيارة</v>
      </c>
      <c r="N29" s="2" t="str">
        <f>VLOOKUP(الحركات[من صندوق],Table1[],2,0)</f>
        <v>دخل</v>
      </c>
      <c r="O29" s="2" t="str">
        <f>VLOOKUP(الحركات[إلى صندوق],Table1[[الصندوق]:[نوعه]],2,0)</f>
        <v>صرف</v>
      </c>
    </row>
    <row r="30" spans="1:15" x14ac:dyDescent="0.3">
      <c r="A30">
        <v>201802</v>
      </c>
      <c r="B30" s="3"/>
      <c r="C30" t="s">
        <v>18</v>
      </c>
      <c r="D30" s="2">
        <f>VLOOKUP(الحركات[[#This Row],[من صندوق]],Table5[],5,0)</f>
        <v>0</v>
      </c>
      <c r="E30" t="s">
        <v>15</v>
      </c>
      <c r="F30" s="2">
        <f>VLOOKUP(الحركات[[#This Row],[إلى صندوق]],Table5[[الصندوق]:[الرصيد الفعلي]],5,0)</f>
        <v>0</v>
      </c>
      <c r="G30" s="7">
        <f>IF(VLOOKUP(الحركات[إلى صندوق],Table1[],3,0)=0,VLOOKUP(الحركات[[#This Row],[من صندوق]],Table1[[الصندوق]:[القيمة الشهرية]],3,0),VLOOKUP(الحركات[إلى صندوق],Table1[],3,0))</f>
        <v>300</v>
      </c>
      <c r="H30">
        <v>300</v>
      </c>
      <c r="J30" t="s">
        <v>56</v>
      </c>
      <c r="L30" s="2"/>
      <c r="M30" s="2" t="str">
        <f>الحركات[من صندوق]&amp;"/"&amp;الحركات[إلى صندوق]</f>
        <v>الراتب/ملابس</v>
      </c>
      <c r="N30" s="2" t="str">
        <f>VLOOKUP(الحركات[من صندوق],Table1[],2,0)</f>
        <v>دخل</v>
      </c>
      <c r="O30" s="2" t="str">
        <f>VLOOKUP(الحركات[إلى صندوق],Table1[[الصندوق]:[نوعه]],2,0)</f>
        <v>صرف</v>
      </c>
    </row>
    <row r="31" spans="1:15" x14ac:dyDescent="0.3">
      <c r="A31">
        <v>201802</v>
      </c>
      <c r="B31" s="3"/>
      <c r="C31" t="s">
        <v>18</v>
      </c>
      <c r="D31" s="2">
        <f>VLOOKUP(الحركات[[#This Row],[من صندوق]],Table5[],5,0)</f>
        <v>0</v>
      </c>
      <c r="E31" t="s">
        <v>1</v>
      </c>
      <c r="F31" s="2">
        <f>VLOOKUP(الحركات[[#This Row],[إلى صندوق]],Table5[[الصندوق]:[الرصيد الفعلي]],5,0)</f>
        <v>0</v>
      </c>
      <c r="G31" s="7">
        <f>IF(VLOOKUP(الحركات[إلى صندوق],Table1[],3,0)=0,VLOOKUP(الحركات[[#This Row],[من صندوق]],Table1[[الصندوق]:[القيمة الشهرية]],3,0),VLOOKUP(الحركات[إلى صندوق],Table1[],3,0))</f>
        <v>200</v>
      </c>
      <c r="H31">
        <v>200</v>
      </c>
      <c r="J31" t="s">
        <v>57</v>
      </c>
      <c r="L31" s="2"/>
      <c r="M31" s="2" t="str">
        <f>الحركات[من صندوق]&amp;"/"&amp;الحركات[إلى صندوق]</f>
        <v>الراتب/هدايا</v>
      </c>
      <c r="N31" s="2" t="str">
        <f>VLOOKUP(الحركات[من صندوق],Table1[],2,0)</f>
        <v>دخل</v>
      </c>
      <c r="O31" s="2" t="str">
        <f>VLOOKUP(الحركات[إلى صندوق],Table1[[الصندوق]:[نوعه]],2,0)</f>
        <v>صرف</v>
      </c>
    </row>
    <row r="32" spans="1:15" x14ac:dyDescent="0.3">
      <c r="A32">
        <v>201802</v>
      </c>
      <c r="B32" s="3"/>
      <c r="C32" t="s">
        <v>18</v>
      </c>
      <c r="D32" s="2">
        <f>VLOOKUP(الحركات[[#This Row],[من صندوق]],Table5[],5,0)</f>
        <v>0</v>
      </c>
      <c r="E32" t="s">
        <v>4</v>
      </c>
      <c r="F32" s="2">
        <f>VLOOKUP(الحركات[[#This Row],[إلى صندوق]],Table5[[الصندوق]:[الرصيد الفعلي]],5,0)</f>
        <v>0</v>
      </c>
      <c r="G32" s="7">
        <f>IF(VLOOKUP(الحركات[إلى صندوق],Table1[],3,0)=0,VLOOKUP(الحركات[[#This Row],[من صندوق]],Table1[[الصندوق]:[القيمة الشهرية]],3,0),VLOOKUP(الحركات[إلى صندوق],Table1[],3,0))</f>
        <v>200</v>
      </c>
      <c r="H32">
        <v>200</v>
      </c>
      <c r="J32" t="s">
        <v>58</v>
      </c>
      <c r="L32" s="2"/>
      <c r="M32" s="2" t="str">
        <f>الحركات[من صندوق]&amp;"/"&amp;الحركات[إلى صندوق]</f>
        <v>الراتب/طوارئ</v>
      </c>
      <c r="N32" s="2" t="str">
        <f>VLOOKUP(الحركات[من صندوق],Table1[],2,0)</f>
        <v>دخل</v>
      </c>
      <c r="O32" s="2" t="str">
        <f>VLOOKUP(الحركات[إلى صندوق],Table1[[الصندوق]:[نوعه]],2,0)</f>
        <v>صرف</v>
      </c>
    </row>
    <row r="33" spans="1:15" x14ac:dyDescent="0.3">
      <c r="A33">
        <v>201803</v>
      </c>
      <c r="B33" s="3"/>
      <c r="C33" t="s">
        <v>20</v>
      </c>
      <c r="D33" s="2">
        <f>VLOOKUP(الحركات[[#This Row],[من صندوق]],Table5[],5,0)</f>
        <v>0</v>
      </c>
      <c r="E33" t="s">
        <v>18</v>
      </c>
      <c r="F33" s="2">
        <f>VLOOKUP(الحركات[[#This Row],[إلى صندوق]],Table5[[الصندوق]:[الرصيد الفعلي]],5,0)</f>
        <v>0</v>
      </c>
      <c r="G33" s="7">
        <f>IF(VLOOKUP(الحركات[إلى صندوق],Table1[],3,0)=0,VLOOKUP(الحركات[[#This Row],[من صندوق]],Table1[[الصندوق]:[القيمة الشهرية]],3,0),VLOOKUP(الحركات[إلى صندوق],Table1[],3,0))</f>
        <v>10000</v>
      </c>
      <c r="H33">
        <v>10000</v>
      </c>
      <c r="J33" t="s">
        <v>40</v>
      </c>
      <c r="L33" s="2"/>
      <c r="M33" s="2" t="str">
        <f>الحركات[من صندوق]&amp;"/"&amp;الحركات[إلى صندوق]</f>
        <v>الشركة/الراتب</v>
      </c>
      <c r="N33" s="2" t="str">
        <f>VLOOKUP(الحركات[من صندوق],Table1[],2,0)</f>
        <v>خارجي</v>
      </c>
      <c r="O33" s="2" t="str">
        <f>VLOOKUP(الحركات[إلى صندوق],Table1[[الصندوق]:[نوعه]],2,0)</f>
        <v>دخل</v>
      </c>
    </row>
    <row r="34" spans="1:15" x14ac:dyDescent="0.3">
      <c r="A34">
        <v>201803</v>
      </c>
      <c r="B34" s="3"/>
      <c r="C34" t="s">
        <v>18</v>
      </c>
      <c r="D34" s="2">
        <f>VLOOKUP(الحركات[[#This Row],[من صندوق]],Table5[],5,0)</f>
        <v>0</v>
      </c>
      <c r="E34" t="s">
        <v>11</v>
      </c>
      <c r="F34" s="2">
        <f>VLOOKUP(الحركات[[#This Row],[إلى صندوق]],Table5[[الصندوق]:[الرصيد الفعلي]],5,0)</f>
        <v>0</v>
      </c>
      <c r="G34" s="7">
        <f>IF(VLOOKUP(الحركات[إلى صندوق],Table1[],3,0)=0,VLOOKUP(الحركات[[#This Row],[من صندوق]],Table1[[الصندوق]:[القيمة الشهرية]],3,0),VLOOKUP(الحركات[إلى صندوق],Table1[],3,0))</f>
        <v>250</v>
      </c>
      <c r="H34">
        <v>250</v>
      </c>
      <c r="J34" t="s">
        <v>47</v>
      </c>
      <c r="L34" s="2"/>
      <c r="M34" s="2" t="str">
        <f>الحركات[من صندوق]&amp;"/"&amp;الحركات[إلى صندوق]</f>
        <v>الراتب/فواتير</v>
      </c>
      <c r="N34" s="2" t="str">
        <f>VLOOKUP(الحركات[من صندوق],Table1[],2,0)</f>
        <v>دخل</v>
      </c>
      <c r="O34" s="2" t="str">
        <f>VLOOKUP(الحركات[إلى صندوق],Table1[[الصندوق]:[نوعه]],2,0)</f>
        <v>صرف</v>
      </c>
    </row>
    <row r="35" spans="1:15" x14ac:dyDescent="0.3">
      <c r="A35">
        <v>201803</v>
      </c>
      <c r="B35" s="3"/>
      <c r="C35" t="s">
        <v>18</v>
      </c>
      <c r="D35" s="2">
        <f>VLOOKUP(الحركات[[#This Row],[من صندوق]],Table5[],5,0)</f>
        <v>0</v>
      </c>
      <c r="E35" t="s">
        <v>13</v>
      </c>
      <c r="F35" s="2">
        <f>VLOOKUP(الحركات[[#This Row],[إلى صندوق]],Table5[[الصندوق]:[الرصيد الفعلي]],5,0)</f>
        <v>0</v>
      </c>
      <c r="G35" s="7">
        <f>IF(VLOOKUP(الحركات[إلى صندوق],Table1[],3,0)=0,VLOOKUP(الحركات[[#This Row],[من صندوق]],Table1[[الصندوق]:[القيمة الشهرية]],3,0),VLOOKUP(الحركات[إلى صندوق],Table1[],3,0))</f>
        <v>4000</v>
      </c>
      <c r="H35">
        <v>4000</v>
      </c>
      <c r="J35" t="s">
        <v>48</v>
      </c>
      <c r="L35" s="2"/>
      <c r="M35" s="2" t="str">
        <f>الحركات[من صندوق]&amp;"/"&amp;الحركات[إلى صندوق]</f>
        <v>الراتب/مصاريف شهرية</v>
      </c>
      <c r="N35" s="2" t="str">
        <f>VLOOKUP(الحركات[من صندوق],Table1[],2,0)</f>
        <v>دخل</v>
      </c>
      <c r="O35" s="2" t="str">
        <f>VLOOKUP(الحركات[إلى صندوق],Table1[[الصندوق]:[نوعه]],2,0)</f>
        <v>صرف</v>
      </c>
    </row>
    <row r="36" spans="1:15" x14ac:dyDescent="0.3">
      <c r="A36">
        <v>201803</v>
      </c>
      <c r="B36" s="3"/>
      <c r="C36" t="s">
        <v>18</v>
      </c>
      <c r="D36" s="2">
        <f>VLOOKUP(الحركات[[#This Row],[من صندوق]],Table5[],5,0)</f>
        <v>0</v>
      </c>
      <c r="E36" t="s">
        <v>3</v>
      </c>
      <c r="F36" s="2">
        <f>VLOOKUP(الحركات[[#This Row],[إلى صندوق]],Table5[[الصندوق]:[الرصيد الفعلي]],5,0)</f>
        <v>0</v>
      </c>
      <c r="G36" s="7">
        <f>IF(VLOOKUP(الحركات[إلى صندوق],Table1[],3,0)=0,VLOOKUP(الحركات[[#This Row],[من صندوق]],Table1[[الصندوق]:[القيمة الشهرية]],3,0),VLOOKUP(الحركات[إلى صندوق],Table1[],3,0))</f>
        <v>2000</v>
      </c>
      <c r="H36">
        <v>2000</v>
      </c>
      <c r="J36" t="s">
        <v>49</v>
      </c>
      <c r="L36" s="2"/>
      <c r="M36" s="2" t="str">
        <f>الحركات[من صندوق]&amp;"/"&amp;الحركات[إلى صندوق]</f>
        <v>الراتب/مدارس</v>
      </c>
      <c r="N36" s="2" t="str">
        <f>VLOOKUP(الحركات[من صندوق],Table1[],2,0)</f>
        <v>دخل</v>
      </c>
      <c r="O36" s="2" t="str">
        <f>VLOOKUP(الحركات[إلى صندوق],Table1[[الصندوق]:[نوعه]],2,0)</f>
        <v>صرف</v>
      </c>
    </row>
    <row r="37" spans="1:15" x14ac:dyDescent="0.3">
      <c r="A37">
        <v>201803</v>
      </c>
      <c r="B37" s="3"/>
      <c r="C37" t="s">
        <v>18</v>
      </c>
      <c r="D37" s="2">
        <f>VLOOKUP(الحركات[[#This Row],[من صندوق]],Table5[],5,0)</f>
        <v>0</v>
      </c>
      <c r="E37" t="s">
        <v>21</v>
      </c>
      <c r="F37" s="2">
        <f>VLOOKUP(الحركات[[#This Row],[إلى صندوق]],Table5[[الصندوق]:[الرصيد الفعلي]],5,0)</f>
        <v>0</v>
      </c>
      <c r="G37" s="7">
        <f>IF(VLOOKUP(الحركات[إلى صندوق],Table1[],3,0)=0,VLOOKUP(الحركات[[#This Row],[من صندوق]],Table1[[الصندوق]:[القيمة الشهرية]],3,0),VLOOKUP(الحركات[إلى صندوق],Table1[],3,0))</f>
        <v>1500</v>
      </c>
      <c r="H37">
        <v>1500</v>
      </c>
      <c r="J37" t="s">
        <v>50</v>
      </c>
      <c r="L37" s="2"/>
      <c r="M37" s="2" t="str">
        <f>الحركات[من صندوق]&amp;"/"&amp;الحركات[إلى صندوق]</f>
        <v>الراتب/ايجار المنزل</v>
      </c>
      <c r="N37" s="2" t="str">
        <f>VLOOKUP(الحركات[من صندوق],Table1[],2,0)</f>
        <v>دخل</v>
      </c>
      <c r="O37" s="2" t="str">
        <f>VLOOKUP(الحركات[إلى صندوق],Table1[[الصندوق]:[نوعه]],2,0)</f>
        <v>صرف</v>
      </c>
    </row>
    <row r="38" spans="1:15" x14ac:dyDescent="0.3">
      <c r="A38">
        <v>201803</v>
      </c>
      <c r="B38" s="3"/>
      <c r="C38" t="s">
        <v>18</v>
      </c>
      <c r="D38" s="2">
        <f>VLOOKUP(الحركات[[#This Row],[من صندوق]],Table5[],5,0)</f>
        <v>0</v>
      </c>
      <c r="E38" t="s">
        <v>0</v>
      </c>
      <c r="F38" s="2">
        <f>VLOOKUP(الحركات[[#This Row],[إلى صندوق]],Table5[[الصندوق]:[الرصيد الفعلي]],5,0)</f>
        <v>0</v>
      </c>
      <c r="G38" s="7">
        <f>IF(VLOOKUP(الحركات[إلى صندوق],Table1[],3,0)=0,VLOOKUP(الحركات[[#This Row],[من صندوق]],Table1[[الصندوق]:[القيمة الشهرية]],3,0),VLOOKUP(الحركات[إلى صندوق],Table1[],3,0))</f>
        <v>500</v>
      </c>
      <c r="H38">
        <v>500</v>
      </c>
      <c r="J38" t="s">
        <v>51</v>
      </c>
      <c r="L38" s="2"/>
      <c r="M38" s="2" t="str">
        <f>الحركات[من صندوق]&amp;"/"&amp;الحركات[إلى صندوق]</f>
        <v>الراتب/توفير</v>
      </c>
      <c r="N38" s="2" t="str">
        <f>VLOOKUP(الحركات[من صندوق],Table1[],2,0)</f>
        <v>دخل</v>
      </c>
      <c r="O38" s="2" t="str">
        <f>VLOOKUP(الحركات[إلى صندوق],Table1[[الصندوق]:[نوعه]],2,0)</f>
        <v>صرف</v>
      </c>
    </row>
    <row r="39" spans="1:15" x14ac:dyDescent="0.3">
      <c r="A39">
        <v>201803</v>
      </c>
      <c r="B39" s="3"/>
      <c r="C39" t="s">
        <v>18</v>
      </c>
      <c r="D39" s="2">
        <f>VLOOKUP(الحركات[[#This Row],[من صندوق]],Table5[],5,0)</f>
        <v>0</v>
      </c>
      <c r="E39" t="s">
        <v>12</v>
      </c>
      <c r="F39" s="2">
        <f>VLOOKUP(الحركات[[#This Row],[إلى صندوق]],Table5[[الصندوق]:[الرصيد الفعلي]],5,0)</f>
        <v>0</v>
      </c>
      <c r="G39" s="7">
        <f>IF(VLOOKUP(الحركات[إلى صندوق],Table1[],3,0)=0,VLOOKUP(الحركات[[#This Row],[من صندوق]],Table1[[الصندوق]:[القيمة الشهرية]],3,0),VLOOKUP(الحركات[إلى صندوق],Table1[],3,0))</f>
        <v>400</v>
      </c>
      <c r="H39">
        <v>400</v>
      </c>
      <c r="J39" t="s">
        <v>52</v>
      </c>
      <c r="L39" s="2"/>
      <c r="M39" s="2" t="str">
        <f>الحركات[من صندوق]&amp;"/"&amp;الحركات[إلى صندوق]</f>
        <v>الراتب/اجازات</v>
      </c>
      <c r="N39" s="2" t="str">
        <f>VLOOKUP(الحركات[من صندوق],Table1[],2,0)</f>
        <v>دخل</v>
      </c>
      <c r="O39" s="2" t="str">
        <f>VLOOKUP(الحركات[إلى صندوق],Table1[[الصندوق]:[نوعه]],2,0)</f>
        <v>صرف</v>
      </c>
    </row>
    <row r="40" spans="1:15" x14ac:dyDescent="0.3">
      <c r="A40">
        <v>201803</v>
      </c>
      <c r="B40" s="3"/>
      <c r="C40" t="s">
        <v>18</v>
      </c>
      <c r="D40" s="2">
        <f>VLOOKUP(الحركات[[#This Row],[من صندوق]],Table5[],5,0)</f>
        <v>0</v>
      </c>
      <c r="E40" t="s">
        <v>9</v>
      </c>
      <c r="F40" s="2">
        <f>VLOOKUP(الحركات[[#This Row],[إلى صندوق]],Table5[[الصندوق]:[الرصيد الفعلي]],5,0)</f>
        <v>0</v>
      </c>
      <c r="G40" s="7">
        <f>IF(VLOOKUP(الحركات[إلى صندوق],Table1[],3,0)=0,VLOOKUP(الحركات[[#This Row],[من صندوق]],Table1[[الصندوق]:[القيمة الشهرية]],3,0),VLOOKUP(الحركات[إلى صندوق],Table1[],3,0))</f>
        <v>200</v>
      </c>
      <c r="H40">
        <v>200</v>
      </c>
      <c r="J40" t="s">
        <v>53</v>
      </c>
      <c r="L40" s="2"/>
      <c r="M40" s="2" t="str">
        <f>الحركات[من صندوق]&amp;"/"&amp;الحركات[إلى صندوق]</f>
        <v>الراتب/دورات</v>
      </c>
      <c r="N40" s="2" t="str">
        <f>VLOOKUP(الحركات[من صندوق],Table1[],2,0)</f>
        <v>دخل</v>
      </c>
      <c r="O40" s="2" t="str">
        <f>VLOOKUP(الحركات[إلى صندوق],Table1[[الصندوق]:[نوعه]],2,0)</f>
        <v>صرف</v>
      </c>
    </row>
    <row r="41" spans="1:15" x14ac:dyDescent="0.3">
      <c r="A41">
        <v>201803</v>
      </c>
      <c r="B41" s="3"/>
      <c r="C41" t="s">
        <v>18</v>
      </c>
      <c r="D41" s="2">
        <f>VLOOKUP(الحركات[[#This Row],[من صندوق]],Table5[],5,0)</f>
        <v>0</v>
      </c>
      <c r="E41" t="s">
        <v>22</v>
      </c>
      <c r="F41" s="2">
        <f>VLOOKUP(الحركات[[#This Row],[إلى صندوق]],Table5[[الصندوق]:[الرصيد الفعلي]],5,0)</f>
        <v>0</v>
      </c>
      <c r="G41" s="7">
        <f>IF(VLOOKUP(الحركات[إلى صندوق],Table1[],3,0)=0,VLOOKUP(الحركات[[#This Row],[من صندوق]],Table1[[الصندوق]:[القيمة الشهرية]],3,0),VLOOKUP(الحركات[إلى صندوق],Table1[],3,0))</f>
        <v>200</v>
      </c>
      <c r="H41">
        <v>200</v>
      </c>
      <c r="J41" t="s">
        <v>54</v>
      </c>
      <c r="L41" s="2"/>
      <c r="M41" s="2" t="str">
        <f>الحركات[من صندوق]&amp;"/"&amp;الحركات[إلى صندوق]</f>
        <v>الراتب/زكاة</v>
      </c>
      <c r="N41" s="2" t="str">
        <f>VLOOKUP(الحركات[من صندوق],Table1[],2,0)</f>
        <v>دخل</v>
      </c>
      <c r="O41" s="2" t="str">
        <f>VLOOKUP(الحركات[إلى صندوق],Table1[[الصندوق]:[نوعه]],2,0)</f>
        <v>صرف</v>
      </c>
    </row>
    <row r="42" spans="1:15" x14ac:dyDescent="0.3">
      <c r="A42">
        <v>201803</v>
      </c>
      <c r="B42" s="3"/>
      <c r="C42" t="s">
        <v>18</v>
      </c>
      <c r="D42" s="2">
        <f>VLOOKUP(الحركات[[#This Row],[من صندوق]],Table5[],5,0)</f>
        <v>0</v>
      </c>
      <c r="E42" t="s">
        <v>10</v>
      </c>
      <c r="F42" s="2">
        <f>VLOOKUP(الحركات[[#This Row],[إلى صندوق]],Table5[[الصندوق]:[الرصيد الفعلي]],5,0)</f>
        <v>0</v>
      </c>
      <c r="G42" s="7">
        <f>IF(VLOOKUP(الحركات[إلى صندوق],Table1[],3,0)=0,VLOOKUP(الحركات[[#This Row],[من صندوق]],Table1[[الصندوق]:[القيمة الشهرية]],3,0),VLOOKUP(الحركات[إلى صندوق],Table1[],3,0))</f>
        <v>250</v>
      </c>
      <c r="H42">
        <v>250</v>
      </c>
      <c r="J42" t="s">
        <v>55</v>
      </c>
      <c r="L42" s="2"/>
      <c r="M42" s="2" t="str">
        <f>الحركات[من صندوق]&amp;"/"&amp;الحركات[إلى صندوق]</f>
        <v>الراتب/صيانة السيارة</v>
      </c>
      <c r="N42" s="2" t="str">
        <f>VLOOKUP(الحركات[من صندوق],Table1[],2,0)</f>
        <v>دخل</v>
      </c>
      <c r="O42" s="2" t="str">
        <f>VLOOKUP(الحركات[إلى صندوق],Table1[[الصندوق]:[نوعه]],2,0)</f>
        <v>صرف</v>
      </c>
    </row>
    <row r="43" spans="1:15" x14ac:dyDescent="0.3">
      <c r="A43">
        <v>201803</v>
      </c>
      <c r="B43" s="3"/>
      <c r="C43" t="s">
        <v>18</v>
      </c>
      <c r="D43" s="2">
        <f>VLOOKUP(الحركات[[#This Row],[من صندوق]],Table5[],5,0)</f>
        <v>0</v>
      </c>
      <c r="E43" t="s">
        <v>15</v>
      </c>
      <c r="F43" s="2">
        <f>VLOOKUP(الحركات[[#This Row],[إلى صندوق]],Table5[[الصندوق]:[الرصيد الفعلي]],5,0)</f>
        <v>0</v>
      </c>
      <c r="G43" s="7">
        <f>IF(VLOOKUP(الحركات[إلى صندوق],Table1[],3,0)=0,VLOOKUP(الحركات[[#This Row],[من صندوق]],Table1[[الصندوق]:[القيمة الشهرية]],3,0),VLOOKUP(الحركات[إلى صندوق],Table1[],3,0))</f>
        <v>300</v>
      </c>
      <c r="H43">
        <v>300</v>
      </c>
      <c r="J43" t="s">
        <v>56</v>
      </c>
      <c r="L43" s="2"/>
      <c r="M43" s="2" t="str">
        <f>الحركات[من صندوق]&amp;"/"&amp;الحركات[إلى صندوق]</f>
        <v>الراتب/ملابس</v>
      </c>
      <c r="N43" s="2" t="str">
        <f>VLOOKUP(الحركات[من صندوق],Table1[],2,0)</f>
        <v>دخل</v>
      </c>
      <c r="O43" s="2" t="str">
        <f>VLOOKUP(الحركات[إلى صندوق],Table1[[الصندوق]:[نوعه]],2,0)</f>
        <v>صرف</v>
      </c>
    </row>
    <row r="44" spans="1:15" x14ac:dyDescent="0.3">
      <c r="A44">
        <v>201803</v>
      </c>
      <c r="B44" s="3"/>
      <c r="C44" t="s">
        <v>18</v>
      </c>
      <c r="D44" s="2">
        <f>VLOOKUP(الحركات[[#This Row],[من صندوق]],Table5[],5,0)</f>
        <v>0</v>
      </c>
      <c r="E44" t="s">
        <v>1</v>
      </c>
      <c r="F44" s="2">
        <f>VLOOKUP(الحركات[[#This Row],[إلى صندوق]],Table5[[الصندوق]:[الرصيد الفعلي]],5,0)</f>
        <v>0</v>
      </c>
      <c r="G44" s="7">
        <f>IF(VLOOKUP(الحركات[إلى صندوق],Table1[],3,0)=0,VLOOKUP(الحركات[[#This Row],[من صندوق]],Table1[[الصندوق]:[القيمة الشهرية]],3,0),VLOOKUP(الحركات[إلى صندوق],Table1[],3,0))</f>
        <v>200</v>
      </c>
      <c r="H44">
        <v>200</v>
      </c>
      <c r="J44" t="s">
        <v>57</v>
      </c>
      <c r="L44" s="2"/>
      <c r="M44" s="2" t="str">
        <f>الحركات[من صندوق]&amp;"/"&amp;الحركات[إلى صندوق]</f>
        <v>الراتب/هدايا</v>
      </c>
      <c r="N44" s="2" t="str">
        <f>VLOOKUP(الحركات[من صندوق],Table1[],2,0)</f>
        <v>دخل</v>
      </c>
      <c r="O44" s="2" t="str">
        <f>VLOOKUP(الحركات[إلى صندوق],Table1[[الصندوق]:[نوعه]],2,0)</f>
        <v>صرف</v>
      </c>
    </row>
    <row r="45" spans="1:15" x14ac:dyDescent="0.3">
      <c r="A45">
        <v>201803</v>
      </c>
      <c r="B45" s="3"/>
      <c r="C45" t="s">
        <v>18</v>
      </c>
      <c r="D45" s="2">
        <f>VLOOKUP(الحركات[[#This Row],[من صندوق]],Table5[],5,0)</f>
        <v>0</v>
      </c>
      <c r="E45" t="s">
        <v>4</v>
      </c>
      <c r="F45" s="2">
        <f>VLOOKUP(الحركات[[#This Row],[إلى صندوق]],Table5[[الصندوق]:[الرصيد الفعلي]],5,0)</f>
        <v>0</v>
      </c>
      <c r="G45" s="7">
        <f>IF(VLOOKUP(الحركات[إلى صندوق],Table1[],3,0)=0,VLOOKUP(الحركات[[#This Row],[من صندوق]],Table1[[الصندوق]:[القيمة الشهرية]],3,0),VLOOKUP(الحركات[إلى صندوق],Table1[],3,0))</f>
        <v>200</v>
      </c>
      <c r="H45">
        <v>200</v>
      </c>
      <c r="J45" t="s">
        <v>58</v>
      </c>
      <c r="L45" s="2"/>
      <c r="M45" s="2" t="str">
        <f>الحركات[من صندوق]&amp;"/"&amp;الحركات[إلى صندوق]</f>
        <v>الراتب/طوارئ</v>
      </c>
      <c r="N45" s="2" t="str">
        <f>VLOOKUP(الحركات[من صندوق],Table1[],2,0)</f>
        <v>دخل</v>
      </c>
      <c r="O45" s="2" t="str">
        <f>VLOOKUP(الحركات[إلى صندوق],Table1[[الصندوق]:[نوعه]],2,0)</f>
        <v>صرف</v>
      </c>
    </row>
    <row r="46" spans="1:15" x14ac:dyDescent="0.3">
      <c r="A46">
        <v>201804</v>
      </c>
      <c r="B46" s="3"/>
      <c r="C46" t="s">
        <v>20</v>
      </c>
      <c r="D46" s="2">
        <f>VLOOKUP(الحركات[[#This Row],[من صندوق]],Table5[],5,0)</f>
        <v>0</v>
      </c>
      <c r="E46" t="s">
        <v>18</v>
      </c>
      <c r="F46" s="2">
        <f>VLOOKUP(الحركات[[#This Row],[إلى صندوق]],Table5[[الصندوق]:[الرصيد الفعلي]],5,0)</f>
        <v>0</v>
      </c>
      <c r="G46" s="7">
        <f>IF(VLOOKUP(الحركات[إلى صندوق],Table1[],3,0)=0,VLOOKUP(الحركات[[#This Row],[من صندوق]],Table1[[الصندوق]:[القيمة الشهرية]],3,0),VLOOKUP(الحركات[إلى صندوق],Table1[],3,0))</f>
        <v>10000</v>
      </c>
      <c r="H46">
        <v>10000</v>
      </c>
      <c r="J46" t="s">
        <v>40</v>
      </c>
      <c r="L46" s="2"/>
      <c r="M46" s="2" t="str">
        <f>الحركات[من صندوق]&amp;"/"&amp;الحركات[إلى صندوق]</f>
        <v>الشركة/الراتب</v>
      </c>
      <c r="N46" s="2" t="str">
        <f>VLOOKUP(الحركات[من صندوق],Table1[],2,0)</f>
        <v>خارجي</v>
      </c>
      <c r="O46" s="2" t="str">
        <f>VLOOKUP(الحركات[إلى صندوق],Table1[[الصندوق]:[نوعه]],2,0)</f>
        <v>دخل</v>
      </c>
    </row>
    <row r="47" spans="1:15" x14ac:dyDescent="0.3">
      <c r="A47">
        <v>201804</v>
      </c>
      <c r="B47" s="3"/>
      <c r="C47" t="s">
        <v>18</v>
      </c>
      <c r="D47" s="2">
        <f>VLOOKUP(الحركات[[#This Row],[من صندوق]],Table5[],5,0)</f>
        <v>0</v>
      </c>
      <c r="E47" t="s">
        <v>11</v>
      </c>
      <c r="F47" s="2">
        <f>VLOOKUP(الحركات[[#This Row],[إلى صندوق]],Table5[[الصندوق]:[الرصيد الفعلي]],5,0)</f>
        <v>0</v>
      </c>
      <c r="G47" s="7">
        <f>IF(VLOOKUP(الحركات[إلى صندوق],Table1[],3,0)=0,VLOOKUP(الحركات[[#This Row],[من صندوق]],Table1[[الصندوق]:[القيمة الشهرية]],3,0),VLOOKUP(الحركات[إلى صندوق],Table1[],3,0))</f>
        <v>250</v>
      </c>
      <c r="H47">
        <v>250</v>
      </c>
      <c r="J47" t="s">
        <v>47</v>
      </c>
      <c r="L47" s="2"/>
      <c r="M47" s="2" t="str">
        <f>الحركات[من صندوق]&amp;"/"&amp;الحركات[إلى صندوق]</f>
        <v>الراتب/فواتير</v>
      </c>
      <c r="N47" s="2" t="str">
        <f>VLOOKUP(الحركات[من صندوق],Table1[],2,0)</f>
        <v>دخل</v>
      </c>
      <c r="O47" s="2" t="str">
        <f>VLOOKUP(الحركات[إلى صندوق],Table1[[الصندوق]:[نوعه]],2,0)</f>
        <v>صرف</v>
      </c>
    </row>
    <row r="48" spans="1:15" x14ac:dyDescent="0.3">
      <c r="A48">
        <v>201804</v>
      </c>
      <c r="B48" s="3"/>
      <c r="C48" t="s">
        <v>18</v>
      </c>
      <c r="D48" s="2">
        <f>VLOOKUP(الحركات[[#This Row],[من صندوق]],Table5[],5,0)</f>
        <v>0</v>
      </c>
      <c r="E48" t="s">
        <v>13</v>
      </c>
      <c r="F48" s="2">
        <f>VLOOKUP(الحركات[[#This Row],[إلى صندوق]],Table5[[الصندوق]:[الرصيد الفعلي]],5,0)</f>
        <v>0</v>
      </c>
      <c r="G48" s="7">
        <f>IF(VLOOKUP(الحركات[إلى صندوق],Table1[],3,0)=0,VLOOKUP(الحركات[[#This Row],[من صندوق]],Table1[[الصندوق]:[القيمة الشهرية]],3,0),VLOOKUP(الحركات[إلى صندوق],Table1[],3,0))</f>
        <v>4000</v>
      </c>
      <c r="H48">
        <v>4000</v>
      </c>
      <c r="J48" t="s">
        <v>48</v>
      </c>
      <c r="L48" s="2"/>
      <c r="M48" s="2" t="str">
        <f>الحركات[من صندوق]&amp;"/"&amp;الحركات[إلى صندوق]</f>
        <v>الراتب/مصاريف شهرية</v>
      </c>
      <c r="N48" s="2" t="str">
        <f>VLOOKUP(الحركات[من صندوق],Table1[],2,0)</f>
        <v>دخل</v>
      </c>
      <c r="O48" s="2" t="str">
        <f>VLOOKUP(الحركات[إلى صندوق],Table1[[الصندوق]:[نوعه]],2,0)</f>
        <v>صرف</v>
      </c>
    </row>
    <row r="49" spans="1:15" x14ac:dyDescent="0.3">
      <c r="A49">
        <v>201804</v>
      </c>
      <c r="B49" s="3"/>
      <c r="C49" t="s">
        <v>18</v>
      </c>
      <c r="D49" s="2">
        <f>VLOOKUP(الحركات[[#This Row],[من صندوق]],Table5[],5,0)</f>
        <v>0</v>
      </c>
      <c r="E49" t="s">
        <v>3</v>
      </c>
      <c r="F49" s="2">
        <f>VLOOKUP(الحركات[[#This Row],[إلى صندوق]],Table5[[الصندوق]:[الرصيد الفعلي]],5,0)</f>
        <v>0</v>
      </c>
      <c r="G49" s="7">
        <f>IF(VLOOKUP(الحركات[إلى صندوق],Table1[],3,0)=0,VLOOKUP(الحركات[[#This Row],[من صندوق]],Table1[[الصندوق]:[القيمة الشهرية]],3,0),VLOOKUP(الحركات[إلى صندوق],Table1[],3,0))</f>
        <v>2000</v>
      </c>
      <c r="H49">
        <v>2000</v>
      </c>
      <c r="J49" t="s">
        <v>49</v>
      </c>
      <c r="L49" s="2"/>
      <c r="M49" s="2" t="str">
        <f>الحركات[من صندوق]&amp;"/"&amp;الحركات[إلى صندوق]</f>
        <v>الراتب/مدارس</v>
      </c>
      <c r="N49" s="2" t="str">
        <f>VLOOKUP(الحركات[من صندوق],Table1[],2,0)</f>
        <v>دخل</v>
      </c>
      <c r="O49" s="2" t="str">
        <f>VLOOKUP(الحركات[إلى صندوق],Table1[[الصندوق]:[نوعه]],2,0)</f>
        <v>صرف</v>
      </c>
    </row>
    <row r="50" spans="1:15" x14ac:dyDescent="0.3">
      <c r="A50">
        <v>201804</v>
      </c>
      <c r="B50" s="3"/>
      <c r="C50" t="s">
        <v>18</v>
      </c>
      <c r="D50" s="2">
        <f>VLOOKUP(الحركات[[#This Row],[من صندوق]],Table5[],5,0)</f>
        <v>0</v>
      </c>
      <c r="E50" t="s">
        <v>21</v>
      </c>
      <c r="F50" s="2">
        <f>VLOOKUP(الحركات[[#This Row],[إلى صندوق]],Table5[[الصندوق]:[الرصيد الفعلي]],5,0)</f>
        <v>0</v>
      </c>
      <c r="G50" s="7">
        <f>IF(VLOOKUP(الحركات[إلى صندوق],Table1[],3,0)=0,VLOOKUP(الحركات[[#This Row],[من صندوق]],Table1[[الصندوق]:[القيمة الشهرية]],3,0),VLOOKUP(الحركات[إلى صندوق],Table1[],3,0))</f>
        <v>1500</v>
      </c>
      <c r="H50">
        <v>1500</v>
      </c>
      <c r="J50" t="s">
        <v>50</v>
      </c>
      <c r="L50" s="2"/>
      <c r="M50" s="2" t="str">
        <f>الحركات[من صندوق]&amp;"/"&amp;الحركات[إلى صندوق]</f>
        <v>الراتب/ايجار المنزل</v>
      </c>
      <c r="N50" s="2" t="str">
        <f>VLOOKUP(الحركات[من صندوق],Table1[],2,0)</f>
        <v>دخل</v>
      </c>
      <c r="O50" s="2" t="str">
        <f>VLOOKUP(الحركات[إلى صندوق],Table1[[الصندوق]:[نوعه]],2,0)</f>
        <v>صرف</v>
      </c>
    </row>
    <row r="51" spans="1:15" x14ac:dyDescent="0.3">
      <c r="A51">
        <v>201804</v>
      </c>
      <c r="B51" s="3"/>
      <c r="C51" t="s">
        <v>18</v>
      </c>
      <c r="D51" s="2">
        <f>VLOOKUP(الحركات[[#This Row],[من صندوق]],Table5[],5,0)</f>
        <v>0</v>
      </c>
      <c r="E51" t="s">
        <v>0</v>
      </c>
      <c r="F51" s="2">
        <f>VLOOKUP(الحركات[[#This Row],[إلى صندوق]],Table5[[الصندوق]:[الرصيد الفعلي]],5,0)</f>
        <v>0</v>
      </c>
      <c r="G51" s="7">
        <f>IF(VLOOKUP(الحركات[إلى صندوق],Table1[],3,0)=0,VLOOKUP(الحركات[[#This Row],[من صندوق]],Table1[[الصندوق]:[القيمة الشهرية]],3,0),VLOOKUP(الحركات[إلى صندوق],Table1[],3,0))</f>
        <v>500</v>
      </c>
      <c r="H51">
        <v>500</v>
      </c>
      <c r="J51" t="s">
        <v>51</v>
      </c>
      <c r="L51" s="2"/>
      <c r="M51" s="2" t="str">
        <f>الحركات[من صندوق]&amp;"/"&amp;الحركات[إلى صندوق]</f>
        <v>الراتب/توفير</v>
      </c>
      <c r="N51" s="2" t="str">
        <f>VLOOKUP(الحركات[من صندوق],Table1[],2,0)</f>
        <v>دخل</v>
      </c>
      <c r="O51" s="2" t="str">
        <f>VLOOKUP(الحركات[إلى صندوق],Table1[[الصندوق]:[نوعه]],2,0)</f>
        <v>صرف</v>
      </c>
    </row>
    <row r="52" spans="1:15" x14ac:dyDescent="0.3">
      <c r="A52">
        <v>201804</v>
      </c>
      <c r="B52" s="3"/>
      <c r="C52" t="s">
        <v>18</v>
      </c>
      <c r="D52" s="2">
        <f>VLOOKUP(الحركات[[#This Row],[من صندوق]],Table5[],5,0)</f>
        <v>0</v>
      </c>
      <c r="E52" t="s">
        <v>12</v>
      </c>
      <c r="F52" s="2">
        <f>VLOOKUP(الحركات[[#This Row],[إلى صندوق]],Table5[[الصندوق]:[الرصيد الفعلي]],5,0)</f>
        <v>0</v>
      </c>
      <c r="G52" s="7">
        <f>IF(VLOOKUP(الحركات[إلى صندوق],Table1[],3,0)=0,VLOOKUP(الحركات[[#This Row],[من صندوق]],Table1[[الصندوق]:[القيمة الشهرية]],3,0),VLOOKUP(الحركات[إلى صندوق],Table1[],3,0))</f>
        <v>400</v>
      </c>
      <c r="H52">
        <v>400</v>
      </c>
      <c r="J52" t="s">
        <v>52</v>
      </c>
      <c r="L52" s="2"/>
      <c r="M52" s="2" t="str">
        <f>الحركات[من صندوق]&amp;"/"&amp;الحركات[إلى صندوق]</f>
        <v>الراتب/اجازات</v>
      </c>
      <c r="N52" s="2" t="str">
        <f>VLOOKUP(الحركات[من صندوق],Table1[],2,0)</f>
        <v>دخل</v>
      </c>
      <c r="O52" s="2" t="str">
        <f>VLOOKUP(الحركات[إلى صندوق],Table1[[الصندوق]:[نوعه]],2,0)</f>
        <v>صرف</v>
      </c>
    </row>
    <row r="53" spans="1:15" x14ac:dyDescent="0.3">
      <c r="A53">
        <v>201804</v>
      </c>
      <c r="B53" s="3"/>
      <c r="C53" t="s">
        <v>18</v>
      </c>
      <c r="D53" s="2">
        <f>VLOOKUP(الحركات[[#This Row],[من صندوق]],Table5[],5,0)</f>
        <v>0</v>
      </c>
      <c r="E53" t="s">
        <v>9</v>
      </c>
      <c r="F53" s="2">
        <f>VLOOKUP(الحركات[[#This Row],[إلى صندوق]],Table5[[الصندوق]:[الرصيد الفعلي]],5,0)</f>
        <v>0</v>
      </c>
      <c r="G53" s="7">
        <f>IF(VLOOKUP(الحركات[إلى صندوق],Table1[],3,0)=0,VLOOKUP(الحركات[[#This Row],[من صندوق]],Table1[[الصندوق]:[القيمة الشهرية]],3,0),VLOOKUP(الحركات[إلى صندوق],Table1[],3,0))</f>
        <v>200</v>
      </c>
      <c r="H53">
        <v>200</v>
      </c>
      <c r="J53" t="s">
        <v>53</v>
      </c>
      <c r="L53" s="2"/>
      <c r="M53" s="2" t="str">
        <f>الحركات[من صندوق]&amp;"/"&amp;الحركات[إلى صندوق]</f>
        <v>الراتب/دورات</v>
      </c>
      <c r="N53" s="2" t="str">
        <f>VLOOKUP(الحركات[من صندوق],Table1[],2,0)</f>
        <v>دخل</v>
      </c>
      <c r="O53" s="2" t="str">
        <f>VLOOKUP(الحركات[إلى صندوق],Table1[[الصندوق]:[نوعه]],2,0)</f>
        <v>صرف</v>
      </c>
    </row>
    <row r="54" spans="1:15" x14ac:dyDescent="0.3">
      <c r="A54">
        <v>201804</v>
      </c>
      <c r="B54" s="3"/>
      <c r="C54" t="s">
        <v>18</v>
      </c>
      <c r="D54" s="2">
        <f>VLOOKUP(الحركات[[#This Row],[من صندوق]],Table5[],5,0)</f>
        <v>0</v>
      </c>
      <c r="E54" t="s">
        <v>22</v>
      </c>
      <c r="F54" s="2">
        <f>VLOOKUP(الحركات[[#This Row],[إلى صندوق]],Table5[[الصندوق]:[الرصيد الفعلي]],5,0)</f>
        <v>0</v>
      </c>
      <c r="G54" s="7">
        <f>IF(VLOOKUP(الحركات[إلى صندوق],Table1[],3,0)=0,VLOOKUP(الحركات[[#This Row],[من صندوق]],Table1[[الصندوق]:[القيمة الشهرية]],3,0),VLOOKUP(الحركات[إلى صندوق],Table1[],3,0))</f>
        <v>200</v>
      </c>
      <c r="H54">
        <v>200</v>
      </c>
      <c r="J54" t="s">
        <v>54</v>
      </c>
      <c r="L54" s="2"/>
      <c r="M54" s="2" t="str">
        <f>الحركات[من صندوق]&amp;"/"&amp;الحركات[إلى صندوق]</f>
        <v>الراتب/زكاة</v>
      </c>
      <c r="N54" s="2" t="str">
        <f>VLOOKUP(الحركات[من صندوق],Table1[],2,0)</f>
        <v>دخل</v>
      </c>
      <c r="O54" s="2" t="str">
        <f>VLOOKUP(الحركات[إلى صندوق],Table1[[الصندوق]:[نوعه]],2,0)</f>
        <v>صرف</v>
      </c>
    </row>
    <row r="55" spans="1:15" x14ac:dyDescent="0.3">
      <c r="A55">
        <v>201804</v>
      </c>
      <c r="B55" s="3"/>
      <c r="C55" t="s">
        <v>18</v>
      </c>
      <c r="D55" s="2">
        <f>VLOOKUP(الحركات[[#This Row],[من صندوق]],Table5[],5,0)</f>
        <v>0</v>
      </c>
      <c r="E55" t="s">
        <v>10</v>
      </c>
      <c r="F55" s="2">
        <f>VLOOKUP(الحركات[[#This Row],[إلى صندوق]],Table5[[الصندوق]:[الرصيد الفعلي]],5,0)</f>
        <v>0</v>
      </c>
      <c r="G55" s="7">
        <f>IF(VLOOKUP(الحركات[إلى صندوق],Table1[],3,0)=0,VLOOKUP(الحركات[[#This Row],[من صندوق]],Table1[[الصندوق]:[القيمة الشهرية]],3,0),VLOOKUP(الحركات[إلى صندوق],Table1[],3,0))</f>
        <v>250</v>
      </c>
      <c r="H55">
        <v>250</v>
      </c>
      <c r="J55" t="s">
        <v>55</v>
      </c>
      <c r="L55" s="2"/>
      <c r="M55" s="2" t="str">
        <f>الحركات[من صندوق]&amp;"/"&amp;الحركات[إلى صندوق]</f>
        <v>الراتب/صيانة السيارة</v>
      </c>
      <c r="N55" s="2" t="str">
        <f>VLOOKUP(الحركات[من صندوق],Table1[],2,0)</f>
        <v>دخل</v>
      </c>
      <c r="O55" s="2" t="str">
        <f>VLOOKUP(الحركات[إلى صندوق],Table1[[الصندوق]:[نوعه]],2,0)</f>
        <v>صرف</v>
      </c>
    </row>
    <row r="56" spans="1:15" x14ac:dyDescent="0.3">
      <c r="A56">
        <v>201804</v>
      </c>
      <c r="B56" s="3"/>
      <c r="C56" t="s">
        <v>18</v>
      </c>
      <c r="D56" s="2">
        <f>VLOOKUP(الحركات[[#This Row],[من صندوق]],Table5[],5,0)</f>
        <v>0</v>
      </c>
      <c r="E56" t="s">
        <v>15</v>
      </c>
      <c r="F56" s="2">
        <f>VLOOKUP(الحركات[[#This Row],[إلى صندوق]],Table5[[الصندوق]:[الرصيد الفعلي]],5,0)</f>
        <v>0</v>
      </c>
      <c r="G56" s="7">
        <f>IF(VLOOKUP(الحركات[إلى صندوق],Table1[],3,0)=0,VLOOKUP(الحركات[[#This Row],[من صندوق]],Table1[[الصندوق]:[القيمة الشهرية]],3,0),VLOOKUP(الحركات[إلى صندوق],Table1[],3,0))</f>
        <v>300</v>
      </c>
      <c r="H56">
        <v>300</v>
      </c>
      <c r="J56" t="s">
        <v>56</v>
      </c>
      <c r="L56" s="2"/>
      <c r="M56" s="2" t="str">
        <f>الحركات[من صندوق]&amp;"/"&amp;الحركات[إلى صندوق]</f>
        <v>الراتب/ملابس</v>
      </c>
      <c r="N56" s="2" t="str">
        <f>VLOOKUP(الحركات[من صندوق],Table1[],2,0)</f>
        <v>دخل</v>
      </c>
      <c r="O56" s="2" t="str">
        <f>VLOOKUP(الحركات[إلى صندوق],Table1[[الصندوق]:[نوعه]],2,0)</f>
        <v>صرف</v>
      </c>
    </row>
    <row r="57" spans="1:15" x14ac:dyDescent="0.3">
      <c r="A57">
        <v>201804</v>
      </c>
      <c r="B57" s="3"/>
      <c r="C57" t="s">
        <v>18</v>
      </c>
      <c r="D57" s="2">
        <f>VLOOKUP(الحركات[[#This Row],[من صندوق]],Table5[],5,0)</f>
        <v>0</v>
      </c>
      <c r="E57" t="s">
        <v>1</v>
      </c>
      <c r="F57" s="2">
        <f>VLOOKUP(الحركات[[#This Row],[إلى صندوق]],Table5[[الصندوق]:[الرصيد الفعلي]],5,0)</f>
        <v>0</v>
      </c>
      <c r="G57" s="7">
        <f>IF(VLOOKUP(الحركات[إلى صندوق],Table1[],3,0)=0,VLOOKUP(الحركات[[#This Row],[من صندوق]],Table1[[الصندوق]:[القيمة الشهرية]],3,0),VLOOKUP(الحركات[إلى صندوق],Table1[],3,0))</f>
        <v>200</v>
      </c>
      <c r="H57">
        <v>200</v>
      </c>
      <c r="J57" t="s">
        <v>57</v>
      </c>
      <c r="L57" s="2"/>
      <c r="M57" s="2" t="str">
        <f>الحركات[من صندوق]&amp;"/"&amp;الحركات[إلى صندوق]</f>
        <v>الراتب/هدايا</v>
      </c>
      <c r="N57" s="2" t="str">
        <f>VLOOKUP(الحركات[من صندوق],Table1[],2,0)</f>
        <v>دخل</v>
      </c>
      <c r="O57" s="2" t="str">
        <f>VLOOKUP(الحركات[إلى صندوق],Table1[[الصندوق]:[نوعه]],2,0)</f>
        <v>صرف</v>
      </c>
    </row>
    <row r="58" spans="1:15" x14ac:dyDescent="0.3">
      <c r="A58">
        <v>201804</v>
      </c>
      <c r="B58" s="3"/>
      <c r="C58" t="s">
        <v>18</v>
      </c>
      <c r="D58" s="2">
        <f>VLOOKUP(الحركات[[#This Row],[من صندوق]],Table5[],5,0)</f>
        <v>0</v>
      </c>
      <c r="E58" t="s">
        <v>4</v>
      </c>
      <c r="F58" s="2">
        <f>VLOOKUP(الحركات[[#This Row],[إلى صندوق]],Table5[[الصندوق]:[الرصيد الفعلي]],5,0)</f>
        <v>0</v>
      </c>
      <c r="G58" s="7">
        <f>IF(VLOOKUP(الحركات[إلى صندوق],Table1[],3,0)=0,VLOOKUP(الحركات[[#This Row],[من صندوق]],Table1[[الصندوق]:[القيمة الشهرية]],3,0),VLOOKUP(الحركات[إلى صندوق],Table1[],3,0))</f>
        <v>200</v>
      </c>
      <c r="H58">
        <v>200</v>
      </c>
      <c r="J58" t="s">
        <v>58</v>
      </c>
      <c r="L58" s="2"/>
      <c r="M58" s="2" t="str">
        <f>الحركات[من صندوق]&amp;"/"&amp;الحركات[إلى صندوق]</f>
        <v>الراتب/طوارئ</v>
      </c>
      <c r="N58" s="2" t="str">
        <f>VLOOKUP(الحركات[من صندوق],Table1[],2,0)</f>
        <v>دخل</v>
      </c>
      <c r="O58" s="2" t="str">
        <f>VLOOKUP(الحركات[إلى صندوق],Table1[[الصندوق]:[نوعه]],2,0)</f>
        <v>صرف</v>
      </c>
    </row>
    <row r="59" spans="1:15" x14ac:dyDescent="0.3">
      <c r="A59">
        <v>201805</v>
      </c>
      <c r="B59" s="3"/>
      <c r="C59" t="s">
        <v>20</v>
      </c>
      <c r="D59" s="2">
        <f>VLOOKUP(الحركات[[#This Row],[من صندوق]],Table5[],5,0)</f>
        <v>0</v>
      </c>
      <c r="E59" t="s">
        <v>18</v>
      </c>
      <c r="F59" s="2">
        <f>VLOOKUP(الحركات[[#This Row],[إلى صندوق]],Table5[[الصندوق]:[الرصيد الفعلي]],5,0)</f>
        <v>0</v>
      </c>
      <c r="G59" s="7">
        <f>IF(VLOOKUP(الحركات[إلى صندوق],Table1[],3,0)=0,VLOOKUP(الحركات[[#This Row],[من صندوق]],Table1[[الصندوق]:[القيمة الشهرية]],3,0),VLOOKUP(الحركات[إلى صندوق],Table1[],3,0))</f>
        <v>10000</v>
      </c>
      <c r="H59">
        <v>10000</v>
      </c>
      <c r="J59" t="s">
        <v>40</v>
      </c>
      <c r="L59" s="2"/>
      <c r="M59" s="2" t="str">
        <f>الحركات[من صندوق]&amp;"/"&amp;الحركات[إلى صندوق]</f>
        <v>الشركة/الراتب</v>
      </c>
      <c r="N59" s="2" t="str">
        <f>VLOOKUP(الحركات[من صندوق],Table1[],2,0)</f>
        <v>خارجي</v>
      </c>
      <c r="O59" s="2" t="str">
        <f>VLOOKUP(الحركات[إلى صندوق],Table1[[الصندوق]:[نوعه]],2,0)</f>
        <v>دخل</v>
      </c>
    </row>
    <row r="60" spans="1:15" x14ac:dyDescent="0.3">
      <c r="A60">
        <v>201805</v>
      </c>
      <c r="B60" s="3"/>
      <c r="C60" t="s">
        <v>18</v>
      </c>
      <c r="D60" s="2">
        <f>VLOOKUP(الحركات[[#This Row],[من صندوق]],Table5[],5,0)</f>
        <v>0</v>
      </c>
      <c r="E60" t="s">
        <v>11</v>
      </c>
      <c r="F60" s="2">
        <f>VLOOKUP(الحركات[[#This Row],[إلى صندوق]],Table5[[الصندوق]:[الرصيد الفعلي]],5,0)</f>
        <v>0</v>
      </c>
      <c r="G60" s="7">
        <f>IF(VLOOKUP(الحركات[إلى صندوق],Table1[],3,0)=0,VLOOKUP(الحركات[[#This Row],[من صندوق]],Table1[[الصندوق]:[القيمة الشهرية]],3,0),VLOOKUP(الحركات[إلى صندوق],Table1[],3,0))</f>
        <v>250</v>
      </c>
      <c r="H60">
        <v>250</v>
      </c>
      <c r="J60" t="s">
        <v>47</v>
      </c>
      <c r="L60" s="2"/>
      <c r="M60" s="2" t="str">
        <f>الحركات[من صندوق]&amp;"/"&amp;الحركات[إلى صندوق]</f>
        <v>الراتب/فواتير</v>
      </c>
      <c r="N60" s="2" t="str">
        <f>VLOOKUP(الحركات[من صندوق],Table1[],2,0)</f>
        <v>دخل</v>
      </c>
      <c r="O60" s="2" t="str">
        <f>VLOOKUP(الحركات[إلى صندوق],Table1[[الصندوق]:[نوعه]],2,0)</f>
        <v>صرف</v>
      </c>
    </row>
    <row r="61" spans="1:15" x14ac:dyDescent="0.3">
      <c r="A61">
        <v>201805</v>
      </c>
      <c r="B61" s="3"/>
      <c r="C61" t="s">
        <v>18</v>
      </c>
      <c r="D61" s="2">
        <f>VLOOKUP(الحركات[[#This Row],[من صندوق]],Table5[],5,0)</f>
        <v>0</v>
      </c>
      <c r="E61" t="s">
        <v>13</v>
      </c>
      <c r="F61" s="2">
        <f>VLOOKUP(الحركات[[#This Row],[إلى صندوق]],Table5[[الصندوق]:[الرصيد الفعلي]],5,0)</f>
        <v>0</v>
      </c>
      <c r="G61" s="7">
        <f>IF(VLOOKUP(الحركات[إلى صندوق],Table1[],3,0)=0,VLOOKUP(الحركات[[#This Row],[من صندوق]],Table1[[الصندوق]:[القيمة الشهرية]],3,0),VLOOKUP(الحركات[إلى صندوق],Table1[],3,0))</f>
        <v>4000</v>
      </c>
      <c r="H61">
        <v>4000</v>
      </c>
      <c r="J61" t="s">
        <v>48</v>
      </c>
      <c r="L61" s="2"/>
      <c r="M61" s="2" t="str">
        <f>الحركات[من صندوق]&amp;"/"&amp;الحركات[إلى صندوق]</f>
        <v>الراتب/مصاريف شهرية</v>
      </c>
      <c r="N61" s="2" t="str">
        <f>VLOOKUP(الحركات[من صندوق],Table1[],2,0)</f>
        <v>دخل</v>
      </c>
      <c r="O61" s="2" t="str">
        <f>VLOOKUP(الحركات[إلى صندوق],Table1[[الصندوق]:[نوعه]],2,0)</f>
        <v>صرف</v>
      </c>
    </row>
    <row r="62" spans="1:15" x14ac:dyDescent="0.3">
      <c r="A62">
        <v>201805</v>
      </c>
      <c r="B62" s="3"/>
      <c r="C62" t="s">
        <v>18</v>
      </c>
      <c r="D62" s="2">
        <f>VLOOKUP(الحركات[[#This Row],[من صندوق]],Table5[],5,0)</f>
        <v>0</v>
      </c>
      <c r="E62" t="s">
        <v>3</v>
      </c>
      <c r="F62" s="2">
        <f>VLOOKUP(الحركات[[#This Row],[إلى صندوق]],Table5[[الصندوق]:[الرصيد الفعلي]],5,0)</f>
        <v>0</v>
      </c>
      <c r="G62" s="7">
        <f>IF(VLOOKUP(الحركات[إلى صندوق],Table1[],3,0)=0,VLOOKUP(الحركات[[#This Row],[من صندوق]],Table1[[الصندوق]:[القيمة الشهرية]],3,0),VLOOKUP(الحركات[إلى صندوق],Table1[],3,0))</f>
        <v>2000</v>
      </c>
      <c r="H62">
        <v>2000</v>
      </c>
      <c r="J62" t="s">
        <v>49</v>
      </c>
      <c r="L62" s="2"/>
      <c r="M62" s="2" t="str">
        <f>الحركات[من صندوق]&amp;"/"&amp;الحركات[إلى صندوق]</f>
        <v>الراتب/مدارس</v>
      </c>
      <c r="N62" s="2" t="str">
        <f>VLOOKUP(الحركات[من صندوق],Table1[],2,0)</f>
        <v>دخل</v>
      </c>
      <c r="O62" s="2" t="str">
        <f>VLOOKUP(الحركات[إلى صندوق],Table1[[الصندوق]:[نوعه]],2,0)</f>
        <v>صرف</v>
      </c>
    </row>
    <row r="63" spans="1:15" x14ac:dyDescent="0.3">
      <c r="A63">
        <v>201805</v>
      </c>
      <c r="B63" s="3"/>
      <c r="C63" t="s">
        <v>18</v>
      </c>
      <c r="D63" s="2">
        <f>VLOOKUP(الحركات[[#This Row],[من صندوق]],Table5[],5,0)</f>
        <v>0</v>
      </c>
      <c r="E63" t="s">
        <v>21</v>
      </c>
      <c r="F63" s="2">
        <f>VLOOKUP(الحركات[[#This Row],[إلى صندوق]],Table5[[الصندوق]:[الرصيد الفعلي]],5,0)</f>
        <v>0</v>
      </c>
      <c r="G63" s="7">
        <f>IF(VLOOKUP(الحركات[إلى صندوق],Table1[],3,0)=0,VLOOKUP(الحركات[[#This Row],[من صندوق]],Table1[[الصندوق]:[القيمة الشهرية]],3,0),VLOOKUP(الحركات[إلى صندوق],Table1[],3,0))</f>
        <v>1500</v>
      </c>
      <c r="H63">
        <v>1500</v>
      </c>
      <c r="J63" t="s">
        <v>50</v>
      </c>
      <c r="L63" s="2"/>
      <c r="M63" s="2" t="str">
        <f>الحركات[من صندوق]&amp;"/"&amp;الحركات[إلى صندوق]</f>
        <v>الراتب/ايجار المنزل</v>
      </c>
      <c r="N63" s="2" t="str">
        <f>VLOOKUP(الحركات[من صندوق],Table1[],2,0)</f>
        <v>دخل</v>
      </c>
      <c r="O63" s="2" t="str">
        <f>VLOOKUP(الحركات[إلى صندوق],Table1[[الصندوق]:[نوعه]],2,0)</f>
        <v>صرف</v>
      </c>
    </row>
    <row r="64" spans="1:15" x14ac:dyDescent="0.3">
      <c r="A64">
        <v>201805</v>
      </c>
      <c r="B64" s="3"/>
      <c r="C64" t="s">
        <v>18</v>
      </c>
      <c r="D64" s="2">
        <f>VLOOKUP(الحركات[[#This Row],[من صندوق]],Table5[],5,0)</f>
        <v>0</v>
      </c>
      <c r="E64" t="s">
        <v>0</v>
      </c>
      <c r="F64" s="2">
        <f>VLOOKUP(الحركات[[#This Row],[إلى صندوق]],Table5[[الصندوق]:[الرصيد الفعلي]],5,0)</f>
        <v>0</v>
      </c>
      <c r="G64" s="7">
        <f>IF(VLOOKUP(الحركات[إلى صندوق],Table1[],3,0)=0,VLOOKUP(الحركات[[#This Row],[من صندوق]],Table1[[الصندوق]:[القيمة الشهرية]],3,0),VLOOKUP(الحركات[إلى صندوق],Table1[],3,0))</f>
        <v>500</v>
      </c>
      <c r="H64">
        <v>500</v>
      </c>
      <c r="J64" t="s">
        <v>51</v>
      </c>
      <c r="L64" s="2"/>
      <c r="M64" s="2" t="str">
        <f>الحركات[من صندوق]&amp;"/"&amp;الحركات[إلى صندوق]</f>
        <v>الراتب/توفير</v>
      </c>
      <c r="N64" s="2" t="str">
        <f>VLOOKUP(الحركات[من صندوق],Table1[],2,0)</f>
        <v>دخل</v>
      </c>
      <c r="O64" s="2" t="str">
        <f>VLOOKUP(الحركات[إلى صندوق],Table1[[الصندوق]:[نوعه]],2,0)</f>
        <v>صرف</v>
      </c>
    </row>
    <row r="65" spans="1:15" x14ac:dyDescent="0.3">
      <c r="A65">
        <v>201805</v>
      </c>
      <c r="B65" s="3"/>
      <c r="C65" t="s">
        <v>18</v>
      </c>
      <c r="D65" s="2">
        <f>VLOOKUP(الحركات[[#This Row],[من صندوق]],Table5[],5,0)</f>
        <v>0</v>
      </c>
      <c r="E65" t="s">
        <v>12</v>
      </c>
      <c r="F65" s="2">
        <f>VLOOKUP(الحركات[[#This Row],[إلى صندوق]],Table5[[الصندوق]:[الرصيد الفعلي]],5,0)</f>
        <v>0</v>
      </c>
      <c r="G65" s="7">
        <f>IF(VLOOKUP(الحركات[إلى صندوق],Table1[],3,0)=0,VLOOKUP(الحركات[[#This Row],[من صندوق]],Table1[[الصندوق]:[القيمة الشهرية]],3,0),VLOOKUP(الحركات[إلى صندوق],Table1[],3,0))</f>
        <v>400</v>
      </c>
      <c r="H65">
        <v>400</v>
      </c>
      <c r="J65" t="s">
        <v>52</v>
      </c>
      <c r="L65" s="2"/>
      <c r="M65" s="2" t="str">
        <f>الحركات[من صندوق]&amp;"/"&amp;الحركات[إلى صندوق]</f>
        <v>الراتب/اجازات</v>
      </c>
      <c r="N65" s="2" t="str">
        <f>VLOOKUP(الحركات[من صندوق],Table1[],2,0)</f>
        <v>دخل</v>
      </c>
      <c r="O65" s="2" t="str">
        <f>VLOOKUP(الحركات[إلى صندوق],Table1[[الصندوق]:[نوعه]],2,0)</f>
        <v>صرف</v>
      </c>
    </row>
    <row r="66" spans="1:15" x14ac:dyDescent="0.3">
      <c r="A66">
        <v>201805</v>
      </c>
      <c r="B66" s="3"/>
      <c r="C66" t="s">
        <v>18</v>
      </c>
      <c r="D66" s="2">
        <f>VLOOKUP(الحركات[[#This Row],[من صندوق]],Table5[],5,0)</f>
        <v>0</v>
      </c>
      <c r="E66" t="s">
        <v>9</v>
      </c>
      <c r="F66" s="2">
        <f>VLOOKUP(الحركات[[#This Row],[إلى صندوق]],Table5[[الصندوق]:[الرصيد الفعلي]],5,0)</f>
        <v>0</v>
      </c>
      <c r="G66" s="7">
        <f>IF(VLOOKUP(الحركات[إلى صندوق],Table1[],3,0)=0,VLOOKUP(الحركات[[#This Row],[من صندوق]],Table1[[الصندوق]:[القيمة الشهرية]],3,0),VLOOKUP(الحركات[إلى صندوق],Table1[],3,0))</f>
        <v>200</v>
      </c>
      <c r="H66">
        <v>200</v>
      </c>
      <c r="J66" t="s">
        <v>53</v>
      </c>
      <c r="L66" s="2"/>
      <c r="M66" s="2" t="str">
        <f>الحركات[من صندوق]&amp;"/"&amp;الحركات[إلى صندوق]</f>
        <v>الراتب/دورات</v>
      </c>
      <c r="N66" s="2" t="str">
        <f>VLOOKUP(الحركات[من صندوق],Table1[],2,0)</f>
        <v>دخل</v>
      </c>
      <c r="O66" s="2" t="str">
        <f>VLOOKUP(الحركات[إلى صندوق],Table1[[الصندوق]:[نوعه]],2,0)</f>
        <v>صرف</v>
      </c>
    </row>
    <row r="67" spans="1:15" x14ac:dyDescent="0.3">
      <c r="A67">
        <v>201805</v>
      </c>
      <c r="B67" s="3"/>
      <c r="C67" t="s">
        <v>18</v>
      </c>
      <c r="D67" s="2">
        <f>VLOOKUP(الحركات[[#This Row],[من صندوق]],Table5[],5,0)</f>
        <v>0</v>
      </c>
      <c r="E67" t="s">
        <v>22</v>
      </c>
      <c r="F67" s="2">
        <f>VLOOKUP(الحركات[[#This Row],[إلى صندوق]],Table5[[الصندوق]:[الرصيد الفعلي]],5,0)</f>
        <v>0</v>
      </c>
      <c r="G67" s="7">
        <f>IF(VLOOKUP(الحركات[إلى صندوق],Table1[],3,0)=0,VLOOKUP(الحركات[[#This Row],[من صندوق]],Table1[[الصندوق]:[القيمة الشهرية]],3,0),VLOOKUP(الحركات[إلى صندوق],Table1[],3,0))</f>
        <v>200</v>
      </c>
      <c r="H67">
        <v>200</v>
      </c>
      <c r="J67" t="s">
        <v>54</v>
      </c>
      <c r="L67" s="2"/>
      <c r="M67" s="2" t="str">
        <f>الحركات[من صندوق]&amp;"/"&amp;الحركات[إلى صندوق]</f>
        <v>الراتب/زكاة</v>
      </c>
      <c r="N67" s="2" t="str">
        <f>VLOOKUP(الحركات[من صندوق],Table1[],2,0)</f>
        <v>دخل</v>
      </c>
      <c r="O67" s="2" t="str">
        <f>VLOOKUP(الحركات[إلى صندوق],Table1[[الصندوق]:[نوعه]],2,0)</f>
        <v>صرف</v>
      </c>
    </row>
    <row r="68" spans="1:15" x14ac:dyDescent="0.3">
      <c r="A68">
        <v>201805</v>
      </c>
      <c r="B68" s="3"/>
      <c r="C68" t="s">
        <v>18</v>
      </c>
      <c r="D68" s="2">
        <f>VLOOKUP(الحركات[[#This Row],[من صندوق]],Table5[],5,0)</f>
        <v>0</v>
      </c>
      <c r="E68" t="s">
        <v>10</v>
      </c>
      <c r="F68" s="2">
        <f>VLOOKUP(الحركات[[#This Row],[إلى صندوق]],Table5[[الصندوق]:[الرصيد الفعلي]],5,0)</f>
        <v>0</v>
      </c>
      <c r="G68" s="7">
        <f>IF(VLOOKUP(الحركات[إلى صندوق],Table1[],3,0)=0,VLOOKUP(الحركات[[#This Row],[من صندوق]],Table1[[الصندوق]:[القيمة الشهرية]],3,0),VLOOKUP(الحركات[إلى صندوق],Table1[],3,0))</f>
        <v>250</v>
      </c>
      <c r="H68">
        <v>250</v>
      </c>
      <c r="J68" t="s">
        <v>55</v>
      </c>
      <c r="L68" s="2"/>
      <c r="M68" s="2" t="str">
        <f>الحركات[من صندوق]&amp;"/"&amp;الحركات[إلى صندوق]</f>
        <v>الراتب/صيانة السيارة</v>
      </c>
      <c r="N68" s="2" t="str">
        <f>VLOOKUP(الحركات[من صندوق],Table1[],2,0)</f>
        <v>دخل</v>
      </c>
      <c r="O68" s="2" t="str">
        <f>VLOOKUP(الحركات[إلى صندوق],Table1[[الصندوق]:[نوعه]],2,0)</f>
        <v>صرف</v>
      </c>
    </row>
    <row r="69" spans="1:15" x14ac:dyDescent="0.3">
      <c r="A69">
        <v>201805</v>
      </c>
      <c r="B69" s="3"/>
      <c r="C69" t="s">
        <v>18</v>
      </c>
      <c r="D69" s="2">
        <f>VLOOKUP(الحركات[[#This Row],[من صندوق]],Table5[],5,0)</f>
        <v>0</v>
      </c>
      <c r="E69" t="s">
        <v>15</v>
      </c>
      <c r="F69" s="2">
        <f>VLOOKUP(الحركات[[#This Row],[إلى صندوق]],Table5[[الصندوق]:[الرصيد الفعلي]],5,0)</f>
        <v>0</v>
      </c>
      <c r="G69" s="7">
        <f>IF(VLOOKUP(الحركات[إلى صندوق],Table1[],3,0)=0,VLOOKUP(الحركات[[#This Row],[من صندوق]],Table1[[الصندوق]:[القيمة الشهرية]],3,0),VLOOKUP(الحركات[إلى صندوق],Table1[],3,0))</f>
        <v>300</v>
      </c>
      <c r="H69">
        <v>300</v>
      </c>
      <c r="J69" t="s">
        <v>56</v>
      </c>
      <c r="L69" s="2"/>
      <c r="M69" s="2" t="str">
        <f>الحركات[من صندوق]&amp;"/"&amp;الحركات[إلى صندوق]</f>
        <v>الراتب/ملابس</v>
      </c>
      <c r="N69" s="2" t="str">
        <f>VLOOKUP(الحركات[من صندوق],Table1[],2,0)</f>
        <v>دخل</v>
      </c>
      <c r="O69" s="2" t="str">
        <f>VLOOKUP(الحركات[إلى صندوق],Table1[[الصندوق]:[نوعه]],2,0)</f>
        <v>صرف</v>
      </c>
    </row>
    <row r="70" spans="1:15" x14ac:dyDescent="0.3">
      <c r="A70">
        <v>201805</v>
      </c>
      <c r="B70" s="3"/>
      <c r="C70" t="s">
        <v>18</v>
      </c>
      <c r="D70" s="2">
        <f>VLOOKUP(الحركات[[#This Row],[من صندوق]],Table5[],5,0)</f>
        <v>0</v>
      </c>
      <c r="E70" t="s">
        <v>1</v>
      </c>
      <c r="F70" s="2">
        <f>VLOOKUP(الحركات[[#This Row],[إلى صندوق]],Table5[[الصندوق]:[الرصيد الفعلي]],5,0)</f>
        <v>0</v>
      </c>
      <c r="G70" s="7">
        <f>IF(VLOOKUP(الحركات[إلى صندوق],Table1[],3,0)=0,VLOOKUP(الحركات[[#This Row],[من صندوق]],Table1[[الصندوق]:[القيمة الشهرية]],3,0),VLOOKUP(الحركات[إلى صندوق],Table1[],3,0))</f>
        <v>200</v>
      </c>
      <c r="H70">
        <v>200</v>
      </c>
      <c r="J70" t="s">
        <v>57</v>
      </c>
      <c r="L70" s="2"/>
      <c r="M70" s="2" t="str">
        <f>الحركات[من صندوق]&amp;"/"&amp;الحركات[إلى صندوق]</f>
        <v>الراتب/هدايا</v>
      </c>
      <c r="N70" s="2" t="str">
        <f>VLOOKUP(الحركات[من صندوق],Table1[],2,0)</f>
        <v>دخل</v>
      </c>
      <c r="O70" s="2" t="str">
        <f>VLOOKUP(الحركات[إلى صندوق],Table1[[الصندوق]:[نوعه]],2,0)</f>
        <v>صرف</v>
      </c>
    </row>
    <row r="71" spans="1:15" x14ac:dyDescent="0.3">
      <c r="A71">
        <v>201805</v>
      </c>
      <c r="B71" s="3"/>
      <c r="C71" t="s">
        <v>18</v>
      </c>
      <c r="D71" s="2">
        <f>VLOOKUP(الحركات[[#This Row],[من صندوق]],Table5[],5,0)</f>
        <v>0</v>
      </c>
      <c r="E71" t="s">
        <v>4</v>
      </c>
      <c r="F71" s="2">
        <f>VLOOKUP(الحركات[[#This Row],[إلى صندوق]],Table5[[الصندوق]:[الرصيد الفعلي]],5,0)</f>
        <v>0</v>
      </c>
      <c r="G71" s="7">
        <f>IF(VLOOKUP(الحركات[إلى صندوق],Table1[],3,0)=0,VLOOKUP(الحركات[[#This Row],[من صندوق]],Table1[[الصندوق]:[القيمة الشهرية]],3,0),VLOOKUP(الحركات[إلى صندوق],Table1[],3,0))</f>
        <v>200</v>
      </c>
      <c r="H71">
        <v>200</v>
      </c>
      <c r="J71" t="s">
        <v>58</v>
      </c>
      <c r="L71" s="2"/>
      <c r="M71" s="2" t="str">
        <f>الحركات[من صندوق]&amp;"/"&amp;الحركات[إلى صندوق]</f>
        <v>الراتب/طوارئ</v>
      </c>
      <c r="N71" s="2" t="str">
        <f>VLOOKUP(الحركات[من صندوق],Table1[],2,0)</f>
        <v>دخل</v>
      </c>
      <c r="O71" s="2" t="str">
        <f>VLOOKUP(الحركات[إلى صندوق],Table1[[الصندوق]:[نوعه]],2,0)</f>
        <v>صرف</v>
      </c>
    </row>
    <row r="72" spans="1:15" x14ac:dyDescent="0.3">
      <c r="A72">
        <v>201806</v>
      </c>
      <c r="B72" s="3"/>
      <c r="C72" t="s">
        <v>20</v>
      </c>
      <c r="D72" s="2">
        <f>VLOOKUP(الحركات[[#This Row],[من صندوق]],Table5[],5,0)</f>
        <v>0</v>
      </c>
      <c r="E72" t="s">
        <v>18</v>
      </c>
      <c r="F72" s="2">
        <f>VLOOKUP(الحركات[[#This Row],[إلى صندوق]],Table5[[الصندوق]:[الرصيد الفعلي]],5,0)</f>
        <v>0</v>
      </c>
      <c r="G72" s="7">
        <f>IF(VLOOKUP(الحركات[إلى صندوق],Table1[],3,0)=0,VLOOKUP(الحركات[[#This Row],[من صندوق]],Table1[[الصندوق]:[القيمة الشهرية]],3,0),VLOOKUP(الحركات[إلى صندوق],Table1[],3,0))</f>
        <v>10000</v>
      </c>
      <c r="H72">
        <v>10000</v>
      </c>
      <c r="J72" t="s">
        <v>40</v>
      </c>
      <c r="L72" s="2"/>
      <c r="M72" s="2" t="str">
        <f>الحركات[من صندوق]&amp;"/"&amp;الحركات[إلى صندوق]</f>
        <v>الشركة/الراتب</v>
      </c>
      <c r="N72" s="2" t="str">
        <f>VLOOKUP(الحركات[من صندوق],Table1[],2,0)</f>
        <v>خارجي</v>
      </c>
      <c r="O72" s="2" t="str">
        <f>VLOOKUP(الحركات[إلى صندوق],Table1[[الصندوق]:[نوعه]],2,0)</f>
        <v>دخل</v>
      </c>
    </row>
    <row r="73" spans="1:15" x14ac:dyDescent="0.3">
      <c r="A73">
        <v>201806</v>
      </c>
      <c r="B73" s="3"/>
      <c r="C73" t="s">
        <v>18</v>
      </c>
      <c r="D73" s="2">
        <f>VLOOKUP(الحركات[[#This Row],[من صندوق]],Table5[],5,0)</f>
        <v>0</v>
      </c>
      <c r="E73" t="s">
        <v>11</v>
      </c>
      <c r="F73" s="2">
        <f>VLOOKUP(الحركات[[#This Row],[إلى صندوق]],Table5[[الصندوق]:[الرصيد الفعلي]],5,0)</f>
        <v>0</v>
      </c>
      <c r="G73" s="7">
        <f>IF(VLOOKUP(الحركات[إلى صندوق],Table1[],3,0)=0,VLOOKUP(الحركات[[#This Row],[من صندوق]],Table1[[الصندوق]:[القيمة الشهرية]],3,0),VLOOKUP(الحركات[إلى صندوق],Table1[],3,0))</f>
        <v>250</v>
      </c>
      <c r="H73">
        <v>250</v>
      </c>
      <c r="J73" t="s">
        <v>47</v>
      </c>
      <c r="L73" s="2"/>
      <c r="M73" s="2" t="str">
        <f>الحركات[من صندوق]&amp;"/"&amp;الحركات[إلى صندوق]</f>
        <v>الراتب/فواتير</v>
      </c>
      <c r="N73" s="2" t="str">
        <f>VLOOKUP(الحركات[من صندوق],Table1[],2,0)</f>
        <v>دخل</v>
      </c>
      <c r="O73" s="2" t="str">
        <f>VLOOKUP(الحركات[إلى صندوق],Table1[[الصندوق]:[نوعه]],2,0)</f>
        <v>صرف</v>
      </c>
    </row>
    <row r="74" spans="1:15" x14ac:dyDescent="0.3">
      <c r="A74">
        <v>201806</v>
      </c>
      <c r="B74" s="3"/>
      <c r="C74" t="s">
        <v>18</v>
      </c>
      <c r="D74" s="2">
        <f>VLOOKUP(الحركات[[#This Row],[من صندوق]],Table5[],5,0)</f>
        <v>0</v>
      </c>
      <c r="E74" t="s">
        <v>13</v>
      </c>
      <c r="F74" s="2">
        <f>VLOOKUP(الحركات[[#This Row],[إلى صندوق]],Table5[[الصندوق]:[الرصيد الفعلي]],5,0)</f>
        <v>0</v>
      </c>
      <c r="G74" s="7">
        <f>IF(VLOOKUP(الحركات[إلى صندوق],Table1[],3,0)=0,VLOOKUP(الحركات[[#This Row],[من صندوق]],Table1[[الصندوق]:[القيمة الشهرية]],3,0),VLOOKUP(الحركات[إلى صندوق],Table1[],3,0))</f>
        <v>4000</v>
      </c>
      <c r="H74">
        <v>4000</v>
      </c>
      <c r="J74" t="s">
        <v>48</v>
      </c>
      <c r="L74" s="2"/>
      <c r="M74" s="2" t="str">
        <f>الحركات[من صندوق]&amp;"/"&amp;الحركات[إلى صندوق]</f>
        <v>الراتب/مصاريف شهرية</v>
      </c>
      <c r="N74" s="2" t="str">
        <f>VLOOKUP(الحركات[من صندوق],Table1[],2,0)</f>
        <v>دخل</v>
      </c>
      <c r="O74" s="2" t="str">
        <f>VLOOKUP(الحركات[إلى صندوق],Table1[[الصندوق]:[نوعه]],2,0)</f>
        <v>صرف</v>
      </c>
    </row>
    <row r="75" spans="1:15" x14ac:dyDescent="0.3">
      <c r="A75">
        <v>201806</v>
      </c>
      <c r="B75" s="3"/>
      <c r="C75" t="s">
        <v>18</v>
      </c>
      <c r="D75" s="2">
        <f>VLOOKUP(الحركات[[#This Row],[من صندوق]],Table5[],5,0)</f>
        <v>0</v>
      </c>
      <c r="E75" t="s">
        <v>3</v>
      </c>
      <c r="F75" s="2">
        <f>VLOOKUP(الحركات[[#This Row],[إلى صندوق]],Table5[[الصندوق]:[الرصيد الفعلي]],5,0)</f>
        <v>0</v>
      </c>
      <c r="G75" s="7">
        <f>IF(VLOOKUP(الحركات[إلى صندوق],Table1[],3,0)=0,VLOOKUP(الحركات[[#This Row],[من صندوق]],Table1[[الصندوق]:[القيمة الشهرية]],3,0),VLOOKUP(الحركات[إلى صندوق],Table1[],3,0))</f>
        <v>2000</v>
      </c>
      <c r="H75">
        <v>2000</v>
      </c>
      <c r="J75" t="s">
        <v>49</v>
      </c>
      <c r="L75" s="2"/>
      <c r="M75" s="2" t="str">
        <f>الحركات[من صندوق]&amp;"/"&amp;الحركات[إلى صندوق]</f>
        <v>الراتب/مدارس</v>
      </c>
      <c r="N75" s="2" t="str">
        <f>VLOOKUP(الحركات[من صندوق],Table1[],2,0)</f>
        <v>دخل</v>
      </c>
      <c r="O75" s="2" t="str">
        <f>VLOOKUP(الحركات[إلى صندوق],Table1[[الصندوق]:[نوعه]],2,0)</f>
        <v>صرف</v>
      </c>
    </row>
    <row r="76" spans="1:15" x14ac:dyDescent="0.3">
      <c r="A76">
        <v>201806</v>
      </c>
      <c r="B76" s="3"/>
      <c r="C76" t="s">
        <v>18</v>
      </c>
      <c r="D76" s="2">
        <f>VLOOKUP(الحركات[[#This Row],[من صندوق]],Table5[],5,0)</f>
        <v>0</v>
      </c>
      <c r="E76" t="s">
        <v>21</v>
      </c>
      <c r="F76" s="2">
        <f>VLOOKUP(الحركات[[#This Row],[إلى صندوق]],Table5[[الصندوق]:[الرصيد الفعلي]],5,0)</f>
        <v>0</v>
      </c>
      <c r="G76" s="7">
        <f>IF(VLOOKUP(الحركات[إلى صندوق],Table1[],3,0)=0,VLOOKUP(الحركات[[#This Row],[من صندوق]],Table1[[الصندوق]:[القيمة الشهرية]],3,0),VLOOKUP(الحركات[إلى صندوق],Table1[],3,0))</f>
        <v>1500</v>
      </c>
      <c r="H76">
        <v>1500</v>
      </c>
      <c r="J76" t="s">
        <v>50</v>
      </c>
      <c r="L76" s="2"/>
      <c r="M76" s="2" t="str">
        <f>الحركات[من صندوق]&amp;"/"&amp;الحركات[إلى صندوق]</f>
        <v>الراتب/ايجار المنزل</v>
      </c>
      <c r="N76" s="2" t="str">
        <f>VLOOKUP(الحركات[من صندوق],Table1[],2,0)</f>
        <v>دخل</v>
      </c>
      <c r="O76" s="2" t="str">
        <f>VLOOKUP(الحركات[إلى صندوق],Table1[[الصندوق]:[نوعه]],2,0)</f>
        <v>صرف</v>
      </c>
    </row>
    <row r="77" spans="1:15" x14ac:dyDescent="0.3">
      <c r="A77">
        <v>201806</v>
      </c>
      <c r="B77" s="3"/>
      <c r="C77" t="s">
        <v>18</v>
      </c>
      <c r="D77" s="2">
        <f>VLOOKUP(الحركات[[#This Row],[من صندوق]],Table5[],5,0)</f>
        <v>0</v>
      </c>
      <c r="E77" t="s">
        <v>0</v>
      </c>
      <c r="F77" s="2">
        <f>VLOOKUP(الحركات[[#This Row],[إلى صندوق]],Table5[[الصندوق]:[الرصيد الفعلي]],5,0)</f>
        <v>0</v>
      </c>
      <c r="G77" s="7">
        <f>IF(VLOOKUP(الحركات[إلى صندوق],Table1[],3,0)=0,VLOOKUP(الحركات[[#This Row],[من صندوق]],Table1[[الصندوق]:[القيمة الشهرية]],3,0),VLOOKUP(الحركات[إلى صندوق],Table1[],3,0))</f>
        <v>500</v>
      </c>
      <c r="H77">
        <v>500</v>
      </c>
      <c r="J77" t="s">
        <v>51</v>
      </c>
      <c r="L77" s="2"/>
      <c r="M77" s="2" t="str">
        <f>الحركات[من صندوق]&amp;"/"&amp;الحركات[إلى صندوق]</f>
        <v>الراتب/توفير</v>
      </c>
      <c r="N77" s="2" t="str">
        <f>VLOOKUP(الحركات[من صندوق],Table1[],2,0)</f>
        <v>دخل</v>
      </c>
      <c r="O77" s="2" t="str">
        <f>VLOOKUP(الحركات[إلى صندوق],Table1[[الصندوق]:[نوعه]],2,0)</f>
        <v>صرف</v>
      </c>
    </row>
    <row r="78" spans="1:15" x14ac:dyDescent="0.3">
      <c r="A78">
        <v>201806</v>
      </c>
      <c r="B78" s="3"/>
      <c r="C78" t="s">
        <v>18</v>
      </c>
      <c r="D78" s="2">
        <f>VLOOKUP(الحركات[[#This Row],[من صندوق]],Table5[],5,0)</f>
        <v>0</v>
      </c>
      <c r="E78" t="s">
        <v>12</v>
      </c>
      <c r="F78" s="2">
        <f>VLOOKUP(الحركات[[#This Row],[إلى صندوق]],Table5[[الصندوق]:[الرصيد الفعلي]],5,0)</f>
        <v>0</v>
      </c>
      <c r="G78" s="7">
        <f>IF(VLOOKUP(الحركات[إلى صندوق],Table1[],3,0)=0,VLOOKUP(الحركات[[#This Row],[من صندوق]],Table1[[الصندوق]:[القيمة الشهرية]],3,0),VLOOKUP(الحركات[إلى صندوق],Table1[],3,0))</f>
        <v>400</v>
      </c>
      <c r="H78">
        <v>400</v>
      </c>
      <c r="J78" t="s">
        <v>52</v>
      </c>
      <c r="L78" s="2"/>
      <c r="M78" s="2" t="str">
        <f>الحركات[من صندوق]&amp;"/"&amp;الحركات[إلى صندوق]</f>
        <v>الراتب/اجازات</v>
      </c>
      <c r="N78" s="2" t="str">
        <f>VLOOKUP(الحركات[من صندوق],Table1[],2,0)</f>
        <v>دخل</v>
      </c>
      <c r="O78" s="2" t="str">
        <f>VLOOKUP(الحركات[إلى صندوق],Table1[[الصندوق]:[نوعه]],2,0)</f>
        <v>صرف</v>
      </c>
    </row>
    <row r="79" spans="1:15" x14ac:dyDescent="0.3">
      <c r="A79">
        <v>201806</v>
      </c>
      <c r="B79" s="3"/>
      <c r="C79" t="s">
        <v>18</v>
      </c>
      <c r="D79" s="2">
        <f>VLOOKUP(الحركات[[#This Row],[من صندوق]],Table5[],5,0)</f>
        <v>0</v>
      </c>
      <c r="E79" t="s">
        <v>9</v>
      </c>
      <c r="F79" s="2">
        <f>VLOOKUP(الحركات[[#This Row],[إلى صندوق]],Table5[[الصندوق]:[الرصيد الفعلي]],5,0)</f>
        <v>0</v>
      </c>
      <c r="G79" s="7">
        <f>IF(VLOOKUP(الحركات[إلى صندوق],Table1[],3,0)=0,VLOOKUP(الحركات[[#This Row],[من صندوق]],Table1[[الصندوق]:[القيمة الشهرية]],3,0),VLOOKUP(الحركات[إلى صندوق],Table1[],3,0))</f>
        <v>200</v>
      </c>
      <c r="H79">
        <v>200</v>
      </c>
      <c r="J79" t="s">
        <v>53</v>
      </c>
      <c r="L79" s="2"/>
      <c r="M79" s="2" t="str">
        <f>الحركات[من صندوق]&amp;"/"&amp;الحركات[إلى صندوق]</f>
        <v>الراتب/دورات</v>
      </c>
      <c r="N79" s="2" t="str">
        <f>VLOOKUP(الحركات[من صندوق],Table1[],2,0)</f>
        <v>دخل</v>
      </c>
      <c r="O79" s="2" t="str">
        <f>VLOOKUP(الحركات[إلى صندوق],Table1[[الصندوق]:[نوعه]],2,0)</f>
        <v>صرف</v>
      </c>
    </row>
    <row r="80" spans="1:15" x14ac:dyDescent="0.3">
      <c r="A80">
        <v>201806</v>
      </c>
      <c r="B80" s="3"/>
      <c r="C80" t="s">
        <v>18</v>
      </c>
      <c r="D80" s="2">
        <f>VLOOKUP(الحركات[[#This Row],[من صندوق]],Table5[],5,0)</f>
        <v>0</v>
      </c>
      <c r="E80" t="s">
        <v>22</v>
      </c>
      <c r="F80" s="2">
        <f>VLOOKUP(الحركات[[#This Row],[إلى صندوق]],Table5[[الصندوق]:[الرصيد الفعلي]],5,0)</f>
        <v>0</v>
      </c>
      <c r="G80" s="7">
        <f>IF(VLOOKUP(الحركات[إلى صندوق],Table1[],3,0)=0,VLOOKUP(الحركات[[#This Row],[من صندوق]],Table1[[الصندوق]:[القيمة الشهرية]],3,0),VLOOKUP(الحركات[إلى صندوق],Table1[],3,0))</f>
        <v>200</v>
      </c>
      <c r="H80">
        <v>200</v>
      </c>
      <c r="J80" t="s">
        <v>54</v>
      </c>
      <c r="L80" s="2"/>
      <c r="M80" s="2" t="str">
        <f>الحركات[من صندوق]&amp;"/"&amp;الحركات[إلى صندوق]</f>
        <v>الراتب/زكاة</v>
      </c>
      <c r="N80" s="2" t="str">
        <f>VLOOKUP(الحركات[من صندوق],Table1[],2,0)</f>
        <v>دخل</v>
      </c>
      <c r="O80" s="2" t="str">
        <f>VLOOKUP(الحركات[إلى صندوق],Table1[[الصندوق]:[نوعه]],2,0)</f>
        <v>صرف</v>
      </c>
    </row>
    <row r="81" spans="1:15" x14ac:dyDescent="0.3">
      <c r="A81">
        <v>201806</v>
      </c>
      <c r="B81" s="3"/>
      <c r="C81" t="s">
        <v>18</v>
      </c>
      <c r="D81" s="2">
        <f>VLOOKUP(الحركات[[#This Row],[من صندوق]],Table5[],5,0)</f>
        <v>0</v>
      </c>
      <c r="E81" t="s">
        <v>10</v>
      </c>
      <c r="F81" s="2">
        <f>VLOOKUP(الحركات[[#This Row],[إلى صندوق]],Table5[[الصندوق]:[الرصيد الفعلي]],5,0)</f>
        <v>0</v>
      </c>
      <c r="G81" s="7">
        <f>IF(VLOOKUP(الحركات[إلى صندوق],Table1[],3,0)=0,VLOOKUP(الحركات[[#This Row],[من صندوق]],Table1[[الصندوق]:[القيمة الشهرية]],3,0),VLOOKUP(الحركات[إلى صندوق],Table1[],3,0))</f>
        <v>250</v>
      </c>
      <c r="H81">
        <v>250</v>
      </c>
      <c r="J81" t="s">
        <v>55</v>
      </c>
      <c r="L81" s="2"/>
      <c r="M81" s="2" t="str">
        <f>الحركات[من صندوق]&amp;"/"&amp;الحركات[إلى صندوق]</f>
        <v>الراتب/صيانة السيارة</v>
      </c>
      <c r="N81" s="2" t="str">
        <f>VLOOKUP(الحركات[من صندوق],Table1[],2,0)</f>
        <v>دخل</v>
      </c>
      <c r="O81" s="2" t="str">
        <f>VLOOKUP(الحركات[إلى صندوق],Table1[[الصندوق]:[نوعه]],2,0)</f>
        <v>صرف</v>
      </c>
    </row>
    <row r="82" spans="1:15" x14ac:dyDescent="0.3">
      <c r="A82">
        <v>201806</v>
      </c>
      <c r="B82" s="3"/>
      <c r="C82" t="s">
        <v>18</v>
      </c>
      <c r="D82" s="2">
        <f>VLOOKUP(الحركات[[#This Row],[من صندوق]],Table5[],5,0)</f>
        <v>0</v>
      </c>
      <c r="E82" t="s">
        <v>15</v>
      </c>
      <c r="F82" s="2">
        <f>VLOOKUP(الحركات[[#This Row],[إلى صندوق]],Table5[[الصندوق]:[الرصيد الفعلي]],5,0)</f>
        <v>0</v>
      </c>
      <c r="G82" s="7">
        <f>IF(VLOOKUP(الحركات[إلى صندوق],Table1[],3,0)=0,VLOOKUP(الحركات[[#This Row],[من صندوق]],Table1[[الصندوق]:[القيمة الشهرية]],3,0),VLOOKUP(الحركات[إلى صندوق],Table1[],3,0))</f>
        <v>300</v>
      </c>
      <c r="H82">
        <v>300</v>
      </c>
      <c r="J82" t="s">
        <v>56</v>
      </c>
      <c r="L82" s="2"/>
      <c r="M82" s="2" t="str">
        <f>الحركات[من صندوق]&amp;"/"&amp;الحركات[إلى صندوق]</f>
        <v>الراتب/ملابس</v>
      </c>
      <c r="N82" s="2" t="str">
        <f>VLOOKUP(الحركات[من صندوق],Table1[],2,0)</f>
        <v>دخل</v>
      </c>
      <c r="O82" s="2" t="str">
        <f>VLOOKUP(الحركات[إلى صندوق],Table1[[الصندوق]:[نوعه]],2,0)</f>
        <v>صرف</v>
      </c>
    </row>
    <row r="83" spans="1:15" x14ac:dyDescent="0.3">
      <c r="A83">
        <v>201806</v>
      </c>
      <c r="B83" s="3"/>
      <c r="C83" t="s">
        <v>18</v>
      </c>
      <c r="D83" s="2">
        <f>VLOOKUP(الحركات[[#This Row],[من صندوق]],Table5[],5,0)</f>
        <v>0</v>
      </c>
      <c r="E83" t="s">
        <v>1</v>
      </c>
      <c r="F83" s="2">
        <f>VLOOKUP(الحركات[[#This Row],[إلى صندوق]],Table5[[الصندوق]:[الرصيد الفعلي]],5,0)</f>
        <v>0</v>
      </c>
      <c r="G83" s="7">
        <f>IF(VLOOKUP(الحركات[إلى صندوق],Table1[],3,0)=0,VLOOKUP(الحركات[[#This Row],[من صندوق]],Table1[[الصندوق]:[القيمة الشهرية]],3,0),VLOOKUP(الحركات[إلى صندوق],Table1[],3,0))</f>
        <v>200</v>
      </c>
      <c r="H83">
        <v>200</v>
      </c>
      <c r="J83" t="s">
        <v>57</v>
      </c>
      <c r="L83" s="2"/>
      <c r="M83" s="2" t="str">
        <f>الحركات[من صندوق]&amp;"/"&amp;الحركات[إلى صندوق]</f>
        <v>الراتب/هدايا</v>
      </c>
      <c r="N83" s="2" t="str">
        <f>VLOOKUP(الحركات[من صندوق],Table1[],2,0)</f>
        <v>دخل</v>
      </c>
      <c r="O83" s="2" t="str">
        <f>VLOOKUP(الحركات[إلى صندوق],Table1[[الصندوق]:[نوعه]],2,0)</f>
        <v>صرف</v>
      </c>
    </row>
    <row r="84" spans="1:15" x14ac:dyDescent="0.3">
      <c r="A84">
        <v>201806</v>
      </c>
      <c r="B84" s="3"/>
      <c r="C84" t="s">
        <v>18</v>
      </c>
      <c r="D84" s="2">
        <f>VLOOKUP(الحركات[[#This Row],[من صندوق]],Table5[],5,0)</f>
        <v>0</v>
      </c>
      <c r="E84" t="s">
        <v>4</v>
      </c>
      <c r="F84" s="2">
        <f>VLOOKUP(الحركات[[#This Row],[إلى صندوق]],Table5[[الصندوق]:[الرصيد الفعلي]],5,0)</f>
        <v>0</v>
      </c>
      <c r="G84" s="7">
        <f>IF(VLOOKUP(الحركات[إلى صندوق],Table1[],3,0)=0,VLOOKUP(الحركات[[#This Row],[من صندوق]],Table1[[الصندوق]:[القيمة الشهرية]],3,0),VLOOKUP(الحركات[إلى صندوق],Table1[],3,0))</f>
        <v>200</v>
      </c>
      <c r="H84">
        <v>200</v>
      </c>
      <c r="J84" t="s">
        <v>58</v>
      </c>
      <c r="L84" s="2"/>
      <c r="M84" s="2" t="str">
        <f>الحركات[من صندوق]&amp;"/"&amp;الحركات[إلى صندوق]</f>
        <v>الراتب/طوارئ</v>
      </c>
      <c r="N84" s="2" t="str">
        <f>VLOOKUP(الحركات[من صندوق],Table1[],2,0)</f>
        <v>دخل</v>
      </c>
      <c r="O84" s="2" t="str">
        <f>VLOOKUP(الحركات[إلى صندوق],Table1[[الصندوق]:[نوعه]],2,0)</f>
        <v>صرف</v>
      </c>
    </row>
    <row r="85" spans="1:15" x14ac:dyDescent="0.3">
      <c r="A85">
        <v>201807</v>
      </c>
      <c r="B85" s="3"/>
      <c r="C85" t="s">
        <v>20</v>
      </c>
      <c r="D85" s="2">
        <f>VLOOKUP(الحركات[[#This Row],[من صندوق]],Table5[],5,0)</f>
        <v>0</v>
      </c>
      <c r="E85" t="s">
        <v>18</v>
      </c>
      <c r="F85" s="2">
        <f>VLOOKUP(الحركات[[#This Row],[إلى صندوق]],Table5[[الصندوق]:[الرصيد الفعلي]],5,0)</f>
        <v>0</v>
      </c>
      <c r="G85" s="7">
        <f>IF(VLOOKUP(الحركات[إلى صندوق],Table1[],3,0)=0,VLOOKUP(الحركات[[#This Row],[من صندوق]],Table1[[الصندوق]:[القيمة الشهرية]],3,0),VLOOKUP(الحركات[إلى صندوق],Table1[],3,0))</f>
        <v>10000</v>
      </c>
      <c r="H85">
        <v>10000</v>
      </c>
      <c r="J85" t="s">
        <v>40</v>
      </c>
      <c r="L85" s="2"/>
      <c r="M85" s="2" t="str">
        <f>الحركات[من صندوق]&amp;"/"&amp;الحركات[إلى صندوق]</f>
        <v>الشركة/الراتب</v>
      </c>
      <c r="N85" s="2" t="str">
        <f>VLOOKUP(الحركات[من صندوق],Table1[],2,0)</f>
        <v>خارجي</v>
      </c>
      <c r="O85" s="2" t="str">
        <f>VLOOKUP(الحركات[إلى صندوق],Table1[[الصندوق]:[نوعه]],2,0)</f>
        <v>دخل</v>
      </c>
    </row>
    <row r="86" spans="1:15" x14ac:dyDescent="0.3">
      <c r="A86">
        <v>201807</v>
      </c>
      <c r="B86" s="3"/>
      <c r="C86" t="s">
        <v>18</v>
      </c>
      <c r="D86" s="2">
        <f>VLOOKUP(الحركات[[#This Row],[من صندوق]],Table5[],5,0)</f>
        <v>0</v>
      </c>
      <c r="E86" t="s">
        <v>11</v>
      </c>
      <c r="F86" s="2">
        <f>VLOOKUP(الحركات[[#This Row],[إلى صندوق]],Table5[[الصندوق]:[الرصيد الفعلي]],5,0)</f>
        <v>0</v>
      </c>
      <c r="G86" s="7">
        <f>IF(VLOOKUP(الحركات[إلى صندوق],Table1[],3,0)=0,VLOOKUP(الحركات[[#This Row],[من صندوق]],Table1[[الصندوق]:[القيمة الشهرية]],3,0),VLOOKUP(الحركات[إلى صندوق],Table1[],3,0))</f>
        <v>250</v>
      </c>
      <c r="H86">
        <v>250</v>
      </c>
      <c r="J86" t="s">
        <v>47</v>
      </c>
      <c r="L86" s="2"/>
      <c r="M86" s="2" t="str">
        <f>الحركات[من صندوق]&amp;"/"&amp;الحركات[إلى صندوق]</f>
        <v>الراتب/فواتير</v>
      </c>
      <c r="N86" s="2" t="str">
        <f>VLOOKUP(الحركات[من صندوق],Table1[],2,0)</f>
        <v>دخل</v>
      </c>
      <c r="O86" s="2" t="str">
        <f>VLOOKUP(الحركات[إلى صندوق],Table1[[الصندوق]:[نوعه]],2,0)</f>
        <v>صرف</v>
      </c>
    </row>
    <row r="87" spans="1:15" x14ac:dyDescent="0.3">
      <c r="A87">
        <v>201807</v>
      </c>
      <c r="B87" s="3"/>
      <c r="C87" t="s">
        <v>18</v>
      </c>
      <c r="D87" s="2">
        <f>VLOOKUP(الحركات[[#This Row],[من صندوق]],Table5[],5,0)</f>
        <v>0</v>
      </c>
      <c r="E87" t="s">
        <v>13</v>
      </c>
      <c r="F87" s="2">
        <f>VLOOKUP(الحركات[[#This Row],[إلى صندوق]],Table5[[الصندوق]:[الرصيد الفعلي]],5,0)</f>
        <v>0</v>
      </c>
      <c r="G87" s="7">
        <f>IF(VLOOKUP(الحركات[إلى صندوق],Table1[],3,0)=0,VLOOKUP(الحركات[[#This Row],[من صندوق]],Table1[[الصندوق]:[القيمة الشهرية]],3,0),VLOOKUP(الحركات[إلى صندوق],Table1[],3,0))</f>
        <v>4000</v>
      </c>
      <c r="H87">
        <v>4000</v>
      </c>
      <c r="J87" t="s">
        <v>48</v>
      </c>
      <c r="L87" s="2"/>
      <c r="M87" s="2" t="str">
        <f>الحركات[من صندوق]&amp;"/"&amp;الحركات[إلى صندوق]</f>
        <v>الراتب/مصاريف شهرية</v>
      </c>
      <c r="N87" s="2" t="str">
        <f>VLOOKUP(الحركات[من صندوق],Table1[],2,0)</f>
        <v>دخل</v>
      </c>
      <c r="O87" s="2" t="str">
        <f>VLOOKUP(الحركات[إلى صندوق],Table1[[الصندوق]:[نوعه]],2,0)</f>
        <v>صرف</v>
      </c>
    </row>
    <row r="88" spans="1:15" x14ac:dyDescent="0.3">
      <c r="A88">
        <v>201807</v>
      </c>
      <c r="B88" s="3"/>
      <c r="C88" t="s">
        <v>18</v>
      </c>
      <c r="D88" s="2">
        <f>VLOOKUP(الحركات[[#This Row],[من صندوق]],Table5[],5,0)</f>
        <v>0</v>
      </c>
      <c r="E88" t="s">
        <v>3</v>
      </c>
      <c r="F88" s="2">
        <f>VLOOKUP(الحركات[[#This Row],[إلى صندوق]],Table5[[الصندوق]:[الرصيد الفعلي]],5,0)</f>
        <v>0</v>
      </c>
      <c r="G88" s="7">
        <f>IF(VLOOKUP(الحركات[إلى صندوق],Table1[],3,0)=0,VLOOKUP(الحركات[[#This Row],[من صندوق]],Table1[[الصندوق]:[القيمة الشهرية]],3,0),VLOOKUP(الحركات[إلى صندوق],Table1[],3,0))</f>
        <v>2000</v>
      </c>
      <c r="H88">
        <v>2000</v>
      </c>
      <c r="J88" t="s">
        <v>49</v>
      </c>
      <c r="L88" s="2"/>
      <c r="M88" s="2" t="str">
        <f>الحركات[من صندوق]&amp;"/"&amp;الحركات[إلى صندوق]</f>
        <v>الراتب/مدارس</v>
      </c>
      <c r="N88" s="2" t="str">
        <f>VLOOKUP(الحركات[من صندوق],Table1[],2,0)</f>
        <v>دخل</v>
      </c>
      <c r="O88" s="2" t="str">
        <f>VLOOKUP(الحركات[إلى صندوق],Table1[[الصندوق]:[نوعه]],2,0)</f>
        <v>صرف</v>
      </c>
    </row>
    <row r="89" spans="1:15" x14ac:dyDescent="0.3">
      <c r="A89">
        <v>201807</v>
      </c>
      <c r="B89" s="3"/>
      <c r="C89" t="s">
        <v>18</v>
      </c>
      <c r="D89" s="2">
        <f>VLOOKUP(الحركات[[#This Row],[من صندوق]],Table5[],5,0)</f>
        <v>0</v>
      </c>
      <c r="E89" t="s">
        <v>21</v>
      </c>
      <c r="F89" s="2">
        <f>VLOOKUP(الحركات[[#This Row],[إلى صندوق]],Table5[[الصندوق]:[الرصيد الفعلي]],5,0)</f>
        <v>0</v>
      </c>
      <c r="G89" s="7">
        <f>IF(VLOOKUP(الحركات[إلى صندوق],Table1[],3,0)=0,VLOOKUP(الحركات[[#This Row],[من صندوق]],Table1[[الصندوق]:[القيمة الشهرية]],3,0),VLOOKUP(الحركات[إلى صندوق],Table1[],3,0))</f>
        <v>1500</v>
      </c>
      <c r="H89">
        <v>1500</v>
      </c>
      <c r="J89" t="s">
        <v>50</v>
      </c>
      <c r="L89" s="2"/>
      <c r="M89" s="2" t="str">
        <f>الحركات[من صندوق]&amp;"/"&amp;الحركات[إلى صندوق]</f>
        <v>الراتب/ايجار المنزل</v>
      </c>
      <c r="N89" s="2" t="str">
        <f>VLOOKUP(الحركات[من صندوق],Table1[],2,0)</f>
        <v>دخل</v>
      </c>
      <c r="O89" s="2" t="str">
        <f>VLOOKUP(الحركات[إلى صندوق],Table1[[الصندوق]:[نوعه]],2,0)</f>
        <v>صرف</v>
      </c>
    </row>
    <row r="90" spans="1:15" x14ac:dyDescent="0.3">
      <c r="A90">
        <v>201807</v>
      </c>
      <c r="B90" s="3"/>
      <c r="C90" t="s">
        <v>18</v>
      </c>
      <c r="D90" s="2">
        <f>VLOOKUP(الحركات[[#This Row],[من صندوق]],Table5[],5,0)</f>
        <v>0</v>
      </c>
      <c r="E90" t="s">
        <v>0</v>
      </c>
      <c r="F90" s="2">
        <f>VLOOKUP(الحركات[[#This Row],[إلى صندوق]],Table5[[الصندوق]:[الرصيد الفعلي]],5,0)</f>
        <v>0</v>
      </c>
      <c r="G90" s="7">
        <f>IF(VLOOKUP(الحركات[إلى صندوق],Table1[],3,0)=0,VLOOKUP(الحركات[[#This Row],[من صندوق]],Table1[[الصندوق]:[القيمة الشهرية]],3,0),VLOOKUP(الحركات[إلى صندوق],Table1[],3,0))</f>
        <v>500</v>
      </c>
      <c r="H90">
        <v>500</v>
      </c>
      <c r="J90" t="s">
        <v>51</v>
      </c>
      <c r="L90" s="2"/>
      <c r="M90" s="2" t="str">
        <f>الحركات[من صندوق]&amp;"/"&amp;الحركات[إلى صندوق]</f>
        <v>الراتب/توفير</v>
      </c>
      <c r="N90" s="2" t="str">
        <f>VLOOKUP(الحركات[من صندوق],Table1[],2,0)</f>
        <v>دخل</v>
      </c>
      <c r="O90" s="2" t="str">
        <f>VLOOKUP(الحركات[إلى صندوق],Table1[[الصندوق]:[نوعه]],2,0)</f>
        <v>صرف</v>
      </c>
    </row>
    <row r="91" spans="1:15" x14ac:dyDescent="0.3">
      <c r="A91">
        <v>201807</v>
      </c>
      <c r="B91" s="3"/>
      <c r="C91" t="s">
        <v>18</v>
      </c>
      <c r="D91" s="2">
        <f>VLOOKUP(الحركات[[#This Row],[من صندوق]],Table5[],5,0)</f>
        <v>0</v>
      </c>
      <c r="E91" t="s">
        <v>12</v>
      </c>
      <c r="F91" s="2">
        <f>VLOOKUP(الحركات[[#This Row],[إلى صندوق]],Table5[[الصندوق]:[الرصيد الفعلي]],5,0)</f>
        <v>0</v>
      </c>
      <c r="G91" s="7">
        <f>IF(VLOOKUP(الحركات[إلى صندوق],Table1[],3,0)=0,VLOOKUP(الحركات[[#This Row],[من صندوق]],Table1[[الصندوق]:[القيمة الشهرية]],3,0),VLOOKUP(الحركات[إلى صندوق],Table1[],3,0))</f>
        <v>400</v>
      </c>
      <c r="H91">
        <v>400</v>
      </c>
      <c r="J91" t="s">
        <v>52</v>
      </c>
      <c r="L91" s="2"/>
      <c r="M91" s="2" t="str">
        <f>الحركات[من صندوق]&amp;"/"&amp;الحركات[إلى صندوق]</f>
        <v>الراتب/اجازات</v>
      </c>
      <c r="N91" s="2" t="str">
        <f>VLOOKUP(الحركات[من صندوق],Table1[],2,0)</f>
        <v>دخل</v>
      </c>
      <c r="O91" s="2" t="str">
        <f>VLOOKUP(الحركات[إلى صندوق],Table1[[الصندوق]:[نوعه]],2,0)</f>
        <v>صرف</v>
      </c>
    </row>
    <row r="92" spans="1:15" x14ac:dyDescent="0.3">
      <c r="A92">
        <v>201807</v>
      </c>
      <c r="B92" s="3"/>
      <c r="C92" t="s">
        <v>18</v>
      </c>
      <c r="D92" s="2">
        <f>VLOOKUP(الحركات[[#This Row],[من صندوق]],Table5[],5,0)</f>
        <v>0</v>
      </c>
      <c r="E92" t="s">
        <v>9</v>
      </c>
      <c r="F92" s="2">
        <f>VLOOKUP(الحركات[[#This Row],[إلى صندوق]],Table5[[الصندوق]:[الرصيد الفعلي]],5,0)</f>
        <v>0</v>
      </c>
      <c r="G92" s="7">
        <f>IF(VLOOKUP(الحركات[إلى صندوق],Table1[],3,0)=0,VLOOKUP(الحركات[[#This Row],[من صندوق]],Table1[[الصندوق]:[القيمة الشهرية]],3,0),VLOOKUP(الحركات[إلى صندوق],Table1[],3,0))</f>
        <v>200</v>
      </c>
      <c r="H92">
        <v>200</v>
      </c>
      <c r="J92" t="s">
        <v>53</v>
      </c>
      <c r="L92" s="2"/>
      <c r="M92" s="2" t="str">
        <f>الحركات[من صندوق]&amp;"/"&amp;الحركات[إلى صندوق]</f>
        <v>الراتب/دورات</v>
      </c>
      <c r="N92" s="2" t="str">
        <f>VLOOKUP(الحركات[من صندوق],Table1[],2,0)</f>
        <v>دخل</v>
      </c>
      <c r="O92" s="2" t="str">
        <f>VLOOKUP(الحركات[إلى صندوق],Table1[[الصندوق]:[نوعه]],2,0)</f>
        <v>صرف</v>
      </c>
    </row>
    <row r="93" spans="1:15" x14ac:dyDescent="0.3">
      <c r="A93">
        <v>201807</v>
      </c>
      <c r="B93" s="3"/>
      <c r="C93" t="s">
        <v>18</v>
      </c>
      <c r="D93" s="2">
        <f>VLOOKUP(الحركات[[#This Row],[من صندوق]],Table5[],5,0)</f>
        <v>0</v>
      </c>
      <c r="E93" t="s">
        <v>22</v>
      </c>
      <c r="F93" s="2">
        <f>VLOOKUP(الحركات[[#This Row],[إلى صندوق]],Table5[[الصندوق]:[الرصيد الفعلي]],5,0)</f>
        <v>0</v>
      </c>
      <c r="G93" s="7">
        <f>IF(VLOOKUP(الحركات[إلى صندوق],Table1[],3,0)=0,VLOOKUP(الحركات[[#This Row],[من صندوق]],Table1[[الصندوق]:[القيمة الشهرية]],3,0),VLOOKUP(الحركات[إلى صندوق],Table1[],3,0))</f>
        <v>200</v>
      </c>
      <c r="H93">
        <v>200</v>
      </c>
      <c r="J93" t="s">
        <v>54</v>
      </c>
      <c r="L93" s="2"/>
      <c r="M93" s="2" t="str">
        <f>الحركات[من صندوق]&amp;"/"&amp;الحركات[إلى صندوق]</f>
        <v>الراتب/زكاة</v>
      </c>
      <c r="N93" s="2" t="str">
        <f>VLOOKUP(الحركات[من صندوق],Table1[],2,0)</f>
        <v>دخل</v>
      </c>
      <c r="O93" s="2" t="str">
        <f>VLOOKUP(الحركات[إلى صندوق],Table1[[الصندوق]:[نوعه]],2,0)</f>
        <v>صرف</v>
      </c>
    </row>
    <row r="94" spans="1:15" x14ac:dyDescent="0.3">
      <c r="A94">
        <v>201807</v>
      </c>
      <c r="B94" s="3"/>
      <c r="C94" t="s">
        <v>18</v>
      </c>
      <c r="D94" s="2">
        <f>VLOOKUP(الحركات[[#This Row],[من صندوق]],Table5[],5,0)</f>
        <v>0</v>
      </c>
      <c r="E94" t="s">
        <v>10</v>
      </c>
      <c r="F94" s="2">
        <f>VLOOKUP(الحركات[[#This Row],[إلى صندوق]],Table5[[الصندوق]:[الرصيد الفعلي]],5,0)</f>
        <v>0</v>
      </c>
      <c r="G94" s="7">
        <f>IF(VLOOKUP(الحركات[إلى صندوق],Table1[],3,0)=0,VLOOKUP(الحركات[[#This Row],[من صندوق]],Table1[[الصندوق]:[القيمة الشهرية]],3,0),VLOOKUP(الحركات[إلى صندوق],Table1[],3,0))</f>
        <v>250</v>
      </c>
      <c r="H94">
        <v>250</v>
      </c>
      <c r="J94" t="s">
        <v>55</v>
      </c>
      <c r="L94" s="2"/>
      <c r="M94" s="2" t="str">
        <f>الحركات[من صندوق]&amp;"/"&amp;الحركات[إلى صندوق]</f>
        <v>الراتب/صيانة السيارة</v>
      </c>
      <c r="N94" s="2" t="str">
        <f>VLOOKUP(الحركات[من صندوق],Table1[],2,0)</f>
        <v>دخل</v>
      </c>
      <c r="O94" s="2" t="str">
        <f>VLOOKUP(الحركات[إلى صندوق],Table1[[الصندوق]:[نوعه]],2,0)</f>
        <v>صرف</v>
      </c>
    </row>
    <row r="95" spans="1:15" x14ac:dyDescent="0.3">
      <c r="A95">
        <v>201807</v>
      </c>
      <c r="B95" s="3"/>
      <c r="C95" t="s">
        <v>18</v>
      </c>
      <c r="D95" s="2">
        <f>VLOOKUP(الحركات[[#This Row],[من صندوق]],Table5[],5,0)</f>
        <v>0</v>
      </c>
      <c r="E95" t="s">
        <v>15</v>
      </c>
      <c r="F95" s="2">
        <f>VLOOKUP(الحركات[[#This Row],[إلى صندوق]],Table5[[الصندوق]:[الرصيد الفعلي]],5,0)</f>
        <v>0</v>
      </c>
      <c r="G95" s="7">
        <f>IF(VLOOKUP(الحركات[إلى صندوق],Table1[],3,0)=0,VLOOKUP(الحركات[[#This Row],[من صندوق]],Table1[[الصندوق]:[القيمة الشهرية]],3,0),VLOOKUP(الحركات[إلى صندوق],Table1[],3,0))</f>
        <v>300</v>
      </c>
      <c r="H95">
        <v>300</v>
      </c>
      <c r="J95" t="s">
        <v>56</v>
      </c>
      <c r="L95" s="2"/>
      <c r="M95" s="2" t="str">
        <f>الحركات[من صندوق]&amp;"/"&amp;الحركات[إلى صندوق]</f>
        <v>الراتب/ملابس</v>
      </c>
      <c r="N95" s="2" t="str">
        <f>VLOOKUP(الحركات[من صندوق],Table1[],2,0)</f>
        <v>دخل</v>
      </c>
      <c r="O95" s="2" t="str">
        <f>VLOOKUP(الحركات[إلى صندوق],Table1[[الصندوق]:[نوعه]],2,0)</f>
        <v>صرف</v>
      </c>
    </row>
    <row r="96" spans="1:15" x14ac:dyDescent="0.3">
      <c r="A96">
        <v>201807</v>
      </c>
      <c r="B96" s="3"/>
      <c r="C96" t="s">
        <v>18</v>
      </c>
      <c r="D96" s="2">
        <f>VLOOKUP(الحركات[[#This Row],[من صندوق]],Table5[],5,0)</f>
        <v>0</v>
      </c>
      <c r="E96" t="s">
        <v>1</v>
      </c>
      <c r="F96" s="2">
        <f>VLOOKUP(الحركات[[#This Row],[إلى صندوق]],Table5[[الصندوق]:[الرصيد الفعلي]],5,0)</f>
        <v>0</v>
      </c>
      <c r="G96" s="7">
        <f>IF(VLOOKUP(الحركات[إلى صندوق],Table1[],3,0)=0,VLOOKUP(الحركات[[#This Row],[من صندوق]],Table1[[الصندوق]:[القيمة الشهرية]],3,0),VLOOKUP(الحركات[إلى صندوق],Table1[],3,0))</f>
        <v>200</v>
      </c>
      <c r="H96">
        <v>200</v>
      </c>
      <c r="J96" t="s">
        <v>57</v>
      </c>
      <c r="L96" s="2"/>
      <c r="M96" s="2" t="str">
        <f>الحركات[من صندوق]&amp;"/"&amp;الحركات[إلى صندوق]</f>
        <v>الراتب/هدايا</v>
      </c>
      <c r="N96" s="2" t="str">
        <f>VLOOKUP(الحركات[من صندوق],Table1[],2,0)</f>
        <v>دخل</v>
      </c>
      <c r="O96" s="2" t="str">
        <f>VLOOKUP(الحركات[إلى صندوق],Table1[[الصندوق]:[نوعه]],2,0)</f>
        <v>صرف</v>
      </c>
    </row>
    <row r="97" spans="1:15" x14ac:dyDescent="0.3">
      <c r="A97">
        <v>201807</v>
      </c>
      <c r="B97" s="3"/>
      <c r="C97" t="s">
        <v>18</v>
      </c>
      <c r="D97" s="2">
        <f>VLOOKUP(الحركات[[#This Row],[من صندوق]],Table5[],5,0)</f>
        <v>0</v>
      </c>
      <c r="E97" t="s">
        <v>4</v>
      </c>
      <c r="F97" s="2">
        <f>VLOOKUP(الحركات[[#This Row],[إلى صندوق]],Table5[[الصندوق]:[الرصيد الفعلي]],5,0)</f>
        <v>0</v>
      </c>
      <c r="G97" s="7">
        <f>IF(VLOOKUP(الحركات[إلى صندوق],Table1[],3,0)=0,VLOOKUP(الحركات[[#This Row],[من صندوق]],Table1[[الصندوق]:[القيمة الشهرية]],3,0),VLOOKUP(الحركات[إلى صندوق],Table1[],3,0))</f>
        <v>200</v>
      </c>
      <c r="H97">
        <v>200</v>
      </c>
      <c r="J97" t="s">
        <v>58</v>
      </c>
      <c r="L97" s="2"/>
      <c r="M97" s="2" t="str">
        <f>الحركات[من صندوق]&amp;"/"&amp;الحركات[إلى صندوق]</f>
        <v>الراتب/طوارئ</v>
      </c>
      <c r="N97" s="2" t="str">
        <f>VLOOKUP(الحركات[من صندوق],Table1[],2,0)</f>
        <v>دخل</v>
      </c>
      <c r="O97" s="2" t="str">
        <f>VLOOKUP(الحركات[إلى صندوق],Table1[[الصندوق]:[نوعه]],2,0)</f>
        <v>صرف</v>
      </c>
    </row>
    <row r="98" spans="1:15" x14ac:dyDescent="0.3">
      <c r="A98">
        <v>201808</v>
      </c>
      <c r="B98" s="3"/>
      <c r="C98" t="s">
        <v>20</v>
      </c>
      <c r="D98" s="2">
        <f>VLOOKUP(الحركات[[#This Row],[من صندوق]],Table5[],5,0)</f>
        <v>0</v>
      </c>
      <c r="E98" t="s">
        <v>18</v>
      </c>
      <c r="F98" s="2">
        <f>VLOOKUP(الحركات[[#This Row],[إلى صندوق]],Table5[[الصندوق]:[الرصيد الفعلي]],5,0)</f>
        <v>0</v>
      </c>
      <c r="G98" s="7">
        <f>IF(VLOOKUP(الحركات[إلى صندوق],Table1[],3,0)=0,VLOOKUP(الحركات[[#This Row],[من صندوق]],Table1[[الصندوق]:[القيمة الشهرية]],3,0),VLOOKUP(الحركات[إلى صندوق],Table1[],3,0))</f>
        <v>10000</v>
      </c>
      <c r="H98">
        <v>10000</v>
      </c>
      <c r="J98" t="s">
        <v>40</v>
      </c>
      <c r="L98" s="2"/>
      <c r="M98" s="2" t="str">
        <f>الحركات[من صندوق]&amp;"/"&amp;الحركات[إلى صندوق]</f>
        <v>الشركة/الراتب</v>
      </c>
      <c r="N98" s="2" t="str">
        <f>VLOOKUP(الحركات[من صندوق],Table1[],2,0)</f>
        <v>خارجي</v>
      </c>
      <c r="O98" s="2" t="str">
        <f>VLOOKUP(الحركات[إلى صندوق],Table1[[الصندوق]:[نوعه]],2,0)</f>
        <v>دخل</v>
      </c>
    </row>
    <row r="99" spans="1:15" x14ac:dyDescent="0.3">
      <c r="A99">
        <v>201808</v>
      </c>
      <c r="B99" s="3"/>
      <c r="C99" t="s">
        <v>18</v>
      </c>
      <c r="D99" s="2">
        <f>VLOOKUP(الحركات[[#This Row],[من صندوق]],Table5[],5,0)</f>
        <v>0</v>
      </c>
      <c r="E99" t="s">
        <v>11</v>
      </c>
      <c r="F99" s="2">
        <f>VLOOKUP(الحركات[[#This Row],[إلى صندوق]],Table5[[الصندوق]:[الرصيد الفعلي]],5,0)</f>
        <v>0</v>
      </c>
      <c r="G99" s="7">
        <f>IF(VLOOKUP(الحركات[إلى صندوق],Table1[],3,0)=0,VLOOKUP(الحركات[[#This Row],[من صندوق]],Table1[[الصندوق]:[القيمة الشهرية]],3,0),VLOOKUP(الحركات[إلى صندوق],Table1[],3,0))</f>
        <v>250</v>
      </c>
      <c r="H99">
        <v>250</v>
      </c>
      <c r="J99" t="s">
        <v>47</v>
      </c>
      <c r="L99" s="2"/>
      <c r="M99" s="2" t="str">
        <f>الحركات[من صندوق]&amp;"/"&amp;الحركات[إلى صندوق]</f>
        <v>الراتب/فواتير</v>
      </c>
      <c r="N99" s="2" t="str">
        <f>VLOOKUP(الحركات[من صندوق],Table1[],2,0)</f>
        <v>دخل</v>
      </c>
      <c r="O99" s="2" t="str">
        <f>VLOOKUP(الحركات[إلى صندوق],Table1[[الصندوق]:[نوعه]],2,0)</f>
        <v>صرف</v>
      </c>
    </row>
    <row r="100" spans="1:15" x14ac:dyDescent="0.3">
      <c r="A100">
        <v>201808</v>
      </c>
      <c r="B100" s="3"/>
      <c r="C100" t="s">
        <v>18</v>
      </c>
      <c r="D100" s="2">
        <f>VLOOKUP(الحركات[[#This Row],[من صندوق]],Table5[],5,0)</f>
        <v>0</v>
      </c>
      <c r="E100" t="s">
        <v>13</v>
      </c>
      <c r="F100" s="2">
        <f>VLOOKUP(الحركات[[#This Row],[إلى صندوق]],Table5[[الصندوق]:[الرصيد الفعلي]],5,0)</f>
        <v>0</v>
      </c>
      <c r="G100" s="7">
        <f>IF(VLOOKUP(الحركات[إلى صندوق],Table1[],3,0)=0,VLOOKUP(الحركات[[#This Row],[من صندوق]],Table1[[الصندوق]:[القيمة الشهرية]],3,0),VLOOKUP(الحركات[إلى صندوق],Table1[],3,0))</f>
        <v>4000</v>
      </c>
      <c r="H100">
        <v>4000</v>
      </c>
      <c r="J100" t="s">
        <v>48</v>
      </c>
      <c r="L100" s="2"/>
      <c r="M100" s="2" t="str">
        <f>الحركات[من صندوق]&amp;"/"&amp;الحركات[إلى صندوق]</f>
        <v>الراتب/مصاريف شهرية</v>
      </c>
      <c r="N100" s="2" t="str">
        <f>VLOOKUP(الحركات[من صندوق],Table1[],2,0)</f>
        <v>دخل</v>
      </c>
      <c r="O100" s="2" t="str">
        <f>VLOOKUP(الحركات[إلى صندوق],Table1[[الصندوق]:[نوعه]],2,0)</f>
        <v>صرف</v>
      </c>
    </row>
    <row r="101" spans="1:15" x14ac:dyDescent="0.3">
      <c r="A101">
        <v>201808</v>
      </c>
      <c r="B101" s="3"/>
      <c r="C101" t="s">
        <v>18</v>
      </c>
      <c r="D101" s="2">
        <f>VLOOKUP(الحركات[[#This Row],[من صندوق]],Table5[],5,0)</f>
        <v>0</v>
      </c>
      <c r="E101" t="s">
        <v>3</v>
      </c>
      <c r="F101" s="2">
        <f>VLOOKUP(الحركات[[#This Row],[إلى صندوق]],Table5[[الصندوق]:[الرصيد الفعلي]],5,0)</f>
        <v>0</v>
      </c>
      <c r="G101" s="7">
        <f>IF(VLOOKUP(الحركات[إلى صندوق],Table1[],3,0)=0,VLOOKUP(الحركات[[#This Row],[من صندوق]],Table1[[الصندوق]:[القيمة الشهرية]],3,0),VLOOKUP(الحركات[إلى صندوق],Table1[],3,0))</f>
        <v>2000</v>
      </c>
      <c r="H101">
        <v>2000</v>
      </c>
      <c r="J101" t="s">
        <v>49</v>
      </c>
      <c r="L101" s="2"/>
      <c r="M101" s="2" t="str">
        <f>الحركات[من صندوق]&amp;"/"&amp;الحركات[إلى صندوق]</f>
        <v>الراتب/مدارس</v>
      </c>
      <c r="N101" s="2" t="str">
        <f>VLOOKUP(الحركات[من صندوق],Table1[],2,0)</f>
        <v>دخل</v>
      </c>
      <c r="O101" s="2" t="str">
        <f>VLOOKUP(الحركات[إلى صندوق],Table1[[الصندوق]:[نوعه]],2,0)</f>
        <v>صرف</v>
      </c>
    </row>
    <row r="102" spans="1:15" x14ac:dyDescent="0.3">
      <c r="A102">
        <v>201808</v>
      </c>
      <c r="B102" s="3"/>
      <c r="C102" t="s">
        <v>18</v>
      </c>
      <c r="D102" s="2">
        <f>VLOOKUP(الحركات[[#This Row],[من صندوق]],Table5[],5,0)</f>
        <v>0</v>
      </c>
      <c r="E102" t="s">
        <v>21</v>
      </c>
      <c r="F102" s="2">
        <f>VLOOKUP(الحركات[[#This Row],[إلى صندوق]],Table5[[الصندوق]:[الرصيد الفعلي]],5,0)</f>
        <v>0</v>
      </c>
      <c r="G102" s="7">
        <f>IF(VLOOKUP(الحركات[إلى صندوق],Table1[],3,0)=0,VLOOKUP(الحركات[[#This Row],[من صندوق]],Table1[[الصندوق]:[القيمة الشهرية]],3,0),VLOOKUP(الحركات[إلى صندوق],Table1[],3,0))</f>
        <v>1500</v>
      </c>
      <c r="H102">
        <v>1500</v>
      </c>
      <c r="J102" t="s">
        <v>50</v>
      </c>
      <c r="L102" s="2"/>
      <c r="M102" s="2" t="str">
        <f>الحركات[من صندوق]&amp;"/"&amp;الحركات[إلى صندوق]</f>
        <v>الراتب/ايجار المنزل</v>
      </c>
      <c r="N102" s="2" t="str">
        <f>VLOOKUP(الحركات[من صندوق],Table1[],2,0)</f>
        <v>دخل</v>
      </c>
      <c r="O102" s="2" t="str">
        <f>VLOOKUP(الحركات[إلى صندوق],Table1[[الصندوق]:[نوعه]],2,0)</f>
        <v>صرف</v>
      </c>
    </row>
    <row r="103" spans="1:15" x14ac:dyDescent="0.3">
      <c r="A103">
        <v>201808</v>
      </c>
      <c r="B103" s="3"/>
      <c r="C103" t="s">
        <v>18</v>
      </c>
      <c r="D103" s="2">
        <f>VLOOKUP(الحركات[[#This Row],[من صندوق]],Table5[],5,0)</f>
        <v>0</v>
      </c>
      <c r="E103" t="s">
        <v>0</v>
      </c>
      <c r="F103" s="2">
        <f>VLOOKUP(الحركات[[#This Row],[إلى صندوق]],Table5[[الصندوق]:[الرصيد الفعلي]],5,0)</f>
        <v>0</v>
      </c>
      <c r="G103" s="7">
        <f>IF(VLOOKUP(الحركات[إلى صندوق],Table1[],3,0)=0,VLOOKUP(الحركات[[#This Row],[من صندوق]],Table1[[الصندوق]:[القيمة الشهرية]],3,0),VLOOKUP(الحركات[إلى صندوق],Table1[],3,0))</f>
        <v>500</v>
      </c>
      <c r="H103">
        <v>500</v>
      </c>
      <c r="J103" t="s">
        <v>51</v>
      </c>
      <c r="L103" s="2"/>
      <c r="M103" s="2" t="str">
        <f>الحركات[من صندوق]&amp;"/"&amp;الحركات[إلى صندوق]</f>
        <v>الراتب/توفير</v>
      </c>
      <c r="N103" s="2" t="str">
        <f>VLOOKUP(الحركات[من صندوق],Table1[],2,0)</f>
        <v>دخل</v>
      </c>
      <c r="O103" s="2" t="str">
        <f>VLOOKUP(الحركات[إلى صندوق],Table1[[الصندوق]:[نوعه]],2,0)</f>
        <v>صرف</v>
      </c>
    </row>
    <row r="104" spans="1:15" x14ac:dyDescent="0.3">
      <c r="A104">
        <v>201808</v>
      </c>
      <c r="B104" s="3"/>
      <c r="C104" t="s">
        <v>18</v>
      </c>
      <c r="D104" s="2">
        <f>VLOOKUP(الحركات[[#This Row],[من صندوق]],Table5[],5,0)</f>
        <v>0</v>
      </c>
      <c r="E104" t="s">
        <v>12</v>
      </c>
      <c r="F104" s="2">
        <f>VLOOKUP(الحركات[[#This Row],[إلى صندوق]],Table5[[الصندوق]:[الرصيد الفعلي]],5,0)</f>
        <v>0</v>
      </c>
      <c r="G104" s="7">
        <f>IF(VLOOKUP(الحركات[إلى صندوق],Table1[],3,0)=0,VLOOKUP(الحركات[[#This Row],[من صندوق]],Table1[[الصندوق]:[القيمة الشهرية]],3,0),VLOOKUP(الحركات[إلى صندوق],Table1[],3,0))</f>
        <v>400</v>
      </c>
      <c r="H104">
        <v>400</v>
      </c>
      <c r="J104" t="s">
        <v>52</v>
      </c>
      <c r="L104" s="2"/>
      <c r="M104" s="2" t="str">
        <f>الحركات[من صندوق]&amp;"/"&amp;الحركات[إلى صندوق]</f>
        <v>الراتب/اجازات</v>
      </c>
      <c r="N104" s="2" t="str">
        <f>VLOOKUP(الحركات[من صندوق],Table1[],2,0)</f>
        <v>دخل</v>
      </c>
      <c r="O104" s="2" t="str">
        <f>VLOOKUP(الحركات[إلى صندوق],Table1[[الصندوق]:[نوعه]],2,0)</f>
        <v>صرف</v>
      </c>
    </row>
    <row r="105" spans="1:15" x14ac:dyDescent="0.3">
      <c r="A105">
        <v>201808</v>
      </c>
      <c r="B105" s="3"/>
      <c r="C105" t="s">
        <v>18</v>
      </c>
      <c r="D105" s="2">
        <f>VLOOKUP(الحركات[[#This Row],[من صندوق]],Table5[],5,0)</f>
        <v>0</v>
      </c>
      <c r="E105" t="s">
        <v>9</v>
      </c>
      <c r="F105" s="2">
        <f>VLOOKUP(الحركات[[#This Row],[إلى صندوق]],Table5[[الصندوق]:[الرصيد الفعلي]],5,0)</f>
        <v>0</v>
      </c>
      <c r="G105" s="7">
        <f>IF(VLOOKUP(الحركات[إلى صندوق],Table1[],3,0)=0,VLOOKUP(الحركات[[#This Row],[من صندوق]],Table1[[الصندوق]:[القيمة الشهرية]],3,0),VLOOKUP(الحركات[إلى صندوق],Table1[],3,0))</f>
        <v>200</v>
      </c>
      <c r="H105">
        <v>200</v>
      </c>
      <c r="J105" t="s">
        <v>53</v>
      </c>
      <c r="L105" s="2"/>
      <c r="M105" s="2" t="str">
        <f>الحركات[من صندوق]&amp;"/"&amp;الحركات[إلى صندوق]</f>
        <v>الراتب/دورات</v>
      </c>
      <c r="N105" s="2" t="str">
        <f>VLOOKUP(الحركات[من صندوق],Table1[],2,0)</f>
        <v>دخل</v>
      </c>
      <c r="O105" s="2" t="str">
        <f>VLOOKUP(الحركات[إلى صندوق],Table1[[الصندوق]:[نوعه]],2,0)</f>
        <v>صرف</v>
      </c>
    </row>
    <row r="106" spans="1:15" x14ac:dyDescent="0.3">
      <c r="A106">
        <v>201808</v>
      </c>
      <c r="B106" s="3"/>
      <c r="C106" t="s">
        <v>18</v>
      </c>
      <c r="D106" s="2">
        <f>VLOOKUP(الحركات[[#This Row],[من صندوق]],Table5[],5,0)</f>
        <v>0</v>
      </c>
      <c r="E106" t="s">
        <v>22</v>
      </c>
      <c r="F106" s="2">
        <f>VLOOKUP(الحركات[[#This Row],[إلى صندوق]],Table5[[الصندوق]:[الرصيد الفعلي]],5,0)</f>
        <v>0</v>
      </c>
      <c r="G106" s="7">
        <f>IF(VLOOKUP(الحركات[إلى صندوق],Table1[],3,0)=0,VLOOKUP(الحركات[[#This Row],[من صندوق]],Table1[[الصندوق]:[القيمة الشهرية]],3,0),VLOOKUP(الحركات[إلى صندوق],Table1[],3,0))</f>
        <v>200</v>
      </c>
      <c r="H106">
        <v>200</v>
      </c>
      <c r="J106" t="s">
        <v>54</v>
      </c>
      <c r="L106" s="2"/>
      <c r="M106" s="2" t="str">
        <f>الحركات[من صندوق]&amp;"/"&amp;الحركات[إلى صندوق]</f>
        <v>الراتب/زكاة</v>
      </c>
      <c r="N106" s="2" t="str">
        <f>VLOOKUP(الحركات[من صندوق],Table1[],2,0)</f>
        <v>دخل</v>
      </c>
      <c r="O106" s="2" t="str">
        <f>VLOOKUP(الحركات[إلى صندوق],Table1[[الصندوق]:[نوعه]],2,0)</f>
        <v>صرف</v>
      </c>
    </row>
    <row r="107" spans="1:15" x14ac:dyDescent="0.3">
      <c r="A107">
        <v>201808</v>
      </c>
      <c r="B107" s="3"/>
      <c r="C107" t="s">
        <v>18</v>
      </c>
      <c r="D107" s="2">
        <f>VLOOKUP(الحركات[[#This Row],[من صندوق]],Table5[],5,0)</f>
        <v>0</v>
      </c>
      <c r="E107" t="s">
        <v>10</v>
      </c>
      <c r="F107" s="2">
        <f>VLOOKUP(الحركات[[#This Row],[إلى صندوق]],Table5[[الصندوق]:[الرصيد الفعلي]],5,0)</f>
        <v>0</v>
      </c>
      <c r="G107" s="7">
        <f>IF(VLOOKUP(الحركات[إلى صندوق],Table1[],3,0)=0,VLOOKUP(الحركات[[#This Row],[من صندوق]],Table1[[الصندوق]:[القيمة الشهرية]],3,0),VLOOKUP(الحركات[إلى صندوق],Table1[],3,0))</f>
        <v>250</v>
      </c>
      <c r="H107">
        <v>250</v>
      </c>
      <c r="J107" t="s">
        <v>55</v>
      </c>
      <c r="L107" s="2"/>
      <c r="M107" s="2" t="str">
        <f>الحركات[من صندوق]&amp;"/"&amp;الحركات[إلى صندوق]</f>
        <v>الراتب/صيانة السيارة</v>
      </c>
      <c r="N107" s="2" t="str">
        <f>VLOOKUP(الحركات[من صندوق],Table1[],2,0)</f>
        <v>دخل</v>
      </c>
      <c r="O107" s="2" t="str">
        <f>VLOOKUP(الحركات[إلى صندوق],Table1[[الصندوق]:[نوعه]],2,0)</f>
        <v>صرف</v>
      </c>
    </row>
    <row r="108" spans="1:15" x14ac:dyDescent="0.3">
      <c r="A108">
        <v>201808</v>
      </c>
      <c r="B108" s="3"/>
      <c r="C108" t="s">
        <v>18</v>
      </c>
      <c r="D108" s="2">
        <f>VLOOKUP(الحركات[[#This Row],[من صندوق]],Table5[],5,0)</f>
        <v>0</v>
      </c>
      <c r="E108" t="s">
        <v>15</v>
      </c>
      <c r="F108" s="2">
        <f>VLOOKUP(الحركات[[#This Row],[إلى صندوق]],Table5[[الصندوق]:[الرصيد الفعلي]],5,0)</f>
        <v>0</v>
      </c>
      <c r="G108" s="7">
        <f>IF(VLOOKUP(الحركات[إلى صندوق],Table1[],3,0)=0,VLOOKUP(الحركات[[#This Row],[من صندوق]],Table1[[الصندوق]:[القيمة الشهرية]],3,0),VLOOKUP(الحركات[إلى صندوق],Table1[],3,0))</f>
        <v>300</v>
      </c>
      <c r="H108">
        <v>300</v>
      </c>
      <c r="J108" t="s">
        <v>56</v>
      </c>
      <c r="L108" s="2"/>
      <c r="M108" s="2" t="str">
        <f>الحركات[من صندوق]&amp;"/"&amp;الحركات[إلى صندوق]</f>
        <v>الراتب/ملابس</v>
      </c>
      <c r="N108" s="2" t="str">
        <f>VLOOKUP(الحركات[من صندوق],Table1[],2,0)</f>
        <v>دخل</v>
      </c>
      <c r="O108" s="2" t="str">
        <f>VLOOKUP(الحركات[إلى صندوق],Table1[[الصندوق]:[نوعه]],2,0)</f>
        <v>صرف</v>
      </c>
    </row>
    <row r="109" spans="1:15" x14ac:dyDescent="0.3">
      <c r="A109">
        <v>201808</v>
      </c>
      <c r="B109" s="3"/>
      <c r="C109" t="s">
        <v>18</v>
      </c>
      <c r="D109" s="2">
        <f>VLOOKUP(الحركات[[#This Row],[من صندوق]],Table5[],5,0)</f>
        <v>0</v>
      </c>
      <c r="E109" t="s">
        <v>1</v>
      </c>
      <c r="F109" s="2">
        <f>VLOOKUP(الحركات[[#This Row],[إلى صندوق]],Table5[[الصندوق]:[الرصيد الفعلي]],5,0)</f>
        <v>0</v>
      </c>
      <c r="G109" s="7">
        <f>IF(VLOOKUP(الحركات[إلى صندوق],Table1[],3,0)=0,VLOOKUP(الحركات[[#This Row],[من صندوق]],Table1[[الصندوق]:[القيمة الشهرية]],3,0),VLOOKUP(الحركات[إلى صندوق],Table1[],3,0))</f>
        <v>200</v>
      </c>
      <c r="H109">
        <v>200</v>
      </c>
      <c r="J109" t="s">
        <v>57</v>
      </c>
      <c r="L109" s="2"/>
      <c r="M109" s="2" t="str">
        <f>الحركات[من صندوق]&amp;"/"&amp;الحركات[إلى صندوق]</f>
        <v>الراتب/هدايا</v>
      </c>
      <c r="N109" s="2" t="str">
        <f>VLOOKUP(الحركات[من صندوق],Table1[],2,0)</f>
        <v>دخل</v>
      </c>
      <c r="O109" s="2" t="str">
        <f>VLOOKUP(الحركات[إلى صندوق],Table1[[الصندوق]:[نوعه]],2,0)</f>
        <v>صرف</v>
      </c>
    </row>
    <row r="110" spans="1:15" x14ac:dyDescent="0.3">
      <c r="A110">
        <v>201808</v>
      </c>
      <c r="B110" s="3"/>
      <c r="C110" t="s">
        <v>18</v>
      </c>
      <c r="D110" s="2">
        <f>VLOOKUP(الحركات[[#This Row],[من صندوق]],Table5[],5,0)</f>
        <v>0</v>
      </c>
      <c r="E110" t="s">
        <v>4</v>
      </c>
      <c r="F110" s="2">
        <f>VLOOKUP(الحركات[[#This Row],[إلى صندوق]],Table5[[الصندوق]:[الرصيد الفعلي]],5,0)</f>
        <v>0</v>
      </c>
      <c r="G110" s="7">
        <f>IF(VLOOKUP(الحركات[إلى صندوق],Table1[],3,0)=0,VLOOKUP(الحركات[[#This Row],[من صندوق]],Table1[[الصندوق]:[القيمة الشهرية]],3,0),VLOOKUP(الحركات[إلى صندوق],Table1[],3,0))</f>
        <v>200</v>
      </c>
      <c r="H110">
        <v>200</v>
      </c>
      <c r="J110" t="s">
        <v>58</v>
      </c>
      <c r="L110" s="2"/>
      <c r="M110" s="2" t="str">
        <f>الحركات[من صندوق]&amp;"/"&amp;الحركات[إلى صندوق]</f>
        <v>الراتب/طوارئ</v>
      </c>
      <c r="N110" s="2" t="str">
        <f>VLOOKUP(الحركات[من صندوق],Table1[],2,0)</f>
        <v>دخل</v>
      </c>
      <c r="O110" s="2" t="str">
        <f>VLOOKUP(الحركات[إلى صندوق],Table1[[الصندوق]:[نوعه]],2,0)</f>
        <v>صرف</v>
      </c>
    </row>
    <row r="111" spans="1:15" x14ac:dyDescent="0.3">
      <c r="A111">
        <v>201809</v>
      </c>
      <c r="B111" s="3"/>
      <c r="C111" t="s">
        <v>20</v>
      </c>
      <c r="D111" s="2">
        <f>VLOOKUP(الحركات[[#This Row],[من صندوق]],Table5[],5,0)</f>
        <v>0</v>
      </c>
      <c r="E111" t="s">
        <v>18</v>
      </c>
      <c r="F111" s="2">
        <f>VLOOKUP(الحركات[[#This Row],[إلى صندوق]],Table5[[الصندوق]:[الرصيد الفعلي]],5,0)</f>
        <v>0</v>
      </c>
      <c r="G111" s="7">
        <f>IF(VLOOKUP(الحركات[إلى صندوق],Table1[],3,0)=0,VLOOKUP(الحركات[[#This Row],[من صندوق]],Table1[[الصندوق]:[القيمة الشهرية]],3,0),VLOOKUP(الحركات[إلى صندوق],Table1[],3,0))</f>
        <v>10000</v>
      </c>
      <c r="H111">
        <v>10000</v>
      </c>
      <c r="J111" t="s">
        <v>40</v>
      </c>
      <c r="L111" s="2"/>
      <c r="M111" s="2" t="str">
        <f>الحركات[من صندوق]&amp;"/"&amp;الحركات[إلى صندوق]</f>
        <v>الشركة/الراتب</v>
      </c>
      <c r="N111" s="2" t="str">
        <f>VLOOKUP(الحركات[من صندوق],Table1[],2,0)</f>
        <v>خارجي</v>
      </c>
      <c r="O111" s="2" t="str">
        <f>VLOOKUP(الحركات[إلى صندوق],Table1[[الصندوق]:[نوعه]],2,0)</f>
        <v>دخل</v>
      </c>
    </row>
    <row r="112" spans="1:15" x14ac:dyDescent="0.3">
      <c r="A112">
        <v>201809</v>
      </c>
      <c r="B112" s="3"/>
      <c r="C112" t="s">
        <v>18</v>
      </c>
      <c r="D112" s="2">
        <f>VLOOKUP(الحركات[[#This Row],[من صندوق]],Table5[],5,0)</f>
        <v>0</v>
      </c>
      <c r="E112" t="s">
        <v>11</v>
      </c>
      <c r="F112" s="2">
        <f>VLOOKUP(الحركات[[#This Row],[إلى صندوق]],Table5[[الصندوق]:[الرصيد الفعلي]],5,0)</f>
        <v>0</v>
      </c>
      <c r="G112" s="7">
        <f>IF(VLOOKUP(الحركات[إلى صندوق],Table1[],3,0)=0,VLOOKUP(الحركات[[#This Row],[من صندوق]],Table1[[الصندوق]:[القيمة الشهرية]],3,0),VLOOKUP(الحركات[إلى صندوق],Table1[],3,0))</f>
        <v>250</v>
      </c>
      <c r="H112">
        <v>250</v>
      </c>
      <c r="J112" t="s">
        <v>47</v>
      </c>
      <c r="L112" s="2"/>
      <c r="M112" s="2" t="str">
        <f>الحركات[من صندوق]&amp;"/"&amp;الحركات[إلى صندوق]</f>
        <v>الراتب/فواتير</v>
      </c>
      <c r="N112" s="2" t="str">
        <f>VLOOKUP(الحركات[من صندوق],Table1[],2,0)</f>
        <v>دخل</v>
      </c>
      <c r="O112" s="2" t="str">
        <f>VLOOKUP(الحركات[إلى صندوق],Table1[[الصندوق]:[نوعه]],2,0)</f>
        <v>صرف</v>
      </c>
    </row>
    <row r="113" spans="1:15" x14ac:dyDescent="0.3">
      <c r="A113">
        <v>201809</v>
      </c>
      <c r="B113" s="3"/>
      <c r="C113" t="s">
        <v>18</v>
      </c>
      <c r="D113" s="2">
        <f>VLOOKUP(الحركات[[#This Row],[من صندوق]],Table5[],5,0)</f>
        <v>0</v>
      </c>
      <c r="E113" t="s">
        <v>13</v>
      </c>
      <c r="F113" s="2">
        <f>VLOOKUP(الحركات[[#This Row],[إلى صندوق]],Table5[[الصندوق]:[الرصيد الفعلي]],5,0)</f>
        <v>0</v>
      </c>
      <c r="G113" s="7">
        <f>IF(VLOOKUP(الحركات[إلى صندوق],Table1[],3,0)=0,VLOOKUP(الحركات[[#This Row],[من صندوق]],Table1[[الصندوق]:[القيمة الشهرية]],3,0),VLOOKUP(الحركات[إلى صندوق],Table1[],3,0))</f>
        <v>4000</v>
      </c>
      <c r="H113">
        <v>4000</v>
      </c>
      <c r="J113" t="s">
        <v>48</v>
      </c>
      <c r="L113" s="2"/>
      <c r="M113" s="2" t="str">
        <f>الحركات[من صندوق]&amp;"/"&amp;الحركات[إلى صندوق]</f>
        <v>الراتب/مصاريف شهرية</v>
      </c>
      <c r="N113" s="2" t="str">
        <f>VLOOKUP(الحركات[من صندوق],Table1[],2,0)</f>
        <v>دخل</v>
      </c>
      <c r="O113" s="2" t="str">
        <f>VLOOKUP(الحركات[إلى صندوق],Table1[[الصندوق]:[نوعه]],2,0)</f>
        <v>صرف</v>
      </c>
    </row>
    <row r="114" spans="1:15" x14ac:dyDescent="0.3">
      <c r="A114">
        <v>201809</v>
      </c>
      <c r="B114" s="3"/>
      <c r="C114" t="s">
        <v>18</v>
      </c>
      <c r="D114" s="2">
        <f>VLOOKUP(الحركات[[#This Row],[من صندوق]],Table5[],5,0)</f>
        <v>0</v>
      </c>
      <c r="E114" t="s">
        <v>3</v>
      </c>
      <c r="F114" s="2">
        <f>VLOOKUP(الحركات[[#This Row],[إلى صندوق]],Table5[[الصندوق]:[الرصيد الفعلي]],5,0)</f>
        <v>0</v>
      </c>
      <c r="G114" s="7">
        <f>IF(VLOOKUP(الحركات[إلى صندوق],Table1[],3,0)=0,VLOOKUP(الحركات[[#This Row],[من صندوق]],Table1[[الصندوق]:[القيمة الشهرية]],3,0),VLOOKUP(الحركات[إلى صندوق],Table1[],3,0))</f>
        <v>2000</v>
      </c>
      <c r="H114">
        <v>2000</v>
      </c>
      <c r="J114" t="s">
        <v>49</v>
      </c>
      <c r="L114" s="2"/>
      <c r="M114" s="2" t="str">
        <f>الحركات[من صندوق]&amp;"/"&amp;الحركات[إلى صندوق]</f>
        <v>الراتب/مدارس</v>
      </c>
      <c r="N114" s="2" t="str">
        <f>VLOOKUP(الحركات[من صندوق],Table1[],2,0)</f>
        <v>دخل</v>
      </c>
      <c r="O114" s="2" t="str">
        <f>VLOOKUP(الحركات[إلى صندوق],Table1[[الصندوق]:[نوعه]],2,0)</f>
        <v>صرف</v>
      </c>
    </row>
    <row r="115" spans="1:15" x14ac:dyDescent="0.3">
      <c r="A115">
        <v>201809</v>
      </c>
      <c r="B115" s="3"/>
      <c r="C115" t="s">
        <v>18</v>
      </c>
      <c r="D115" s="2">
        <f>VLOOKUP(الحركات[[#This Row],[من صندوق]],Table5[],5,0)</f>
        <v>0</v>
      </c>
      <c r="E115" t="s">
        <v>21</v>
      </c>
      <c r="F115" s="2">
        <f>VLOOKUP(الحركات[[#This Row],[إلى صندوق]],Table5[[الصندوق]:[الرصيد الفعلي]],5,0)</f>
        <v>0</v>
      </c>
      <c r="G115" s="7">
        <f>IF(VLOOKUP(الحركات[إلى صندوق],Table1[],3,0)=0,VLOOKUP(الحركات[[#This Row],[من صندوق]],Table1[[الصندوق]:[القيمة الشهرية]],3,0),VLOOKUP(الحركات[إلى صندوق],Table1[],3,0))</f>
        <v>1500</v>
      </c>
      <c r="H115">
        <v>1500</v>
      </c>
      <c r="J115" t="s">
        <v>50</v>
      </c>
      <c r="L115" s="2"/>
      <c r="M115" s="2" t="str">
        <f>الحركات[من صندوق]&amp;"/"&amp;الحركات[إلى صندوق]</f>
        <v>الراتب/ايجار المنزل</v>
      </c>
      <c r="N115" s="2" t="str">
        <f>VLOOKUP(الحركات[من صندوق],Table1[],2,0)</f>
        <v>دخل</v>
      </c>
      <c r="O115" s="2" t="str">
        <f>VLOOKUP(الحركات[إلى صندوق],Table1[[الصندوق]:[نوعه]],2,0)</f>
        <v>صرف</v>
      </c>
    </row>
    <row r="116" spans="1:15" x14ac:dyDescent="0.3">
      <c r="A116">
        <v>201809</v>
      </c>
      <c r="B116" s="3"/>
      <c r="C116" t="s">
        <v>18</v>
      </c>
      <c r="D116" s="2">
        <f>VLOOKUP(الحركات[[#This Row],[من صندوق]],Table5[],5,0)</f>
        <v>0</v>
      </c>
      <c r="E116" t="s">
        <v>0</v>
      </c>
      <c r="F116" s="2">
        <f>VLOOKUP(الحركات[[#This Row],[إلى صندوق]],Table5[[الصندوق]:[الرصيد الفعلي]],5,0)</f>
        <v>0</v>
      </c>
      <c r="G116" s="7">
        <f>IF(VLOOKUP(الحركات[إلى صندوق],Table1[],3,0)=0,VLOOKUP(الحركات[[#This Row],[من صندوق]],Table1[[الصندوق]:[القيمة الشهرية]],3,0),VLOOKUP(الحركات[إلى صندوق],Table1[],3,0))</f>
        <v>500</v>
      </c>
      <c r="H116">
        <v>500</v>
      </c>
      <c r="J116" t="s">
        <v>51</v>
      </c>
      <c r="L116" s="2"/>
      <c r="M116" s="2" t="str">
        <f>الحركات[من صندوق]&amp;"/"&amp;الحركات[إلى صندوق]</f>
        <v>الراتب/توفير</v>
      </c>
      <c r="N116" s="2" t="str">
        <f>VLOOKUP(الحركات[من صندوق],Table1[],2,0)</f>
        <v>دخل</v>
      </c>
      <c r="O116" s="2" t="str">
        <f>VLOOKUP(الحركات[إلى صندوق],Table1[[الصندوق]:[نوعه]],2,0)</f>
        <v>صرف</v>
      </c>
    </row>
    <row r="117" spans="1:15" x14ac:dyDescent="0.3">
      <c r="A117">
        <v>201809</v>
      </c>
      <c r="B117" s="3"/>
      <c r="C117" t="s">
        <v>18</v>
      </c>
      <c r="D117" s="2">
        <f>VLOOKUP(الحركات[[#This Row],[من صندوق]],Table5[],5,0)</f>
        <v>0</v>
      </c>
      <c r="E117" t="s">
        <v>12</v>
      </c>
      <c r="F117" s="2">
        <f>VLOOKUP(الحركات[[#This Row],[إلى صندوق]],Table5[[الصندوق]:[الرصيد الفعلي]],5,0)</f>
        <v>0</v>
      </c>
      <c r="G117" s="7">
        <f>IF(VLOOKUP(الحركات[إلى صندوق],Table1[],3,0)=0,VLOOKUP(الحركات[[#This Row],[من صندوق]],Table1[[الصندوق]:[القيمة الشهرية]],3,0),VLOOKUP(الحركات[إلى صندوق],Table1[],3,0))</f>
        <v>400</v>
      </c>
      <c r="H117">
        <v>400</v>
      </c>
      <c r="J117" t="s">
        <v>52</v>
      </c>
      <c r="L117" s="2"/>
      <c r="M117" s="2" t="str">
        <f>الحركات[من صندوق]&amp;"/"&amp;الحركات[إلى صندوق]</f>
        <v>الراتب/اجازات</v>
      </c>
      <c r="N117" s="2" t="str">
        <f>VLOOKUP(الحركات[من صندوق],Table1[],2,0)</f>
        <v>دخل</v>
      </c>
      <c r="O117" s="2" t="str">
        <f>VLOOKUP(الحركات[إلى صندوق],Table1[[الصندوق]:[نوعه]],2,0)</f>
        <v>صرف</v>
      </c>
    </row>
    <row r="118" spans="1:15" x14ac:dyDescent="0.3">
      <c r="A118">
        <v>201809</v>
      </c>
      <c r="B118" s="3"/>
      <c r="C118" t="s">
        <v>18</v>
      </c>
      <c r="D118" s="2">
        <f>VLOOKUP(الحركات[[#This Row],[من صندوق]],Table5[],5,0)</f>
        <v>0</v>
      </c>
      <c r="E118" t="s">
        <v>9</v>
      </c>
      <c r="F118" s="2">
        <f>VLOOKUP(الحركات[[#This Row],[إلى صندوق]],Table5[[الصندوق]:[الرصيد الفعلي]],5,0)</f>
        <v>0</v>
      </c>
      <c r="G118" s="7">
        <f>IF(VLOOKUP(الحركات[إلى صندوق],Table1[],3,0)=0,VLOOKUP(الحركات[[#This Row],[من صندوق]],Table1[[الصندوق]:[القيمة الشهرية]],3,0),VLOOKUP(الحركات[إلى صندوق],Table1[],3,0))</f>
        <v>200</v>
      </c>
      <c r="H118">
        <v>200</v>
      </c>
      <c r="J118" t="s">
        <v>53</v>
      </c>
      <c r="L118" s="2"/>
      <c r="M118" s="2" t="str">
        <f>الحركات[من صندوق]&amp;"/"&amp;الحركات[إلى صندوق]</f>
        <v>الراتب/دورات</v>
      </c>
      <c r="N118" s="2" t="str">
        <f>VLOOKUP(الحركات[من صندوق],Table1[],2,0)</f>
        <v>دخل</v>
      </c>
      <c r="O118" s="2" t="str">
        <f>VLOOKUP(الحركات[إلى صندوق],Table1[[الصندوق]:[نوعه]],2,0)</f>
        <v>صرف</v>
      </c>
    </row>
    <row r="119" spans="1:15" x14ac:dyDescent="0.3">
      <c r="A119">
        <v>201809</v>
      </c>
      <c r="B119" s="3"/>
      <c r="C119" t="s">
        <v>18</v>
      </c>
      <c r="D119" s="2">
        <f>VLOOKUP(الحركات[[#This Row],[من صندوق]],Table5[],5,0)</f>
        <v>0</v>
      </c>
      <c r="E119" t="s">
        <v>22</v>
      </c>
      <c r="F119" s="2">
        <f>VLOOKUP(الحركات[[#This Row],[إلى صندوق]],Table5[[الصندوق]:[الرصيد الفعلي]],5,0)</f>
        <v>0</v>
      </c>
      <c r="G119" s="7">
        <f>IF(VLOOKUP(الحركات[إلى صندوق],Table1[],3,0)=0,VLOOKUP(الحركات[[#This Row],[من صندوق]],Table1[[الصندوق]:[القيمة الشهرية]],3,0),VLOOKUP(الحركات[إلى صندوق],Table1[],3,0))</f>
        <v>200</v>
      </c>
      <c r="H119">
        <v>200</v>
      </c>
      <c r="J119" t="s">
        <v>54</v>
      </c>
      <c r="L119" s="2"/>
      <c r="M119" s="2" t="str">
        <f>الحركات[من صندوق]&amp;"/"&amp;الحركات[إلى صندوق]</f>
        <v>الراتب/زكاة</v>
      </c>
      <c r="N119" s="2" t="str">
        <f>VLOOKUP(الحركات[من صندوق],Table1[],2,0)</f>
        <v>دخل</v>
      </c>
      <c r="O119" s="2" t="str">
        <f>VLOOKUP(الحركات[إلى صندوق],Table1[[الصندوق]:[نوعه]],2,0)</f>
        <v>صرف</v>
      </c>
    </row>
    <row r="120" spans="1:15" x14ac:dyDescent="0.3">
      <c r="A120">
        <v>201809</v>
      </c>
      <c r="B120" s="3"/>
      <c r="C120" t="s">
        <v>18</v>
      </c>
      <c r="D120" s="2">
        <f>VLOOKUP(الحركات[[#This Row],[من صندوق]],Table5[],5,0)</f>
        <v>0</v>
      </c>
      <c r="E120" t="s">
        <v>10</v>
      </c>
      <c r="F120" s="2">
        <f>VLOOKUP(الحركات[[#This Row],[إلى صندوق]],Table5[[الصندوق]:[الرصيد الفعلي]],5,0)</f>
        <v>0</v>
      </c>
      <c r="G120" s="7">
        <f>IF(VLOOKUP(الحركات[إلى صندوق],Table1[],3,0)=0,VLOOKUP(الحركات[[#This Row],[من صندوق]],Table1[[الصندوق]:[القيمة الشهرية]],3,0),VLOOKUP(الحركات[إلى صندوق],Table1[],3,0))</f>
        <v>250</v>
      </c>
      <c r="H120">
        <v>250</v>
      </c>
      <c r="J120" t="s">
        <v>55</v>
      </c>
      <c r="L120" s="2"/>
      <c r="M120" s="2" t="str">
        <f>الحركات[من صندوق]&amp;"/"&amp;الحركات[إلى صندوق]</f>
        <v>الراتب/صيانة السيارة</v>
      </c>
      <c r="N120" s="2" t="str">
        <f>VLOOKUP(الحركات[من صندوق],Table1[],2,0)</f>
        <v>دخل</v>
      </c>
      <c r="O120" s="2" t="str">
        <f>VLOOKUP(الحركات[إلى صندوق],Table1[[الصندوق]:[نوعه]],2,0)</f>
        <v>صرف</v>
      </c>
    </row>
    <row r="121" spans="1:15" x14ac:dyDescent="0.3">
      <c r="A121">
        <v>201809</v>
      </c>
      <c r="B121" s="3"/>
      <c r="C121" t="s">
        <v>18</v>
      </c>
      <c r="D121" s="2">
        <f>VLOOKUP(الحركات[[#This Row],[من صندوق]],Table5[],5,0)</f>
        <v>0</v>
      </c>
      <c r="E121" t="s">
        <v>15</v>
      </c>
      <c r="F121" s="2">
        <f>VLOOKUP(الحركات[[#This Row],[إلى صندوق]],Table5[[الصندوق]:[الرصيد الفعلي]],5,0)</f>
        <v>0</v>
      </c>
      <c r="G121" s="7">
        <f>IF(VLOOKUP(الحركات[إلى صندوق],Table1[],3,0)=0,VLOOKUP(الحركات[[#This Row],[من صندوق]],Table1[[الصندوق]:[القيمة الشهرية]],3,0),VLOOKUP(الحركات[إلى صندوق],Table1[],3,0))</f>
        <v>300</v>
      </c>
      <c r="H121">
        <v>300</v>
      </c>
      <c r="J121" t="s">
        <v>56</v>
      </c>
      <c r="L121" s="2"/>
      <c r="M121" s="2" t="str">
        <f>الحركات[من صندوق]&amp;"/"&amp;الحركات[إلى صندوق]</f>
        <v>الراتب/ملابس</v>
      </c>
      <c r="N121" s="2" t="str">
        <f>VLOOKUP(الحركات[من صندوق],Table1[],2,0)</f>
        <v>دخل</v>
      </c>
      <c r="O121" s="2" t="str">
        <f>VLOOKUP(الحركات[إلى صندوق],Table1[[الصندوق]:[نوعه]],2,0)</f>
        <v>صرف</v>
      </c>
    </row>
    <row r="122" spans="1:15" x14ac:dyDescent="0.3">
      <c r="A122">
        <v>201809</v>
      </c>
      <c r="B122" s="3"/>
      <c r="C122" t="s">
        <v>18</v>
      </c>
      <c r="D122" s="2">
        <f>VLOOKUP(الحركات[[#This Row],[من صندوق]],Table5[],5,0)</f>
        <v>0</v>
      </c>
      <c r="E122" t="s">
        <v>1</v>
      </c>
      <c r="F122" s="2">
        <f>VLOOKUP(الحركات[[#This Row],[إلى صندوق]],Table5[[الصندوق]:[الرصيد الفعلي]],5,0)</f>
        <v>0</v>
      </c>
      <c r="G122" s="7">
        <f>IF(VLOOKUP(الحركات[إلى صندوق],Table1[],3,0)=0,VLOOKUP(الحركات[[#This Row],[من صندوق]],Table1[[الصندوق]:[القيمة الشهرية]],3,0),VLOOKUP(الحركات[إلى صندوق],Table1[],3,0))</f>
        <v>200</v>
      </c>
      <c r="H122">
        <v>200</v>
      </c>
      <c r="J122" t="s">
        <v>57</v>
      </c>
      <c r="L122" s="2"/>
      <c r="M122" s="2" t="str">
        <f>الحركات[من صندوق]&amp;"/"&amp;الحركات[إلى صندوق]</f>
        <v>الراتب/هدايا</v>
      </c>
      <c r="N122" s="2" t="str">
        <f>VLOOKUP(الحركات[من صندوق],Table1[],2,0)</f>
        <v>دخل</v>
      </c>
      <c r="O122" s="2" t="str">
        <f>VLOOKUP(الحركات[إلى صندوق],Table1[[الصندوق]:[نوعه]],2,0)</f>
        <v>صرف</v>
      </c>
    </row>
    <row r="123" spans="1:15" x14ac:dyDescent="0.3">
      <c r="A123">
        <v>201809</v>
      </c>
      <c r="B123" s="3"/>
      <c r="C123" t="s">
        <v>18</v>
      </c>
      <c r="D123" s="2">
        <f>VLOOKUP(الحركات[[#This Row],[من صندوق]],Table5[],5,0)</f>
        <v>0</v>
      </c>
      <c r="E123" t="s">
        <v>4</v>
      </c>
      <c r="F123" s="2">
        <f>VLOOKUP(الحركات[[#This Row],[إلى صندوق]],Table5[[الصندوق]:[الرصيد الفعلي]],5,0)</f>
        <v>0</v>
      </c>
      <c r="G123" s="7">
        <f>IF(VLOOKUP(الحركات[إلى صندوق],Table1[],3,0)=0,VLOOKUP(الحركات[[#This Row],[من صندوق]],Table1[[الصندوق]:[القيمة الشهرية]],3,0),VLOOKUP(الحركات[إلى صندوق],Table1[],3,0))</f>
        <v>200</v>
      </c>
      <c r="H123">
        <v>200</v>
      </c>
      <c r="J123" t="s">
        <v>58</v>
      </c>
      <c r="L123" s="2"/>
      <c r="M123" s="2" t="str">
        <f>الحركات[من صندوق]&amp;"/"&amp;الحركات[إلى صندوق]</f>
        <v>الراتب/طوارئ</v>
      </c>
      <c r="N123" s="2" t="str">
        <f>VLOOKUP(الحركات[من صندوق],Table1[],2,0)</f>
        <v>دخل</v>
      </c>
      <c r="O123" s="2" t="str">
        <f>VLOOKUP(الحركات[إلى صندوق],Table1[[الصندوق]:[نوعه]],2,0)</f>
        <v>صرف</v>
      </c>
    </row>
    <row r="124" spans="1:15" x14ac:dyDescent="0.3">
      <c r="A124">
        <v>201810</v>
      </c>
      <c r="B124" s="3"/>
      <c r="C124" t="s">
        <v>20</v>
      </c>
      <c r="D124" s="2">
        <f>VLOOKUP(الحركات[[#This Row],[من صندوق]],Table5[],5,0)</f>
        <v>0</v>
      </c>
      <c r="E124" t="s">
        <v>18</v>
      </c>
      <c r="F124" s="2">
        <f>VLOOKUP(الحركات[[#This Row],[إلى صندوق]],Table5[[الصندوق]:[الرصيد الفعلي]],5,0)</f>
        <v>0</v>
      </c>
      <c r="G124" s="7">
        <f>IF(VLOOKUP(الحركات[إلى صندوق],Table1[],3,0)=0,VLOOKUP(الحركات[[#This Row],[من صندوق]],Table1[[الصندوق]:[القيمة الشهرية]],3,0),VLOOKUP(الحركات[إلى صندوق],Table1[],3,0))</f>
        <v>10000</v>
      </c>
      <c r="H124">
        <v>10000</v>
      </c>
      <c r="J124" t="s">
        <v>40</v>
      </c>
      <c r="L124" s="2"/>
      <c r="M124" s="2" t="str">
        <f>الحركات[من صندوق]&amp;"/"&amp;الحركات[إلى صندوق]</f>
        <v>الشركة/الراتب</v>
      </c>
      <c r="N124" s="2" t="str">
        <f>VLOOKUP(الحركات[من صندوق],Table1[],2,0)</f>
        <v>خارجي</v>
      </c>
      <c r="O124" s="2" t="str">
        <f>VLOOKUP(الحركات[إلى صندوق],Table1[[الصندوق]:[نوعه]],2,0)</f>
        <v>دخل</v>
      </c>
    </row>
    <row r="125" spans="1:15" x14ac:dyDescent="0.3">
      <c r="A125">
        <v>201810</v>
      </c>
      <c r="B125" s="3"/>
      <c r="C125" t="s">
        <v>18</v>
      </c>
      <c r="D125" s="2">
        <f>VLOOKUP(الحركات[[#This Row],[من صندوق]],Table5[],5,0)</f>
        <v>0</v>
      </c>
      <c r="E125" t="s">
        <v>11</v>
      </c>
      <c r="F125" s="2">
        <f>VLOOKUP(الحركات[[#This Row],[إلى صندوق]],Table5[[الصندوق]:[الرصيد الفعلي]],5,0)</f>
        <v>0</v>
      </c>
      <c r="G125" s="7">
        <f>IF(VLOOKUP(الحركات[إلى صندوق],Table1[],3,0)=0,VLOOKUP(الحركات[[#This Row],[من صندوق]],Table1[[الصندوق]:[القيمة الشهرية]],3,0),VLOOKUP(الحركات[إلى صندوق],Table1[],3,0))</f>
        <v>250</v>
      </c>
      <c r="H125">
        <v>250</v>
      </c>
      <c r="J125" t="s">
        <v>47</v>
      </c>
      <c r="L125" s="2"/>
      <c r="M125" s="2" t="str">
        <f>الحركات[من صندوق]&amp;"/"&amp;الحركات[إلى صندوق]</f>
        <v>الراتب/فواتير</v>
      </c>
      <c r="N125" s="2" t="str">
        <f>VLOOKUP(الحركات[من صندوق],Table1[],2,0)</f>
        <v>دخل</v>
      </c>
      <c r="O125" s="2" t="str">
        <f>VLOOKUP(الحركات[إلى صندوق],Table1[[الصندوق]:[نوعه]],2,0)</f>
        <v>صرف</v>
      </c>
    </row>
    <row r="126" spans="1:15" x14ac:dyDescent="0.3">
      <c r="A126">
        <v>201810</v>
      </c>
      <c r="B126" s="3"/>
      <c r="C126" t="s">
        <v>18</v>
      </c>
      <c r="D126" s="2">
        <f>VLOOKUP(الحركات[[#This Row],[من صندوق]],Table5[],5,0)</f>
        <v>0</v>
      </c>
      <c r="E126" t="s">
        <v>13</v>
      </c>
      <c r="F126" s="2">
        <f>VLOOKUP(الحركات[[#This Row],[إلى صندوق]],Table5[[الصندوق]:[الرصيد الفعلي]],5,0)</f>
        <v>0</v>
      </c>
      <c r="G126" s="7">
        <f>IF(VLOOKUP(الحركات[إلى صندوق],Table1[],3,0)=0,VLOOKUP(الحركات[[#This Row],[من صندوق]],Table1[[الصندوق]:[القيمة الشهرية]],3,0),VLOOKUP(الحركات[إلى صندوق],Table1[],3,0))</f>
        <v>4000</v>
      </c>
      <c r="H126">
        <v>4000</v>
      </c>
      <c r="J126" t="s">
        <v>48</v>
      </c>
      <c r="L126" s="2"/>
      <c r="M126" s="2" t="str">
        <f>الحركات[من صندوق]&amp;"/"&amp;الحركات[إلى صندوق]</f>
        <v>الراتب/مصاريف شهرية</v>
      </c>
      <c r="N126" s="2" t="str">
        <f>VLOOKUP(الحركات[من صندوق],Table1[],2,0)</f>
        <v>دخل</v>
      </c>
      <c r="O126" s="2" t="str">
        <f>VLOOKUP(الحركات[إلى صندوق],Table1[[الصندوق]:[نوعه]],2,0)</f>
        <v>صرف</v>
      </c>
    </row>
    <row r="127" spans="1:15" x14ac:dyDescent="0.3">
      <c r="A127">
        <v>201810</v>
      </c>
      <c r="B127" s="3"/>
      <c r="C127" t="s">
        <v>18</v>
      </c>
      <c r="D127" s="2">
        <f>VLOOKUP(الحركات[[#This Row],[من صندوق]],Table5[],5,0)</f>
        <v>0</v>
      </c>
      <c r="E127" t="s">
        <v>3</v>
      </c>
      <c r="F127" s="2">
        <f>VLOOKUP(الحركات[[#This Row],[إلى صندوق]],Table5[[الصندوق]:[الرصيد الفعلي]],5,0)</f>
        <v>0</v>
      </c>
      <c r="G127" s="7">
        <f>IF(VLOOKUP(الحركات[إلى صندوق],Table1[],3,0)=0,VLOOKUP(الحركات[[#This Row],[من صندوق]],Table1[[الصندوق]:[القيمة الشهرية]],3,0),VLOOKUP(الحركات[إلى صندوق],Table1[],3,0))</f>
        <v>2000</v>
      </c>
      <c r="H127">
        <v>2000</v>
      </c>
      <c r="J127" t="s">
        <v>49</v>
      </c>
      <c r="L127" s="2"/>
      <c r="M127" s="2" t="str">
        <f>الحركات[من صندوق]&amp;"/"&amp;الحركات[إلى صندوق]</f>
        <v>الراتب/مدارس</v>
      </c>
      <c r="N127" s="2" t="str">
        <f>VLOOKUP(الحركات[من صندوق],Table1[],2,0)</f>
        <v>دخل</v>
      </c>
      <c r="O127" s="2" t="str">
        <f>VLOOKUP(الحركات[إلى صندوق],Table1[[الصندوق]:[نوعه]],2,0)</f>
        <v>صرف</v>
      </c>
    </row>
    <row r="128" spans="1:15" x14ac:dyDescent="0.3">
      <c r="A128">
        <v>201810</v>
      </c>
      <c r="B128" s="3"/>
      <c r="C128" t="s">
        <v>18</v>
      </c>
      <c r="D128" s="2">
        <f>VLOOKUP(الحركات[[#This Row],[من صندوق]],Table5[],5,0)</f>
        <v>0</v>
      </c>
      <c r="E128" t="s">
        <v>21</v>
      </c>
      <c r="F128" s="2">
        <f>VLOOKUP(الحركات[[#This Row],[إلى صندوق]],Table5[[الصندوق]:[الرصيد الفعلي]],5,0)</f>
        <v>0</v>
      </c>
      <c r="G128" s="7">
        <f>IF(VLOOKUP(الحركات[إلى صندوق],Table1[],3,0)=0,VLOOKUP(الحركات[[#This Row],[من صندوق]],Table1[[الصندوق]:[القيمة الشهرية]],3,0),VLOOKUP(الحركات[إلى صندوق],Table1[],3,0))</f>
        <v>1500</v>
      </c>
      <c r="H128">
        <v>1500</v>
      </c>
      <c r="J128" t="s">
        <v>50</v>
      </c>
      <c r="L128" s="2"/>
      <c r="M128" s="2" t="str">
        <f>الحركات[من صندوق]&amp;"/"&amp;الحركات[إلى صندوق]</f>
        <v>الراتب/ايجار المنزل</v>
      </c>
      <c r="N128" s="2" t="str">
        <f>VLOOKUP(الحركات[من صندوق],Table1[],2,0)</f>
        <v>دخل</v>
      </c>
      <c r="O128" s="2" t="str">
        <f>VLOOKUP(الحركات[إلى صندوق],Table1[[الصندوق]:[نوعه]],2,0)</f>
        <v>صرف</v>
      </c>
    </row>
    <row r="129" spans="1:15" x14ac:dyDescent="0.3">
      <c r="A129">
        <v>201810</v>
      </c>
      <c r="B129" s="3"/>
      <c r="C129" t="s">
        <v>18</v>
      </c>
      <c r="D129" s="2">
        <f>VLOOKUP(الحركات[[#This Row],[من صندوق]],Table5[],5,0)</f>
        <v>0</v>
      </c>
      <c r="E129" t="s">
        <v>0</v>
      </c>
      <c r="F129" s="2">
        <f>VLOOKUP(الحركات[[#This Row],[إلى صندوق]],Table5[[الصندوق]:[الرصيد الفعلي]],5,0)</f>
        <v>0</v>
      </c>
      <c r="G129" s="7">
        <f>IF(VLOOKUP(الحركات[إلى صندوق],Table1[],3,0)=0,VLOOKUP(الحركات[[#This Row],[من صندوق]],Table1[[الصندوق]:[القيمة الشهرية]],3,0),VLOOKUP(الحركات[إلى صندوق],Table1[],3,0))</f>
        <v>500</v>
      </c>
      <c r="H129">
        <v>500</v>
      </c>
      <c r="J129" t="s">
        <v>51</v>
      </c>
      <c r="L129" s="2"/>
      <c r="M129" s="2" t="str">
        <f>الحركات[من صندوق]&amp;"/"&amp;الحركات[إلى صندوق]</f>
        <v>الراتب/توفير</v>
      </c>
      <c r="N129" s="2" t="str">
        <f>VLOOKUP(الحركات[من صندوق],Table1[],2,0)</f>
        <v>دخل</v>
      </c>
      <c r="O129" s="2" t="str">
        <f>VLOOKUP(الحركات[إلى صندوق],Table1[[الصندوق]:[نوعه]],2,0)</f>
        <v>صرف</v>
      </c>
    </row>
    <row r="130" spans="1:15" x14ac:dyDescent="0.3">
      <c r="A130">
        <v>201810</v>
      </c>
      <c r="B130" s="3"/>
      <c r="C130" t="s">
        <v>18</v>
      </c>
      <c r="D130" s="2">
        <f>VLOOKUP(الحركات[[#This Row],[من صندوق]],Table5[],5,0)</f>
        <v>0</v>
      </c>
      <c r="E130" t="s">
        <v>12</v>
      </c>
      <c r="F130" s="2">
        <f>VLOOKUP(الحركات[[#This Row],[إلى صندوق]],Table5[[الصندوق]:[الرصيد الفعلي]],5,0)</f>
        <v>0</v>
      </c>
      <c r="G130" s="7">
        <f>IF(VLOOKUP(الحركات[إلى صندوق],Table1[],3,0)=0,VLOOKUP(الحركات[[#This Row],[من صندوق]],Table1[[الصندوق]:[القيمة الشهرية]],3,0),VLOOKUP(الحركات[إلى صندوق],Table1[],3,0))</f>
        <v>400</v>
      </c>
      <c r="H130">
        <v>400</v>
      </c>
      <c r="J130" t="s">
        <v>52</v>
      </c>
      <c r="L130" s="2"/>
      <c r="M130" s="2" t="str">
        <f>الحركات[من صندوق]&amp;"/"&amp;الحركات[إلى صندوق]</f>
        <v>الراتب/اجازات</v>
      </c>
      <c r="N130" s="2" t="str">
        <f>VLOOKUP(الحركات[من صندوق],Table1[],2,0)</f>
        <v>دخل</v>
      </c>
      <c r="O130" s="2" t="str">
        <f>VLOOKUP(الحركات[إلى صندوق],Table1[[الصندوق]:[نوعه]],2,0)</f>
        <v>صرف</v>
      </c>
    </row>
    <row r="131" spans="1:15" x14ac:dyDescent="0.3">
      <c r="A131">
        <v>201810</v>
      </c>
      <c r="B131" s="3"/>
      <c r="C131" t="s">
        <v>18</v>
      </c>
      <c r="D131" s="2">
        <f>VLOOKUP(الحركات[[#This Row],[من صندوق]],Table5[],5,0)</f>
        <v>0</v>
      </c>
      <c r="E131" t="s">
        <v>9</v>
      </c>
      <c r="F131" s="2">
        <f>VLOOKUP(الحركات[[#This Row],[إلى صندوق]],Table5[[الصندوق]:[الرصيد الفعلي]],5,0)</f>
        <v>0</v>
      </c>
      <c r="G131" s="7">
        <f>IF(VLOOKUP(الحركات[إلى صندوق],Table1[],3,0)=0,VLOOKUP(الحركات[[#This Row],[من صندوق]],Table1[[الصندوق]:[القيمة الشهرية]],3,0),VLOOKUP(الحركات[إلى صندوق],Table1[],3,0))</f>
        <v>200</v>
      </c>
      <c r="H131">
        <v>200</v>
      </c>
      <c r="J131" t="s">
        <v>53</v>
      </c>
      <c r="L131" s="2"/>
      <c r="M131" s="2" t="str">
        <f>الحركات[من صندوق]&amp;"/"&amp;الحركات[إلى صندوق]</f>
        <v>الراتب/دورات</v>
      </c>
      <c r="N131" s="2" t="str">
        <f>VLOOKUP(الحركات[من صندوق],Table1[],2,0)</f>
        <v>دخل</v>
      </c>
      <c r="O131" s="2" t="str">
        <f>VLOOKUP(الحركات[إلى صندوق],Table1[[الصندوق]:[نوعه]],2,0)</f>
        <v>صرف</v>
      </c>
    </row>
    <row r="132" spans="1:15" x14ac:dyDescent="0.3">
      <c r="A132">
        <v>201810</v>
      </c>
      <c r="B132" s="3"/>
      <c r="C132" t="s">
        <v>18</v>
      </c>
      <c r="D132" s="2">
        <f>VLOOKUP(الحركات[[#This Row],[من صندوق]],Table5[],5,0)</f>
        <v>0</v>
      </c>
      <c r="E132" t="s">
        <v>22</v>
      </c>
      <c r="F132" s="2">
        <f>VLOOKUP(الحركات[[#This Row],[إلى صندوق]],Table5[[الصندوق]:[الرصيد الفعلي]],5,0)</f>
        <v>0</v>
      </c>
      <c r="G132" s="7">
        <f>IF(VLOOKUP(الحركات[إلى صندوق],Table1[],3,0)=0,VLOOKUP(الحركات[[#This Row],[من صندوق]],Table1[[الصندوق]:[القيمة الشهرية]],3,0),VLOOKUP(الحركات[إلى صندوق],Table1[],3,0))</f>
        <v>200</v>
      </c>
      <c r="H132">
        <v>200</v>
      </c>
      <c r="J132" t="s">
        <v>54</v>
      </c>
      <c r="L132" s="2"/>
      <c r="M132" s="2" t="str">
        <f>الحركات[من صندوق]&amp;"/"&amp;الحركات[إلى صندوق]</f>
        <v>الراتب/زكاة</v>
      </c>
      <c r="N132" s="2" t="str">
        <f>VLOOKUP(الحركات[من صندوق],Table1[],2,0)</f>
        <v>دخل</v>
      </c>
      <c r="O132" s="2" t="str">
        <f>VLOOKUP(الحركات[إلى صندوق],Table1[[الصندوق]:[نوعه]],2,0)</f>
        <v>صرف</v>
      </c>
    </row>
    <row r="133" spans="1:15" x14ac:dyDescent="0.3">
      <c r="A133">
        <v>201810</v>
      </c>
      <c r="B133" s="3"/>
      <c r="C133" t="s">
        <v>18</v>
      </c>
      <c r="D133" s="2">
        <f>VLOOKUP(الحركات[[#This Row],[من صندوق]],Table5[],5,0)</f>
        <v>0</v>
      </c>
      <c r="E133" t="s">
        <v>10</v>
      </c>
      <c r="F133" s="2">
        <f>VLOOKUP(الحركات[[#This Row],[إلى صندوق]],Table5[[الصندوق]:[الرصيد الفعلي]],5,0)</f>
        <v>0</v>
      </c>
      <c r="G133" s="7">
        <f>IF(VLOOKUP(الحركات[إلى صندوق],Table1[],3,0)=0,VLOOKUP(الحركات[[#This Row],[من صندوق]],Table1[[الصندوق]:[القيمة الشهرية]],3,0),VLOOKUP(الحركات[إلى صندوق],Table1[],3,0))</f>
        <v>250</v>
      </c>
      <c r="H133">
        <v>250</v>
      </c>
      <c r="J133" t="s">
        <v>55</v>
      </c>
      <c r="L133" s="2"/>
      <c r="M133" s="2" t="str">
        <f>الحركات[من صندوق]&amp;"/"&amp;الحركات[إلى صندوق]</f>
        <v>الراتب/صيانة السيارة</v>
      </c>
      <c r="N133" s="2" t="str">
        <f>VLOOKUP(الحركات[من صندوق],Table1[],2,0)</f>
        <v>دخل</v>
      </c>
      <c r="O133" s="2" t="str">
        <f>VLOOKUP(الحركات[إلى صندوق],Table1[[الصندوق]:[نوعه]],2,0)</f>
        <v>صرف</v>
      </c>
    </row>
    <row r="134" spans="1:15" x14ac:dyDescent="0.3">
      <c r="A134">
        <v>201810</v>
      </c>
      <c r="B134" s="3"/>
      <c r="C134" t="s">
        <v>18</v>
      </c>
      <c r="D134" s="2">
        <f>VLOOKUP(الحركات[[#This Row],[من صندوق]],Table5[],5,0)</f>
        <v>0</v>
      </c>
      <c r="E134" t="s">
        <v>15</v>
      </c>
      <c r="F134" s="2">
        <f>VLOOKUP(الحركات[[#This Row],[إلى صندوق]],Table5[[الصندوق]:[الرصيد الفعلي]],5,0)</f>
        <v>0</v>
      </c>
      <c r="G134" s="7">
        <f>IF(VLOOKUP(الحركات[إلى صندوق],Table1[],3,0)=0,VLOOKUP(الحركات[[#This Row],[من صندوق]],Table1[[الصندوق]:[القيمة الشهرية]],3,0),VLOOKUP(الحركات[إلى صندوق],Table1[],3,0))</f>
        <v>300</v>
      </c>
      <c r="H134">
        <v>300</v>
      </c>
      <c r="J134" t="s">
        <v>56</v>
      </c>
      <c r="L134" s="2"/>
      <c r="M134" s="2" t="str">
        <f>الحركات[من صندوق]&amp;"/"&amp;الحركات[إلى صندوق]</f>
        <v>الراتب/ملابس</v>
      </c>
      <c r="N134" s="2" t="str">
        <f>VLOOKUP(الحركات[من صندوق],Table1[],2,0)</f>
        <v>دخل</v>
      </c>
      <c r="O134" s="2" t="str">
        <f>VLOOKUP(الحركات[إلى صندوق],Table1[[الصندوق]:[نوعه]],2,0)</f>
        <v>صرف</v>
      </c>
    </row>
    <row r="135" spans="1:15" x14ac:dyDescent="0.3">
      <c r="A135">
        <v>201810</v>
      </c>
      <c r="B135" s="3"/>
      <c r="C135" t="s">
        <v>18</v>
      </c>
      <c r="D135" s="2">
        <f>VLOOKUP(الحركات[[#This Row],[من صندوق]],Table5[],5,0)</f>
        <v>0</v>
      </c>
      <c r="E135" t="s">
        <v>1</v>
      </c>
      <c r="F135" s="2">
        <f>VLOOKUP(الحركات[[#This Row],[إلى صندوق]],Table5[[الصندوق]:[الرصيد الفعلي]],5,0)</f>
        <v>0</v>
      </c>
      <c r="G135" s="7">
        <f>IF(VLOOKUP(الحركات[إلى صندوق],Table1[],3,0)=0,VLOOKUP(الحركات[[#This Row],[من صندوق]],Table1[[الصندوق]:[القيمة الشهرية]],3,0),VLOOKUP(الحركات[إلى صندوق],Table1[],3,0))</f>
        <v>200</v>
      </c>
      <c r="H135">
        <v>200</v>
      </c>
      <c r="J135" t="s">
        <v>57</v>
      </c>
      <c r="L135" s="2"/>
      <c r="M135" s="2" t="str">
        <f>الحركات[من صندوق]&amp;"/"&amp;الحركات[إلى صندوق]</f>
        <v>الراتب/هدايا</v>
      </c>
      <c r="N135" s="2" t="str">
        <f>VLOOKUP(الحركات[من صندوق],Table1[],2,0)</f>
        <v>دخل</v>
      </c>
      <c r="O135" s="2" t="str">
        <f>VLOOKUP(الحركات[إلى صندوق],Table1[[الصندوق]:[نوعه]],2,0)</f>
        <v>صرف</v>
      </c>
    </row>
    <row r="136" spans="1:15" x14ac:dyDescent="0.3">
      <c r="A136">
        <v>201810</v>
      </c>
      <c r="B136" s="3"/>
      <c r="C136" t="s">
        <v>18</v>
      </c>
      <c r="D136" s="2">
        <f>VLOOKUP(الحركات[[#This Row],[من صندوق]],Table5[],5,0)</f>
        <v>0</v>
      </c>
      <c r="E136" t="s">
        <v>4</v>
      </c>
      <c r="F136" s="2">
        <f>VLOOKUP(الحركات[[#This Row],[إلى صندوق]],Table5[[الصندوق]:[الرصيد الفعلي]],5,0)</f>
        <v>0</v>
      </c>
      <c r="G136" s="7">
        <f>IF(VLOOKUP(الحركات[إلى صندوق],Table1[],3,0)=0,VLOOKUP(الحركات[[#This Row],[من صندوق]],Table1[[الصندوق]:[القيمة الشهرية]],3,0),VLOOKUP(الحركات[إلى صندوق],Table1[],3,0))</f>
        <v>200</v>
      </c>
      <c r="H136">
        <v>200</v>
      </c>
      <c r="J136" t="s">
        <v>58</v>
      </c>
      <c r="L136" s="2"/>
      <c r="M136" s="2" t="str">
        <f>الحركات[من صندوق]&amp;"/"&amp;الحركات[إلى صندوق]</f>
        <v>الراتب/طوارئ</v>
      </c>
      <c r="N136" s="2" t="str">
        <f>VLOOKUP(الحركات[من صندوق],Table1[],2,0)</f>
        <v>دخل</v>
      </c>
      <c r="O136" s="2" t="str">
        <f>VLOOKUP(الحركات[إلى صندوق],Table1[[الصندوق]:[نوعه]],2,0)</f>
        <v>صرف</v>
      </c>
    </row>
    <row r="137" spans="1:15" x14ac:dyDescent="0.3">
      <c r="A137">
        <v>201811</v>
      </c>
      <c r="B137" s="3"/>
      <c r="C137" t="s">
        <v>20</v>
      </c>
      <c r="D137" s="2">
        <f>VLOOKUP(الحركات[[#This Row],[من صندوق]],Table5[],5,0)</f>
        <v>0</v>
      </c>
      <c r="E137" t="s">
        <v>18</v>
      </c>
      <c r="F137" s="2">
        <f>VLOOKUP(الحركات[[#This Row],[إلى صندوق]],Table5[[الصندوق]:[الرصيد الفعلي]],5,0)</f>
        <v>0</v>
      </c>
      <c r="G137" s="7">
        <f>IF(VLOOKUP(الحركات[إلى صندوق],Table1[],3,0)=0,VLOOKUP(الحركات[[#This Row],[من صندوق]],Table1[[الصندوق]:[القيمة الشهرية]],3,0),VLOOKUP(الحركات[إلى صندوق],Table1[],3,0))</f>
        <v>10000</v>
      </c>
      <c r="H137">
        <v>10000</v>
      </c>
      <c r="J137" t="s">
        <v>40</v>
      </c>
      <c r="L137" s="2"/>
      <c r="M137" s="2" t="str">
        <f>الحركات[من صندوق]&amp;"/"&amp;الحركات[إلى صندوق]</f>
        <v>الشركة/الراتب</v>
      </c>
      <c r="N137" s="2" t="str">
        <f>VLOOKUP(الحركات[من صندوق],Table1[],2,0)</f>
        <v>خارجي</v>
      </c>
      <c r="O137" s="2" t="str">
        <f>VLOOKUP(الحركات[إلى صندوق],Table1[[الصندوق]:[نوعه]],2,0)</f>
        <v>دخل</v>
      </c>
    </row>
    <row r="138" spans="1:15" x14ac:dyDescent="0.3">
      <c r="A138">
        <v>201811</v>
      </c>
      <c r="B138" s="3"/>
      <c r="C138" t="s">
        <v>18</v>
      </c>
      <c r="D138" s="2">
        <f>VLOOKUP(الحركات[[#This Row],[من صندوق]],Table5[],5,0)</f>
        <v>0</v>
      </c>
      <c r="E138" t="s">
        <v>11</v>
      </c>
      <c r="F138" s="2">
        <f>VLOOKUP(الحركات[[#This Row],[إلى صندوق]],Table5[[الصندوق]:[الرصيد الفعلي]],5,0)</f>
        <v>0</v>
      </c>
      <c r="G138" s="7">
        <f>IF(VLOOKUP(الحركات[إلى صندوق],Table1[],3,0)=0,VLOOKUP(الحركات[[#This Row],[من صندوق]],Table1[[الصندوق]:[القيمة الشهرية]],3,0),VLOOKUP(الحركات[إلى صندوق],Table1[],3,0))</f>
        <v>250</v>
      </c>
      <c r="H138">
        <v>250</v>
      </c>
      <c r="J138" t="s">
        <v>47</v>
      </c>
      <c r="L138" s="2"/>
      <c r="M138" s="2" t="str">
        <f>الحركات[من صندوق]&amp;"/"&amp;الحركات[إلى صندوق]</f>
        <v>الراتب/فواتير</v>
      </c>
      <c r="N138" s="2" t="str">
        <f>VLOOKUP(الحركات[من صندوق],Table1[],2,0)</f>
        <v>دخل</v>
      </c>
      <c r="O138" s="2" t="str">
        <f>VLOOKUP(الحركات[إلى صندوق],Table1[[الصندوق]:[نوعه]],2,0)</f>
        <v>صرف</v>
      </c>
    </row>
    <row r="139" spans="1:15" x14ac:dyDescent="0.3">
      <c r="A139">
        <v>201811</v>
      </c>
      <c r="B139" s="3"/>
      <c r="C139" t="s">
        <v>18</v>
      </c>
      <c r="D139" s="2">
        <f>VLOOKUP(الحركات[[#This Row],[من صندوق]],Table5[],5,0)</f>
        <v>0</v>
      </c>
      <c r="E139" t="s">
        <v>13</v>
      </c>
      <c r="F139" s="2">
        <f>VLOOKUP(الحركات[[#This Row],[إلى صندوق]],Table5[[الصندوق]:[الرصيد الفعلي]],5,0)</f>
        <v>0</v>
      </c>
      <c r="G139" s="7">
        <f>IF(VLOOKUP(الحركات[إلى صندوق],Table1[],3,0)=0,VLOOKUP(الحركات[[#This Row],[من صندوق]],Table1[[الصندوق]:[القيمة الشهرية]],3,0),VLOOKUP(الحركات[إلى صندوق],Table1[],3,0))</f>
        <v>4000</v>
      </c>
      <c r="H139">
        <v>4000</v>
      </c>
      <c r="J139" t="s">
        <v>48</v>
      </c>
      <c r="L139" s="2"/>
      <c r="M139" s="2" t="str">
        <f>الحركات[من صندوق]&amp;"/"&amp;الحركات[إلى صندوق]</f>
        <v>الراتب/مصاريف شهرية</v>
      </c>
      <c r="N139" s="2" t="str">
        <f>VLOOKUP(الحركات[من صندوق],Table1[],2,0)</f>
        <v>دخل</v>
      </c>
      <c r="O139" s="2" t="str">
        <f>VLOOKUP(الحركات[إلى صندوق],Table1[[الصندوق]:[نوعه]],2,0)</f>
        <v>صرف</v>
      </c>
    </row>
    <row r="140" spans="1:15" x14ac:dyDescent="0.3">
      <c r="A140">
        <v>201811</v>
      </c>
      <c r="B140" s="3"/>
      <c r="C140" t="s">
        <v>18</v>
      </c>
      <c r="D140" s="2">
        <f>VLOOKUP(الحركات[[#This Row],[من صندوق]],Table5[],5,0)</f>
        <v>0</v>
      </c>
      <c r="E140" t="s">
        <v>3</v>
      </c>
      <c r="F140" s="2">
        <f>VLOOKUP(الحركات[[#This Row],[إلى صندوق]],Table5[[الصندوق]:[الرصيد الفعلي]],5,0)</f>
        <v>0</v>
      </c>
      <c r="G140" s="7">
        <f>IF(VLOOKUP(الحركات[إلى صندوق],Table1[],3,0)=0,VLOOKUP(الحركات[[#This Row],[من صندوق]],Table1[[الصندوق]:[القيمة الشهرية]],3,0),VLOOKUP(الحركات[إلى صندوق],Table1[],3,0))</f>
        <v>2000</v>
      </c>
      <c r="H140">
        <v>2000</v>
      </c>
      <c r="J140" t="s">
        <v>49</v>
      </c>
      <c r="L140" s="2"/>
      <c r="M140" s="2" t="str">
        <f>الحركات[من صندوق]&amp;"/"&amp;الحركات[إلى صندوق]</f>
        <v>الراتب/مدارس</v>
      </c>
      <c r="N140" s="2" t="str">
        <f>VLOOKUP(الحركات[من صندوق],Table1[],2,0)</f>
        <v>دخل</v>
      </c>
      <c r="O140" s="2" t="str">
        <f>VLOOKUP(الحركات[إلى صندوق],Table1[[الصندوق]:[نوعه]],2,0)</f>
        <v>صرف</v>
      </c>
    </row>
    <row r="141" spans="1:15" x14ac:dyDescent="0.3">
      <c r="A141">
        <v>201811</v>
      </c>
      <c r="B141" s="3"/>
      <c r="C141" t="s">
        <v>18</v>
      </c>
      <c r="D141" s="2">
        <f>VLOOKUP(الحركات[[#This Row],[من صندوق]],Table5[],5,0)</f>
        <v>0</v>
      </c>
      <c r="E141" t="s">
        <v>21</v>
      </c>
      <c r="F141" s="2">
        <f>VLOOKUP(الحركات[[#This Row],[إلى صندوق]],Table5[[الصندوق]:[الرصيد الفعلي]],5,0)</f>
        <v>0</v>
      </c>
      <c r="G141" s="7">
        <f>IF(VLOOKUP(الحركات[إلى صندوق],Table1[],3,0)=0,VLOOKUP(الحركات[[#This Row],[من صندوق]],Table1[[الصندوق]:[القيمة الشهرية]],3,0),VLOOKUP(الحركات[إلى صندوق],Table1[],3,0))</f>
        <v>1500</v>
      </c>
      <c r="H141">
        <v>1500</v>
      </c>
      <c r="J141" t="s">
        <v>50</v>
      </c>
      <c r="L141" s="2"/>
      <c r="M141" s="2" t="str">
        <f>الحركات[من صندوق]&amp;"/"&amp;الحركات[إلى صندوق]</f>
        <v>الراتب/ايجار المنزل</v>
      </c>
      <c r="N141" s="2" t="str">
        <f>VLOOKUP(الحركات[من صندوق],Table1[],2,0)</f>
        <v>دخل</v>
      </c>
      <c r="O141" s="2" t="str">
        <f>VLOOKUP(الحركات[إلى صندوق],Table1[[الصندوق]:[نوعه]],2,0)</f>
        <v>صرف</v>
      </c>
    </row>
    <row r="142" spans="1:15" x14ac:dyDescent="0.3">
      <c r="A142">
        <v>201811</v>
      </c>
      <c r="B142" s="3"/>
      <c r="C142" t="s">
        <v>18</v>
      </c>
      <c r="D142" s="2">
        <f>VLOOKUP(الحركات[[#This Row],[من صندوق]],Table5[],5,0)</f>
        <v>0</v>
      </c>
      <c r="E142" t="s">
        <v>0</v>
      </c>
      <c r="F142" s="2">
        <f>VLOOKUP(الحركات[[#This Row],[إلى صندوق]],Table5[[الصندوق]:[الرصيد الفعلي]],5,0)</f>
        <v>0</v>
      </c>
      <c r="G142" s="7">
        <f>IF(VLOOKUP(الحركات[إلى صندوق],Table1[],3,0)=0,VLOOKUP(الحركات[[#This Row],[من صندوق]],Table1[[الصندوق]:[القيمة الشهرية]],3,0),VLOOKUP(الحركات[إلى صندوق],Table1[],3,0))</f>
        <v>500</v>
      </c>
      <c r="H142">
        <v>500</v>
      </c>
      <c r="J142" t="s">
        <v>51</v>
      </c>
      <c r="L142" s="2"/>
      <c r="M142" s="2" t="str">
        <f>الحركات[من صندوق]&amp;"/"&amp;الحركات[إلى صندوق]</f>
        <v>الراتب/توفير</v>
      </c>
      <c r="N142" s="2" t="str">
        <f>VLOOKUP(الحركات[من صندوق],Table1[],2,0)</f>
        <v>دخل</v>
      </c>
      <c r="O142" s="2" t="str">
        <f>VLOOKUP(الحركات[إلى صندوق],Table1[[الصندوق]:[نوعه]],2,0)</f>
        <v>صرف</v>
      </c>
    </row>
    <row r="143" spans="1:15" x14ac:dyDescent="0.3">
      <c r="A143">
        <v>201811</v>
      </c>
      <c r="B143" s="3"/>
      <c r="C143" t="s">
        <v>18</v>
      </c>
      <c r="D143" s="2">
        <f>VLOOKUP(الحركات[[#This Row],[من صندوق]],Table5[],5,0)</f>
        <v>0</v>
      </c>
      <c r="E143" t="s">
        <v>12</v>
      </c>
      <c r="F143" s="2">
        <f>VLOOKUP(الحركات[[#This Row],[إلى صندوق]],Table5[[الصندوق]:[الرصيد الفعلي]],5,0)</f>
        <v>0</v>
      </c>
      <c r="G143" s="7">
        <f>IF(VLOOKUP(الحركات[إلى صندوق],Table1[],3,0)=0,VLOOKUP(الحركات[[#This Row],[من صندوق]],Table1[[الصندوق]:[القيمة الشهرية]],3,0),VLOOKUP(الحركات[إلى صندوق],Table1[],3,0))</f>
        <v>400</v>
      </c>
      <c r="H143">
        <v>400</v>
      </c>
      <c r="J143" t="s">
        <v>52</v>
      </c>
      <c r="L143" s="2"/>
      <c r="M143" s="2" t="str">
        <f>الحركات[من صندوق]&amp;"/"&amp;الحركات[إلى صندوق]</f>
        <v>الراتب/اجازات</v>
      </c>
      <c r="N143" s="2" t="str">
        <f>VLOOKUP(الحركات[من صندوق],Table1[],2,0)</f>
        <v>دخل</v>
      </c>
      <c r="O143" s="2" t="str">
        <f>VLOOKUP(الحركات[إلى صندوق],Table1[[الصندوق]:[نوعه]],2,0)</f>
        <v>صرف</v>
      </c>
    </row>
    <row r="144" spans="1:15" x14ac:dyDescent="0.3">
      <c r="A144">
        <v>201811</v>
      </c>
      <c r="B144" s="3"/>
      <c r="C144" t="s">
        <v>18</v>
      </c>
      <c r="D144" s="2">
        <f>VLOOKUP(الحركات[[#This Row],[من صندوق]],Table5[],5,0)</f>
        <v>0</v>
      </c>
      <c r="E144" t="s">
        <v>9</v>
      </c>
      <c r="F144" s="2">
        <f>VLOOKUP(الحركات[[#This Row],[إلى صندوق]],Table5[[الصندوق]:[الرصيد الفعلي]],5,0)</f>
        <v>0</v>
      </c>
      <c r="G144" s="7">
        <f>IF(VLOOKUP(الحركات[إلى صندوق],Table1[],3,0)=0,VLOOKUP(الحركات[[#This Row],[من صندوق]],Table1[[الصندوق]:[القيمة الشهرية]],3,0),VLOOKUP(الحركات[إلى صندوق],Table1[],3,0))</f>
        <v>200</v>
      </c>
      <c r="H144">
        <v>200</v>
      </c>
      <c r="J144" t="s">
        <v>53</v>
      </c>
      <c r="L144" s="2"/>
      <c r="M144" s="2" t="str">
        <f>الحركات[من صندوق]&amp;"/"&amp;الحركات[إلى صندوق]</f>
        <v>الراتب/دورات</v>
      </c>
      <c r="N144" s="2" t="str">
        <f>VLOOKUP(الحركات[من صندوق],Table1[],2,0)</f>
        <v>دخل</v>
      </c>
      <c r="O144" s="2" t="str">
        <f>VLOOKUP(الحركات[إلى صندوق],Table1[[الصندوق]:[نوعه]],2,0)</f>
        <v>صرف</v>
      </c>
    </row>
    <row r="145" spans="1:15" x14ac:dyDescent="0.3">
      <c r="A145">
        <v>201811</v>
      </c>
      <c r="B145" s="3"/>
      <c r="C145" t="s">
        <v>18</v>
      </c>
      <c r="D145" s="2">
        <f>VLOOKUP(الحركات[[#This Row],[من صندوق]],Table5[],5,0)</f>
        <v>0</v>
      </c>
      <c r="E145" t="s">
        <v>22</v>
      </c>
      <c r="F145" s="2">
        <f>VLOOKUP(الحركات[[#This Row],[إلى صندوق]],Table5[[الصندوق]:[الرصيد الفعلي]],5,0)</f>
        <v>0</v>
      </c>
      <c r="G145" s="7">
        <f>IF(VLOOKUP(الحركات[إلى صندوق],Table1[],3,0)=0,VLOOKUP(الحركات[[#This Row],[من صندوق]],Table1[[الصندوق]:[القيمة الشهرية]],3,0),VLOOKUP(الحركات[إلى صندوق],Table1[],3,0))</f>
        <v>200</v>
      </c>
      <c r="H145">
        <v>200</v>
      </c>
      <c r="J145" t="s">
        <v>54</v>
      </c>
      <c r="L145" s="2"/>
      <c r="M145" s="2" t="str">
        <f>الحركات[من صندوق]&amp;"/"&amp;الحركات[إلى صندوق]</f>
        <v>الراتب/زكاة</v>
      </c>
      <c r="N145" s="2" t="str">
        <f>VLOOKUP(الحركات[من صندوق],Table1[],2,0)</f>
        <v>دخل</v>
      </c>
      <c r="O145" s="2" t="str">
        <f>VLOOKUP(الحركات[إلى صندوق],Table1[[الصندوق]:[نوعه]],2,0)</f>
        <v>صرف</v>
      </c>
    </row>
    <row r="146" spans="1:15" x14ac:dyDescent="0.3">
      <c r="A146">
        <v>201811</v>
      </c>
      <c r="B146" s="3"/>
      <c r="C146" t="s">
        <v>18</v>
      </c>
      <c r="D146" s="2">
        <f>VLOOKUP(الحركات[[#This Row],[من صندوق]],Table5[],5,0)</f>
        <v>0</v>
      </c>
      <c r="E146" t="s">
        <v>10</v>
      </c>
      <c r="F146" s="2">
        <f>VLOOKUP(الحركات[[#This Row],[إلى صندوق]],Table5[[الصندوق]:[الرصيد الفعلي]],5,0)</f>
        <v>0</v>
      </c>
      <c r="G146" s="7">
        <f>IF(VLOOKUP(الحركات[إلى صندوق],Table1[],3,0)=0,VLOOKUP(الحركات[[#This Row],[من صندوق]],Table1[[الصندوق]:[القيمة الشهرية]],3,0),VLOOKUP(الحركات[إلى صندوق],Table1[],3,0))</f>
        <v>250</v>
      </c>
      <c r="H146">
        <v>250</v>
      </c>
      <c r="J146" t="s">
        <v>55</v>
      </c>
      <c r="L146" s="2"/>
      <c r="M146" s="2" t="str">
        <f>الحركات[من صندوق]&amp;"/"&amp;الحركات[إلى صندوق]</f>
        <v>الراتب/صيانة السيارة</v>
      </c>
      <c r="N146" s="2" t="str">
        <f>VLOOKUP(الحركات[من صندوق],Table1[],2,0)</f>
        <v>دخل</v>
      </c>
      <c r="O146" s="2" t="str">
        <f>VLOOKUP(الحركات[إلى صندوق],Table1[[الصندوق]:[نوعه]],2,0)</f>
        <v>صرف</v>
      </c>
    </row>
    <row r="147" spans="1:15" x14ac:dyDescent="0.3">
      <c r="A147">
        <v>201811</v>
      </c>
      <c r="B147" s="3"/>
      <c r="C147" t="s">
        <v>18</v>
      </c>
      <c r="D147" s="2">
        <f>VLOOKUP(الحركات[[#This Row],[من صندوق]],Table5[],5,0)</f>
        <v>0</v>
      </c>
      <c r="E147" t="s">
        <v>15</v>
      </c>
      <c r="F147" s="2">
        <f>VLOOKUP(الحركات[[#This Row],[إلى صندوق]],Table5[[الصندوق]:[الرصيد الفعلي]],5,0)</f>
        <v>0</v>
      </c>
      <c r="G147" s="7">
        <f>IF(VLOOKUP(الحركات[إلى صندوق],Table1[],3,0)=0,VLOOKUP(الحركات[[#This Row],[من صندوق]],Table1[[الصندوق]:[القيمة الشهرية]],3,0),VLOOKUP(الحركات[إلى صندوق],Table1[],3,0))</f>
        <v>300</v>
      </c>
      <c r="H147">
        <v>300</v>
      </c>
      <c r="J147" t="s">
        <v>56</v>
      </c>
      <c r="L147" s="2"/>
      <c r="M147" s="2" t="str">
        <f>الحركات[من صندوق]&amp;"/"&amp;الحركات[إلى صندوق]</f>
        <v>الراتب/ملابس</v>
      </c>
      <c r="N147" s="2" t="str">
        <f>VLOOKUP(الحركات[من صندوق],Table1[],2,0)</f>
        <v>دخل</v>
      </c>
      <c r="O147" s="2" t="str">
        <f>VLOOKUP(الحركات[إلى صندوق],Table1[[الصندوق]:[نوعه]],2,0)</f>
        <v>صرف</v>
      </c>
    </row>
    <row r="148" spans="1:15" x14ac:dyDescent="0.3">
      <c r="A148">
        <v>201811</v>
      </c>
      <c r="B148" s="3"/>
      <c r="C148" t="s">
        <v>18</v>
      </c>
      <c r="D148" s="2">
        <f>VLOOKUP(الحركات[[#This Row],[من صندوق]],Table5[],5,0)</f>
        <v>0</v>
      </c>
      <c r="E148" t="s">
        <v>1</v>
      </c>
      <c r="F148" s="2">
        <f>VLOOKUP(الحركات[[#This Row],[إلى صندوق]],Table5[[الصندوق]:[الرصيد الفعلي]],5,0)</f>
        <v>0</v>
      </c>
      <c r="G148" s="7">
        <f>IF(VLOOKUP(الحركات[إلى صندوق],Table1[],3,0)=0,VLOOKUP(الحركات[[#This Row],[من صندوق]],Table1[[الصندوق]:[القيمة الشهرية]],3,0),VLOOKUP(الحركات[إلى صندوق],Table1[],3,0))</f>
        <v>200</v>
      </c>
      <c r="H148">
        <v>200</v>
      </c>
      <c r="J148" t="s">
        <v>57</v>
      </c>
      <c r="L148" s="2"/>
      <c r="M148" s="2" t="str">
        <f>الحركات[من صندوق]&amp;"/"&amp;الحركات[إلى صندوق]</f>
        <v>الراتب/هدايا</v>
      </c>
      <c r="N148" s="2" t="str">
        <f>VLOOKUP(الحركات[من صندوق],Table1[],2,0)</f>
        <v>دخل</v>
      </c>
      <c r="O148" s="2" t="str">
        <f>VLOOKUP(الحركات[إلى صندوق],Table1[[الصندوق]:[نوعه]],2,0)</f>
        <v>صرف</v>
      </c>
    </row>
    <row r="149" spans="1:15" x14ac:dyDescent="0.3">
      <c r="A149">
        <v>201811</v>
      </c>
      <c r="B149" s="3"/>
      <c r="C149" t="s">
        <v>18</v>
      </c>
      <c r="D149" s="2">
        <f>VLOOKUP(الحركات[[#This Row],[من صندوق]],Table5[],5,0)</f>
        <v>0</v>
      </c>
      <c r="E149" t="s">
        <v>4</v>
      </c>
      <c r="F149" s="2">
        <f>VLOOKUP(الحركات[[#This Row],[إلى صندوق]],Table5[[الصندوق]:[الرصيد الفعلي]],5,0)</f>
        <v>0</v>
      </c>
      <c r="G149" s="7">
        <f>IF(VLOOKUP(الحركات[إلى صندوق],Table1[],3,0)=0,VLOOKUP(الحركات[[#This Row],[من صندوق]],Table1[[الصندوق]:[القيمة الشهرية]],3,0),VLOOKUP(الحركات[إلى صندوق],Table1[],3,0))</f>
        <v>200</v>
      </c>
      <c r="H149">
        <v>200</v>
      </c>
      <c r="J149" t="s">
        <v>58</v>
      </c>
      <c r="L149" s="2"/>
      <c r="M149" s="2" t="str">
        <f>الحركات[من صندوق]&amp;"/"&amp;الحركات[إلى صندوق]</f>
        <v>الراتب/طوارئ</v>
      </c>
      <c r="N149" s="2" t="str">
        <f>VLOOKUP(الحركات[من صندوق],Table1[],2,0)</f>
        <v>دخل</v>
      </c>
      <c r="O149" s="2" t="str">
        <f>VLOOKUP(الحركات[إلى صندوق],Table1[[الصندوق]:[نوعه]],2,0)</f>
        <v>صرف</v>
      </c>
    </row>
    <row r="150" spans="1:15" x14ac:dyDescent="0.3">
      <c r="A150">
        <v>201812</v>
      </c>
      <c r="B150" s="3"/>
      <c r="C150" t="s">
        <v>20</v>
      </c>
      <c r="D150" s="2">
        <f>VLOOKUP(الحركات[[#This Row],[من صندوق]],Table5[],5,0)</f>
        <v>0</v>
      </c>
      <c r="E150" t="s">
        <v>18</v>
      </c>
      <c r="F150" s="2">
        <f>VLOOKUP(الحركات[[#This Row],[إلى صندوق]],Table5[[الصندوق]:[الرصيد الفعلي]],5,0)</f>
        <v>0</v>
      </c>
      <c r="G150" s="7">
        <f>IF(VLOOKUP(الحركات[إلى صندوق],Table1[],3,0)=0,VLOOKUP(الحركات[[#This Row],[من صندوق]],Table1[[الصندوق]:[القيمة الشهرية]],3,0),VLOOKUP(الحركات[إلى صندوق],Table1[],3,0))</f>
        <v>10000</v>
      </c>
      <c r="H150">
        <v>10000</v>
      </c>
      <c r="J150" t="s">
        <v>40</v>
      </c>
      <c r="L150" s="2"/>
      <c r="M150" s="2" t="str">
        <f>الحركات[من صندوق]&amp;"/"&amp;الحركات[إلى صندوق]</f>
        <v>الشركة/الراتب</v>
      </c>
      <c r="N150" s="2" t="str">
        <f>VLOOKUP(الحركات[من صندوق],Table1[],2,0)</f>
        <v>خارجي</v>
      </c>
      <c r="O150" s="2" t="str">
        <f>VLOOKUP(الحركات[إلى صندوق],Table1[[الصندوق]:[نوعه]],2,0)</f>
        <v>دخل</v>
      </c>
    </row>
    <row r="151" spans="1:15" x14ac:dyDescent="0.3">
      <c r="A151">
        <v>201812</v>
      </c>
      <c r="B151" s="3"/>
      <c r="C151" t="s">
        <v>18</v>
      </c>
      <c r="D151" s="2">
        <f>VLOOKUP(الحركات[[#This Row],[من صندوق]],Table5[],5,0)</f>
        <v>0</v>
      </c>
      <c r="E151" t="s">
        <v>11</v>
      </c>
      <c r="F151" s="2">
        <f>VLOOKUP(الحركات[[#This Row],[إلى صندوق]],Table5[[الصندوق]:[الرصيد الفعلي]],5,0)</f>
        <v>0</v>
      </c>
      <c r="G151" s="7">
        <f>IF(VLOOKUP(الحركات[إلى صندوق],Table1[],3,0)=0,VLOOKUP(الحركات[[#This Row],[من صندوق]],Table1[[الصندوق]:[القيمة الشهرية]],3,0),VLOOKUP(الحركات[إلى صندوق],Table1[],3,0))</f>
        <v>250</v>
      </c>
      <c r="H151">
        <v>250</v>
      </c>
      <c r="J151" t="s">
        <v>47</v>
      </c>
      <c r="L151" s="2"/>
      <c r="M151" s="2" t="str">
        <f>الحركات[من صندوق]&amp;"/"&amp;الحركات[إلى صندوق]</f>
        <v>الراتب/فواتير</v>
      </c>
      <c r="N151" s="2" t="str">
        <f>VLOOKUP(الحركات[من صندوق],Table1[],2,0)</f>
        <v>دخل</v>
      </c>
      <c r="O151" s="2" t="str">
        <f>VLOOKUP(الحركات[إلى صندوق],Table1[[الصندوق]:[نوعه]],2,0)</f>
        <v>صرف</v>
      </c>
    </row>
    <row r="152" spans="1:15" x14ac:dyDescent="0.3">
      <c r="A152">
        <v>201812</v>
      </c>
      <c r="B152" s="3"/>
      <c r="C152" t="s">
        <v>18</v>
      </c>
      <c r="D152" s="2">
        <f>VLOOKUP(الحركات[[#This Row],[من صندوق]],Table5[],5,0)</f>
        <v>0</v>
      </c>
      <c r="E152" t="s">
        <v>13</v>
      </c>
      <c r="F152" s="2">
        <f>VLOOKUP(الحركات[[#This Row],[إلى صندوق]],Table5[[الصندوق]:[الرصيد الفعلي]],5,0)</f>
        <v>0</v>
      </c>
      <c r="G152" s="7">
        <f>IF(VLOOKUP(الحركات[إلى صندوق],Table1[],3,0)=0,VLOOKUP(الحركات[[#This Row],[من صندوق]],Table1[[الصندوق]:[القيمة الشهرية]],3,0),VLOOKUP(الحركات[إلى صندوق],Table1[],3,0))</f>
        <v>4000</v>
      </c>
      <c r="H152">
        <v>4000</v>
      </c>
      <c r="J152" t="s">
        <v>48</v>
      </c>
      <c r="L152" s="2"/>
      <c r="M152" s="2" t="str">
        <f>الحركات[من صندوق]&amp;"/"&amp;الحركات[إلى صندوق]</f>
        <v>الراتب/مصاريف شهرية</v>
      </c>
      <c r="N152" s="2" t="str">
        <f>VLOOKUP(الحركات[من صندوق],Table1[],2,0)</f>
        <v>دخل</v>
      </c>
      <c r="O152" s="2" t="str">
        <f>VLOOKUP(الحركات[إلى صندوق],Table1[[الصندوق]:[نوعه]],2,0)</f>
        <v>صرف</v>
      </c>
    </row>
    <row r="153" spans="1:15" x14ac:dyDescent="0.3">
      <c r="A153">
        <v>201812</v>
      </c>
      <c r="B153" s="3"/>
      <c r="C153" t="s">
        <v>18</v>
      </c>
      <c r="D153" s="2">
        <f>VLOOKUP(الحركات[[#This Row],[من صندوق]],Table5[],5,0)</f>
        <v>0</v>
      </c>
      <c r="E153" t="s">
        <v>3</v>
      </c>
      <c r="F153" s="2">
        <f>VLOOKUP(الحركات[[#This Row],[إلى صندوق]],Table5[[الصندوق]:[الرصيد الفعلي]],5,0)</f>
        <v>0</v>
      </c>
      <c r="G153" s="7">
        <f>IF(VLOOKUP(الحركات[إلى صندوق],Table1[],3,0)=0,VLOOKUP(الحركات[[#This Row],[من صندوق]],Table1[[الصندوق]:[القيمة الشهرية]],3,0),VLOOKUP(الحركات[إلى صندوق],Table1[],3,0))</f>
        <v>2000</v>
      </c>
      <c r="H153">
        <v>2000</v>
      </c>
      <c r="J153" t="s">
        <v>49</v>
      </c>
      <c r="L153" s="2"/>
      <c r="M153" s="2" t="str">
        <f>الحركات[من صندوق]&amp;"/"&amp;الحركات[إلى صندوق]</f>
        <v>الراتب/مدارس</v>
      </c>
      <c r="N153" s="2" t="str">
        <f>VLOOKUP(الحركات[من صندوق],Table1[],2,0)</f>
        <v>دخل</v>
      </c>
      <c r="O153" s="2" t="str">
        <f>VLOOKUP(الحركات[إلى صندوق],Table1[[الصندوق]:[نوعه]],2,0)</f>
        <v>صرف</v>
      </c>
    </row>
    <row r="154" spans="1:15" x14ac:dyDescent="0.3">
      <c r="A154">
        <v>201812</v>
      </c>
      <c r="B154" s="3"/>
      <c r="C154" t="s">
        <v>18</v>
      </c>
      <c r="D154" s="2">
        <f>VLOOKUP(الحركات[[#This Row],[من صندوق]],Table5[],5,0)</f>
        <v>0</v>
      </c>
      <c r="E154" t="s">
        <v>21</v>
      </c>
      <c r="F154" s="2">
        <f>VLOOKUP(الحركات[[#This Row],[إلى صندوق]],Table5[[الصندوق]:[الرصيد الفعلي]],5,0)</f>
        <v>0</v>
      </c>
      <c r="G154" s="7">
        <f>IF(VLOOKUP(الحركات[إلى صندوق],Table1[],3,0)=0,VLOOKUP(الحركات[[#This Row],[من صندوق]],Table1[[الصندوق]:[القيمة الشهرية]],3,0),VLOOKUP(الحركات[إلى صندوق],Table1[],3,0))</f>
        <v>1500</v>
      </c>
      <c r="H154">
        <v>1500</v>
      </c>
      <c r="J154" t="s">
        <v>50</v>
      </c>
      <c r="L154" s="2"/>
      <c r="M154" s="2" t="str">
        <f>الحركات[من صندوق]&amp;"/"&amp;الحركات[إلى صندوق]</f>
        <v>الراتب/ايجار المنزل</v>
      </c>
      <c r="N154" s="2" t="str">
        <f>VLOOKUP(الحركات[من صندوق],Table1[],2,0)</f>
        <v>دخل</v>
      </c>
      <c r="O154" s="2" t="str">
        <f>VLOOKUP(الحركات[إلى صندوق],Table1[[الصندوق]:[نوعه]],2,0)</f>
        <v>صرف</v>
      </c>
    </row>
    <row r="155" spans="1:15" x14ac:dyDescent="0.3">
      <c r="A155">
        <v>201812</v>
      </c>
      <c r="B155" s="3"/>
      <c r="C155" t="s">
        <v>18</v>
      </c>
      <c r="D155" s="2">
        <f>VLOOKUP(الحركات[[#This Row],[من صندوق]],Table5[],5,0)</f>
        <v>0</v>
      </c>
      <c r="E155" t="s">
        <v>0</v>
      </c>
      <c r="F155" s="2">
        <f>VLOOKUP(الحركات[[#This Row],[إلى صندوق]],Table5[[الصندوق]:[الرصيد الفعلي]],5,0)</f>
        <v>0</v>
      </c>
      <c r="G155" s="7">
        <f>IF(VLOOKUP(الحركات[إلى صندوق],Table1[],3,0)=0,VLOOKUP(الحركات[[#This Row],[من صندوق]],Table1[[الصندوق]:[القيمة الشهرية]],3,0),VLOOKUP(الحركات[إلى صندوق],Table1[],3,0))</f>
        <v>500</v>
      </c>
      <c r="H155">
        <v>500</v>
      </c>
      <c r="J155" t="s">
        <v>51</v>
      </c>
      <c r="L155" s="2"/>
      <c r="M155" s="2" t="str">
        <f>الحركات[من صندوق]&amp;"/"&amp;الحركات[إلى صندوق]</f>
        <v>الراتب/توفير</v>
      </c>
      <c r="N155" s="2" t="str">
        <f>VLOOKUP(الحركات[من صندوق],Table1[],2,0)</f>
        <v>دخل</v>
      </c>
      <c r="O155" s="2" t="str">
        <f>VLOOKUP(الحركات[إلى صندوق],Table1[[الصندوق]:[نوعه]],2,0)</f>
        <v>صرف</v>
      </c>
    </row>
    <row r="156" spans="1:15" x14ac:dyDescent="0.3">
      <c r="A156">
        <v>201812</v>
      </c>
      <c r="B156" s="3"/>
      <c r="C156" t="s">
        <v>18</v>
      </c>
      <c r="D156" s="2">
        <f>VLOOKUP(الحركات[[#This Row],[من صندوق]],Table5[],5,0)</f>
        <v>0</v>
      </c>
      <c r="E156" t="s">
        <v>12</v>
      </c>
      <c r="F156" s="2">
        <f>VLOOKUP(الحركات[[#This Row],[إلى صندوق]],Table5[[الصندوق]:[الرصيد الفعلي]],5,0)</f>
        <v>0</v>
      </c>
      <c r="G156" s="7">
        <f>IF(VLOOKUP(الحركات[إلى صندوق],Table1[],3,0)=0,VLOOKUP(الحركات[[#This Row],[من صندوق]],Table1[[الصندوق]:[القيمة الشهرية]],3,0),VLOOKUP(الحركات[إلى صندوق],Table1[],3,0))</f>
        <v>400</v>
      </c>
      <c r="H156">
        <v>400</v>
      </c>
      <c r="J156" t="s">
        <v>52</v>
      </c>
      <c r="L156" s="2"/>
      <c r="M156" s="2" t="str">
        <f>الحركات[من صندوق]&amp;"/"&amp;الحركات[إلى صندوق]</f>
        <v>الراتب/اجازات</v>
      </c>
      <c r="N156" s="2" t="str">
        <f>VLOOKUP(الحركات[من صندوق],Table1[],2,0)</f>
        <v>دخل</v>
      </c>
      <c r="O156" s="2" t="str">
        <f>VLOOKUP(الحركات[إلى صندوق],Table1[[الصندوق]:[نوعه]],2,0)</f>
        <v>صرف</v>
      </c>
    </row>
    <row r="157" spans="1:15" x14ac:dyDescent="0.3">
      <c r="A157">
        <v>201812</v>
      </c>
      <c r="B157" s="3"/>
      <c r="C157" t="s">
        <v>18</v>
      </c>
      <c r="D157" s="2">
        <f>VLOOKUP(الحركات[[#This Row],[من صندوق]],Table5[],5,0)</f>
        <v>0</v>
      </c>
      <c r="E157" t="s">
        <v>9</v>
      </c>
      <c r="F157" s="2">
        <f>VLOOKUP(الحركات[[#This Row],[إلى صندوق]],Table5[[الصندوق]:[الرصيد الفعلي]],5,0)</f>
        <v>0</v>
      </c>
      <c r="G157" s="7">
        <f>IF(VLOOKUP(الحركات[إلى صندوق],Table1[],3,0)=0,VLOOKUP(الحركات[[#This Row],[من صندوق]],Table1[[الصندوق]:[القيمة الشهرية]],3,0),VLOOKUP(الحركات[إلى صندوق],Table1[],3,0))</f>
        <v>200</v>
      </c>
      <c r="H157">
        <v>200</v>
      </c>
      <c r="J157" t="s">
        <v>53</v>
      </c>
      <c r="L157" s="2"/>
      <c r="M157" s="2" t="str">
        <f>الحركات[من صندوق]&amp;"/"&amp;الحركات[إلى صندوق]</f>
        <v>الراتب/دورات</v>
      </c>
      <c r="N157" s="2" t="str">
        <f>VLOOKUP(الحركات[من صندوق],Table1[],2,0)</f>
        <v>دخل</v>
      </c>
      <c r="O157" s="2" t="str">
        <f>VLOOKUP(الحركات[إلى صندوق],Table1[[الصندوق]:[نوعه]],2,0)</f>
        <v>صرف</v>
      </c>
    </row>
    <row r="158" spans="1:15" x14ac:dyDescent="0.3">
      <c r="A158">
        <v>201812</v>
      </c>
      <c r="B158" s="3"/>
      <c r="C158" t="s">
        <v>18</v>
      </c>
      <c r="D158" s="2">
        <f>VLOOKUP(الحركات[[#This Row],[من صندوق]],Table5[],5,0)</f>
        <v>0</v>
      </c>
      <c r="E158" t="s">
        <v>22</v>
      </c>
      <c r="F158" s="2">
        <f>VLOOKUP(الحركات[[#This Row],[إلى صندوق]],Table5[[الصندوق]:[الرصيد الفعلي]],5,0)</f>
        <v>0</v>
      </c>
      <c r="G158" s="7">
        <f>IF(VLOOKUP(الحركات[إلى صندوق],Table1[],3,0)=0,VLOOKUP(الحركات[[#This Row],[من صندوق]],Table1[[الصندوق]:[القيمة الشهرية]],3,0),VLOOKUP(الحركات[إلى صندوق],Table1[],3,0))</f>
        <v>200</v>
      </c>
      <c r="H158">
        <v>200</v>
      </c>
      <c r="J158" t="s">
        <v>54</v>
      </c>
      <c r="L158" s="2"/>
      <c r="M158" s="2" t="str">
        <f>الحركات[من صندوق]&amp;"/"&amp;الحركات[إلى صندوق]</f>
        <v>الراتب/زكاة</v>
      </c>
      <c r="N158" s="2" t="str">
        <f>VLOOKUP(الحركات[من صندوق],Table1[],2,0)</f>
        <v>دخل</v>
      </c>
      <c r="O158" s="2" t="str">
        <f>VLOOKUP(الحركات[إلى صندوق],Table1[[الصندوق]:[نوعه]],2,0)</f>
        <v>صرف</v>
      </c>
    </row>
    <row r="159" spans="1:15" x14ac:dyDescent="0.3">
      <c r="A159">
        <v>201812</v>
      </c>
      <c r="B159" s="3"/>
      <c r="C159" t="s">
        <v>18</v>
      </c>
      <c r="D159" s="2">
        <f>VLOOKUP(الحركات[[#This Row],[من صندوق]],Table5[],5,0)</f>
        <v>0</v>
      </c>
      <c r="E159" t="s">
        <v>10</v>
      </c>
      <c r="F159" s="2">
        <f>VLOOKUP(الحركات[[#This Row],[إلى صندوق]],Table5[[الصندوق]:[الرصيد الفعلي]],5,0)</f>
        <v>0</v>
      </c>
      <c r="G159" s="7">
        <f>IF(VLOOKUP(الحركات[إلى صندوق],Table1[],3,0)=0,VLOOKUP(الحركات[[#This Row],[من صندوق]],Table1[[الصندوق]:[القيمة الشهرية]],3,0),VLOOKUP(الحركات[إلى صندوق],Table1[],3,0))</f>
        <v>250</v>
      </c>
      <c r="H159">
        <v>250</v>
      </c>
      <c r="J159" t="s">
        <v>55</v>
      </c>
      <c r="L159" s="2"/>
      <c r="M159" s="2" t="str">
        <f>الحركات[من صندوق]&amp;"/"&amp;الحركات[إلى صندوق]</f>
        <v>الراتب/صيانة السيارة</v>
      </c>
      <c r="N159" s="2" t="str">
        <f>VLOOKUP(الحركات[من صندوق],Table1[],2,0)</f>
        <v>دخل</v>
      </c>
      <c r="O159" s="2" t="str">
        <f>VLOOKUP(الحركات[إلى صندوق],Table1[[الصندوق]:[نوعه]],2,0)</f>
        <v>صرف</v>
      </c>
    </row>
    <row r="160" spans="1:15" x14ac:dyDescent="0.3">
      <c r="A160">
        <v>201812</v>
      </c>
      <c r="B160" s="3"/>
      <c r="C160" t="s">
        <v>18</v>
      </c>
      <c r="D160" s="2">
        <f>VLOOKUP(الحركات[[#This Row],[من صندوق]],Table5[],5,0)</f>
        <v>0</v>
      </c>
      <c r="E160" t="s">
        <v>15</v>
      </c>
      <c r="F160" s="2">
        <f>VLOOKUP(الحركات[[#This Row],[إلى صندوق]],Table5[[الصندوق]:[الرصيد الفعلي]],5,0)</f>
        <v>0</v>
      </c>
      <c r="G160" s="7">
        <f>IF(VLOOKUP(الحركات[إلى صندوق],Table1[],3,0)=0,VLOOKUP(الحركات[[#This Row],[من صندوق]],Table1[[الصندوق]:[القيمة الشهرية]],3,0),VLOOKUP(الحركات[إلى صندوق],Table1[],3,0))</f>
        <v>300</v>
      </c>
      <c r="H160">
        <v>300</v>
      </c>
      <c r="J160" t="s">
        <v>56</v>
      </c>
      <c r="L160" s="2"/>
      <c r="M160" s="2" t="str">
        <f>الحركات[من صندوق]&amp;"/"&amp;الحركات[إلى صندوق]</f>
        <v>الراتب/ملابس</v>
      </c>
      <c r="N160" s="2" t="str">
        <f>VLOOKUP(الحركات[من صندوق],Table1[],2,0)</f>
        <v>دخل</v>
      </c>
      <c r="O160" s="2" t="str">
        <f>VLOOKUP(الحركات[إلى صندوق],Table1[[الصندوق]:[نوعه]],2,0)</f>
        <v>صرف</v>
      </c>
    </row>
    <row r="161" spans="1:15" x14ac:dyDescent="0.3">
      <c r="A161">
        <v>201812</v>
      </c>
      <c r="B161" s="3"/>
      <c r="C161" t="s">
        <v>18</v>
      </c>
      <c r="D161" s="2">
        <f>VLOOKUP(الحركات[[#This Row],[من صندوق]],Table5[],5,0)</f>
        <v>0</v>
      </c>
      <c r="E161" t="s">
        <v>1</v>
      </c>
      <c r="F161" s="2">
        <f>VLOOKUP(الحركات[[#This Row],[إلى صندوق]],Table5[[الصندوق]:[الرصيد الفعلي]],5,0)</f>
        <v>0</v>
      </c>
      <c r="G161" s="7">
        <f>IF(VLOOKUP(الحركات[إلى صندوق],Table1[],3,0)=0,VLOOKUP(الحركات[[#This Row],[من صندوق]],Table1[[الصندوق]:[القيمة الشهرية]],3,0),VLOOKUP(الحركات[إلى صندوق],Table1[],3,0))</f>
        <v>200</v>
      </c>
      <c r="H161">
        <v>200</v>
      </c>
      <c r="J161" t="s">
        <v>57</v>
      </c>
      <c r="L161" s="2"/>
      <c r="M161" s="2" t="str">
        <f>الحركات[من صندوق]&amp;"/"&amp;الحركات[إلى صندوق]</f>
        <v>الراتب/هدايا</v>
      </c>
      <c r="N161" s="2" t="str">
        <f>VLOOKUP(الحركات[من صندوق],Table1[],2,0)</f>
        <v>دخل</v>
      </c>
      <c r="O161" s="2" t="str">
        <f>VLOOKUP(الحركات[إلى صندوق],Table1[[الصندوق]:[نوعه]],2,0)</f>
        <v>صرف</v>
      </c>
    </row>
    <row r="162" spans="1:15" x14ac:dyDescent="0.3">
      <c r="A162">
        <v>201812</v>
      </c>
      <c r="B162" s="3"/>
      <c r="C162" t="s">
        <v>18</v>
      </c>
      <c r="D162" s="2">
        <f>VLOOKUP(الحركات[[#This Row],[من صندوق]],Table5[],5,0)</f>
        <v>0</v>
      </c>
      <c r="E162" t="s">
        <v>4</v>
      </c>
      <c r="F162" s="2">
        <f>VLOOKUP(الحركات[[#This Row],[إلى صندوق]],Table5[[الصندوق]:[الرصيد الفعلي]],5,0)</f>
        <v>0</v>
      </c>
      <c r="G162" s="7">
        <f>IF(VLOOKUP(الحركات[إلى صندوق],Table1[],3,0)=0,VLOOKUP(الحركات[[#This Row],[من صندوق]],Table1[[الصندوق]:[القيمة الشهرية]],3,0),VLOOKUP(الحركات[إلى صندوق],Table1[],3,0))</f>
        <v>200</v>
      </c>
      <c r="H162">
        <v>200</v>
      </c>
      <c r="J162" t="s">
        <v>58</v>
      </c>
      <c r="L162" s="2"/>
      <c r="M162" s="2" t="str">
        <f>الحركات[من صندوق]&amp;"/"&amp;الحركات[إلى صندوق]</f>
        <v>الراتب/طوارئ</v>
      </c>
      <c r="N162" s="2" t="str">
        <f>VLOOKUP(الحركات[من صندوق],Table1[],2,0)</f>
        <v>دخل</v>
      </c>
      <c r="O162" s="2" t="str">
        <f>VLOOKUP(الحركات[إلى صندوق],Table1[[الصندوق]:[نوعه]],2,0)</f>
        <v>صرف</v>
      </c>
    </row>
    <row r="163" spans="1:15" x14ac:dyDescent="0.3">
      <c r="A163">
        <v>201801</v>
      </c>
      <c r="B163" s="3"/>
      <c r="C163" t="s">
        <v>11</v>
      </c>
      <c r="D163" s="8">
        <f>VLOOKUP(الحركات[[#This Row],[من صندوق]],Table5[],5,0)</f>
        <v>0</v>
      </c>
      <c r="E163" t="s">
        <v>14</v>
      </c>
      <c r="F163" s="8">
        <f>VLOOKUP(الحركات[[#This Row],[إلى صندوق]],Table5[[الصندوق]:[الرصيد الفعلي]],5,0)</f>
        <v>0</v>
      </c>
      <c r="G163" s="9">
        <f>IF(VLOOKUP(الحركات[إلى صندوق],Table1[],3,0)=0,VLOOKUP(الحركات[[#This Row],[من صندوق]],Table1[[الصندوق]:[القيمة الشهرية]],3,0),VLOOKUP(الحركات[إلى صندوق],Table1[],3,0))</f>
        <v>250</v>
      </c>
      <c r="H163">
        <v>250</v>
      </c>
      <c r="J163" t="s">
        <v>59</v>
      </c>
      <c r="L163" s="8"/>
      <c r="M163" s="8" t="str">
        <f>الحركات[من صندوق]&amp;"/"&amp;الحركات[إلى صندوق]</f>
        <v>فواتير/صرف</v>
      </c>
      <c r="N163" s="8" t="str">
        <f>VLOOKUP(الحركات[من صندوق],Table1[],2,0)</f>
        <v>صرف</v>
      </c>
      <c r="O163" s="8" t="str">
        <f>VLOOKUP(الحركات[إلى صندوق],Table1[[الصندوق]:[نوعه]],2,0)</f>
        <v>خارجي</v>
      </c>
    </row>
    <row r="164" spans="1:15" x14ac:dyDescent="0.3">
      <c r="A164">
        <v>201802</v>
      </c>
      <c r="B164" s="3"/>
      <c r="C164" t="s">
        <v>11</v>
      </c>
      <c r="D164" s="8">
        <f>VLOOKUP(الحركات[[#This Row],[من صندوق]],Table5[],5,0)</f>
        <v>0</v>
      </c>
      <c r="E164" t="s">
        <v>14</v>
      </c>
      <c r="F164" s="8">
        <f>VLOOKUP(الحركات[[#This Row],[إلى صندوق]],Table5[[الصندوق]:[الرصيد الفعلي]],5,0)</f>
        <v>0</v>
      </c>
      <c r="G164" s="9">
        <f>IF(VLOOKUP(الحركات[إلى صندوق],Table1[],3,0)=0,VLOOKUP(الحركات[[#This Row],[من صندوق]],Table1[[الصندوق]:[القيمة الشهرية]],3,0),VLOOKUP(الحركات[إلى صندوق],Table1[],3,0))</f>
        <v>250</v>
      </c>
      <c r="H164">
        <v>250</v>
      </c>
      <c r="J164" t="s">
        <v>59</v>
      </c>
      <c r="L164" s="8"/>
      <c r="M164" s="8" t="str">
        <f>الحركات[من صندوق]&amp;"/"&amp;الحركات[إلى صندوق]</f>
        <v>فواتير/صرف</v>
      </c>
      <c r="N164" s="8" t="str">
        <f>VLOOKUP(الحركات[من صندوق],Table1[],2,0)</f>
        <v>صرف</v>
      </c>
      <c r="O164" s="8" t="str">
        <f>VLOOKUP(الحركات[إلى صندوق],Table1[[الصندوق]:[نوعه]],2,0)</f>
        <v>خارجي</v>
      </c>
    </row>
    <row r="165" spans="1:15" x14ac:dyDescent="0.3">
      <c r="A165">
        <v>201803</v>
      </c>
      <c r="B165" s="3"/>
      <c r="C165" t="s">
        <v>11</v>
      </c>
      <c r="D165" s="8">
        <f>VLOOKUP(الحركات[[#This Row],[من صندوق]],Table5[],5,0)</f>
        <v>0</v>
      </c>
      <c r="E165" t="s">
        <v>14</v>
      </c>
      <c r="F165" s="8">
        <f>VLOOKUP(الحركات[[#This Row],[إلى صندوق]],Table5[[الصندوق]:[الرصيد الفعلي]],5,0)</f>
        <v>0</v>
      </c>
      <c r="G165" s="9">
        <f>IF(VLOOKUP(الحركات[إلى صندوق],Table1[],3,0)=0,VLOOKUP(الحركات[[#This Row],[من صندوق]],Table1[[الصندوق]:[القيمة الشهرية]],3,0),VLOOKUP(الحركات[إلى صندوق],Table1[],3,0))</f>
        <v>250</v>
      </c>
      <c r="H165">
        <v>250</v>
      </c>
      <c r="J165" t="s">
        <v>59</v>
      </c>
      <c r="L165" s="8"/>
      <c r="M165" s="8" t="str">
        <f>الحركات[من صندوق]&amp;"/"&amp;الحركات[إلى صندوق]</f>
        <v>فواتير/صرف</v>
      </c>
      <c r="N165" s="8" t="str">
        <f>VLOOKUP(الحركات[من صندوق],Table1[],2,0)</f>
        <v>صرف</v>
      </c>
      <c r="O165" s="8" t="str">
        <f>VLOOKUP(الحركات[إلى صندوق],Table1[[الصندوق]:[نوعه]],2,0)</f>
        <v>خارجي</v>
      </c>
    </row>
    <row r="166" spans="1:15" x14ac:dyDescent="0.3">
      <c r="A166">
        <v>201804</v>
      </c>
      <c r="B166" s="3"/>
      <c r="C166" t="s">
        <v>11</v>
      </c>
      <c r="D166" s="8">
        <f>VLOOKUP(الحركات[[#This Row],[من صندوق]],Table5[],5,0)</f>
        <v>0</v>
      </c>
      <c r="E166" t="s">
        <v>14</v>
      </c>
      <c r="F166" s="8">
        <f>VLOOKUP(الحركات[[#This Row],[إلى صندوق]],Table5[[الصندوق]:[الرصيد الفعلي]],5,0)</f>
        <v>0</v>
      </c>
      <c r="G166" s="9">
        <f>IF(VLOOKUP(الحركات[إلى صندوق],Table1[],3,0)=0,VLOOKUP(الحركات[[#This Row],[من صندوق]],Table1[[الصندوق]:[القيمة الشهرية]],3,0),VLOOKUP(الحركات[إلى صندوق],Table1[],3,0))</f>
        <v>250</v>
      </c>
      <c r="H166">
        <v>250</v>
      </c>
      <c r="J166" t="s">
        <v>59</v>
      </c>
      <c r="L166" s="8"/>
      <c r="M166" s="8" t="str">
        <f>الحركات[من صندوق]&amp;"/"&amp;الحركات[إلى صندوق]</f>
        <v>فواتير/صرف</v>
      </c>
      <c r="N166" s="8" t="str">
        <f>VLOOKUP(الحركات[من صندوق],Table1[],2,0)</f>
        <v>صرف</v>
      </c>
      <c r="O166" s="8" t="str">
        <f>VLOOKUP(الحركات[إلى صندوق],Table1[[الصندوق]:[نوعه]],2,0)</f>
        <v>خارجي</v>
      </c>
    </row>
    <row r="167" spans="1:15" x14ac:dyDescent="0.3">
      <c r="A167">
        <v>201805</v>
      </c>
      <c r="B167" s="3"/>
      <c r="C167" t="s">
        <v>11</v>
      </c>
      <c r="D167" s="8">
        <f>VLOOKUP(الحركات[[#This Row],[من صندوق]],Table5[],5,0)</f>
        <v>0</v>
      </c>
      <c r="E167" t="s">
        <v>14</v>
      </c>
      <c r="F167" s="8">
        <f>VLOOKUP(الحركات[[#This Row],[إلى صندوق]],Table5[[الصندوق]:[الرصيد الفعلي]],5,0)</f>
        <v>0</v>
      </c>
      <c r="G167" s="9">
        <f>IF(VLOOKUP(الحركات[إلى صندوق],Table1[],3,0)=0,VLOOKUP(الحركات[[#This Row],[من صندوق]],Table1[[الصندوق]:[القيمة الشهرية]],3,0),VLOOKUP(الحركات[إلى صندوق],Table1[],3,0))</f>
        <v>250</v>
      </c>
      <c r="H167">
        <v>250</v>
      </c>
      <c r="J167" t="s">
        <v>59</v>
      </c>
      <c r="L167" s="8"/>
      <c r="M167" s="8" t="str">
        <f>الحركات[من صندوق]&amp;"/"&amp;الحركات[إلى صندوق]</f>
        <v>فواتير/صرف</v>
      </c>
      <c r="N167" s="8" t="str">
        <f>VLOOKUP(الحركات[من صندوق],Table1[],2,0)</f>
        <v>صرف</v>
      </c>
      <c r="O167" s="8" t="str">
        <f>VLOOKUP(الحركات[إلى صندوق],Table1[[الصندوق]:[نوعه]],2,0)</f>
        <v>خارجي</v>
      </c>
    </row>
    <row r="168" spans="1:15" x14ac:dyDescent="0.3">
      <c r="A168">
        <v>201806</v>
      </c>
      <c r="B168" s="3"/>
      <c r="C168" t="s">
        <v>11</v>
      </c>
      <c r="D168" s="8">
        <f>VLOOKUP(الحركات[[#This Row],[من صندوق]],Table5[],5,0)</f>
        <v>0</v>
      </c>
      <c r="E168" t="s">
        <v>14</v>
      </c>
      <c r="F168" s="8">
        <f>VLOOKUP(الحركات[[#This Row],[إلى صندوق]],Table5[[الصندوق]:[الرصيد الفعلي]],5,0)</f>
        <v>0</v>
      </c>
      <c r="G168" s="9">
        <f>IF(VLOOKUP(الحركات[إلى صندوق],Table1[],3,0)=0,VLOOKUP(الحركات[[#This Row],[من صندوق]],Table1[[الصندوق]:[القيمة الشهرية]],3,0),VLOOKUP(الحركات[إلى صندوق],Table1[],3,0))</f>
        <v>250</v>
      </c>
      <c r="H168">
        <v>250</v>
      </c>
      <c r="J168" t="s">
        <v>59</v>
      </c>
      <c r="L168" s="8"/>
      <c r="M168" s="8" t="str">
        <f>الحركات[من صندوق]&amp;"/"&amp;الحركات[إلى صندوق]</f>
        <v>فواتير/صرف</v>
      </c>
      <c r="N168" s="8" t="str">
        <f>VLOOKUP(الحركات[من صندوق],Table1[],2,0)</f>
        <v>صرف</v>
      </c>
      <c r="O168" s="8" t="str">
        <f>VLOOKUP(الحركات[إلى صندوق],Table1[[الصندوق]:[نوعه]],2,0)</f>
        <v>خارجي</v>
      </c>
    </row>
    <row r="169" spans="1:15" x14ac:dyDescent="0.3">
      <c r="A169">
        <v>201807</v>
      </c>
      <c r="B169" s="3"/>
      <c r="C169" t="s">
        <v>11</v>
      </c>
      <c r="D169" s="8">
        <f>VLOOKUP(الحركات[[#This Row],[من صندوق]],Table5[],5,0)</f>
        <v>0</v>
      </c>
      <c r="E169" t="s">
        <v>14</v>
      </c>
      <c r="F169" s="8">
        <f>VLOOKUP(الحركات[[#This Row],[إلى صندوق]],Table5[[الصندوق]:[الرصيد الفعلي]],5,0)</f>
        <v>0</v>
      </c>
      <c r="G169" s="9">
        <f>IF(VLOOKUP(الحركات[إلى صندوق],Table1[],3,0)=0,VLOOKUP(الحركات[[#This Row],[من صندوق]],Table1[[الصندوق]:[القيمة الشهرية]],3,0),VLOOKUP(الحركات[إلى صندوق],Table1[],3,0))</f>
        <v>250</v>
      </c>
      <c r="H169">
        <v>250</v>
      </c>
      <c r="J169" t="s">
        <v>59</v>
      </c>
      <c r="L169" s="8"/>
      <c r="M169" s="8" t="str">
        <f>الحركات[من صندوق]&amp;"/"&amp;الحركات[إلى صندوق]</f>
        <v>فواتير/صرف</v>
      </c>
      <c r="N169" s="8" t="str">
        <f>VLOOKUP(الحركات[من صندوق],Table1[],2,0)</f>
        <v>صرف</v>
      </c>
      <c r="O169" s="8" t="str">
        <f>VLOOKUP(الحركات[إلى صندوق],Table1[[الصندوق]:[نوعه]],2,0)</f>
        <v>خارجي</v>
      </c>
    </row>
    <row r="170" spans="1:15" x14ac:dyDescent="0.3">
      <c r="A170">
        <v>201808</v>
      </c>
      <c r="B170" s="3"/>
      <c r="C170" t="s">
        <v>11</v>
      </c>
      <c r="D170" s="8">
        <f>VLOOKUP(الحركات[[#This Row],[من صندوق]],Table5[],5,0)</f>
        <v>0</v>
      </c>
      <c r="E170" t="s">
        <v>14</v>
      </c>
      <c r="F170" s="8">
        <f>VLOOKUP(الحركات[[#This Row],[إلى صندوق]],Table5[[الصندوق]:[الرصيد الفعلي]],5,0)</f>
        <v>0</v>
      </c>
      <c r="G170" s="9">
        <f>IF(VLOOKUP(الحركات[إلى صندوق],Table1[],3,0)=0,VLOOKUP(الحركات[[#This Row],[من صندوق]],Table1[[الصندوق]:[القيمة الشهرية]],3,0),VLOOKUP(الحركات[إلى صندوق],Table1[],3,0))</f>
        <v>250</v>
      </c>
      <c r="H170">
        <v>250</v>
      </c>
      <c r="J170" t="s">
        <v>59</v>
      </c>
      <c r="L170" s="8"/>
      <c r="M170" s="8" t="str">
        <f>الحركات[من صندوق]&amp;"/"&amp;الحركات[إلى صندوق]</f>
        <v>فواتير/صرف</v>
      </c>
      <c r="N170" s="8" t="str">
        <f>VLOOKUP(الحركات[من صندوق],Table1[],2,0)</f>
        <v>صرف</v>
      </c>
      <c r="O170" s="8" t="str">
        <f>VLOOKUP(الحركات[إلى صندوق],Table1[[الصندوق]:[نوعه]],2,0)</f>
        <v>خارجي</v>
      </c>
    </row>
    <row r="171" spans="1:15" x14ac:dyDescent="0.3">
      <c r="A171">
        <v>201809</v>
      </c>
      <c r="B171" s="3"/>
      <c r="C171" t="s">
        <v>11</v>
      </c>
      <c r="D171" s="8">
        <f>VLOOKUP(الحركات[[#This Row],[من صندوق]],Table5[],5,0)</f>
        <v>0</v>
      </c>
      <c r="E171" t="s">
        <v>14</v>
      </c>
      <c r="F171" s="8">
        <f>VLOOKUP(الحركات[[#This Row],[إلى صندوق]],Table5[[الصندوق]:[الرصيد الفعلي]],5,0)</f>
        <v>0</v>
      </c>
      <c r="G171" s="9">
        <f>IF(VLOOKUP(الحركات[إلى صندوق],Table1[],3,0)=0,VLOOKUP(الحركات[[#This Row],[من صندوق]],Table1[[الصندوق]:[القيمة الشهرية]],3,0),VLOOKUP(الحركات[إلى صندوق],Table1[],3,0))</f>
        <v>250</v>
      </c>
      <c r="H171">
        <v>250</v>
      </c>
      <c r="J171" t="s">
        <v>59</v>
      </c>
      <c r="L171" s="8"/>
      <c r="M171" s="8" t="str">
        <f>الحركات[من صندوق]&amp;"/"&amp;الحركات[إلى صندوق]</f>
        <v>فواتير/صرف</v>
      </c>
      <c r="N171" s="8" t="str">
        <f>VLOOKUP(الحركات[من صندوق],Table1[],2,0)</f>
        <v>صرف</v>
      </c>
      <c r="O171" s="8" t="str">
        <f>VLOOKUP(الحركات[إلى صندوق],Table1[[الصندوق]:[نوعه]],2,0)</f>
        <v>خارجي</v>
      </c>
    </row>
    <row r="172" spans="1:15" x14ac:dyDescent="0.3">
      <c r="A172">
        <v>201810</v>
      </c>
      <c r="B172" s="3"/>
      <c r="C172" t="s">
        <v>11</v>
      </c>
      <c r="D172" s="8">
        <f>VLOOKUP(الحركات[[#This Row],[من صندوق]],Table5[],5,0)</f>
        <v>0</v>
      </c>
      <c r="E172" t="s">
        <v>14</v>
      </c>
      <c r="F172" s="8">
        <f>VLOOKUP(الحركات[[#This Row],[إلى صندوق]],Table5[[الصندوق]:[الرصيد الفعلي]],5,0)</f>
        <v>0</v>
      </c>
      <c r="G172" s="9">
        <f>IF(VLOOKUP(الحركات[إلى صندوق],Table1[],3,0)=0,VLOOKUP(الحركات[[#This Row],[من صندوق]],Table1[[الصندوق]:[القيمة الشهرية]],3,0),VLOOKUP(الحركات[إلى صندوق],Table1[],3,0))</f>
        <v>250</v>
      </c>
      <c r="H172">
        <v>250</v>
      </c>
      <c r="J172" t="s">
        <v>59</v>
      </c>
      <c r="L172" s="8"/>
      <c r="M172" s="8" t="str">
        <f>الحركات[من صندوق]&amp;"/"&amp;الحركات[إلى صندوق]</f>
        <v>فواتير/صرف</v>
      </c>
      <c r="N172" s="8" t="str">
        <f>VLOOKUP(الحركات[من صندوق],Table1[],2,0)</f>
        <v>صرف</v>
      </c>
      <c r="O172" s="8" t="str">
        <f>VLOOKUP(الحركات[إلى صندوق],Table1[[الصندوق]:[نوعه]],2,0)</f>
        <v>خارجي</v>
      </c>
    </row>
    <row r="173" spans="1:15" x14ac:dyDescent="0.3">
      <c r="A173">
        <v>201811</v>
      </c>
      <c r="B173" s="3"/>
      <c r="C173" t="s">
        <v>11</v>
      </c>
      <c r="D173" s="8">
        <f>VLOOKUP(الحركات[[#This Row],[من صندوق]],Table5[],5,0)</f>
        <v>0</v>
      </c>
      <c r="E173" t="s">
        <v>14</v>
      </c>
      <c r="F173" s="8">
        <f>VLOOKUP(الحركات[[#This Row],[إلى صندوق]],Table5[[الصندوق]:[الرصيد الفعلي]],5,0)</f>
        <v>0</v>
      </c>
      <c r="G173" s="9">
        <f>IF(VLOOKUP(الحركات[إلى صندوق],Table1[],3,0)=0,VLOOKUP(الحركات[[#This Row],[من صندوق]],Table1[[الصندوق]:[القيمة الشهرية]],3,0),VLOOKUP(الحركات[إلى صندوق],Table1[],3,0))</f>
        <v>250</v>
      </c>
      <c r="H173">
        <v>250</v>
      </c>
      <c r="J173" t="s">
        <v>59</v>
      </c>
      <c r="L173" s="8"/>
      <c r="M173" s="8" t="str">
        <f>الحركات[من صندوق]&amp;"/"&amp;الحركات[إلى صندوق]</f>
        <v>فواتير/صرف</v>
      </c>
      <c r="N173" s="8" t="str">
        <f>VLOOKUP(الحركات[من صندوق],Table1[],2,0)</f>
        <v>صرف</v>
      </c>
      <c r="O173" s="8" t="str">
        <f>VLOOKUP(الحركات[إلى صندوق],Table1[[الصندوق]:[نوعه]],2,0)</f>
        <v>خارجي</v>
      </c>
    </row>
    <row r="174" spans="1:15" x14ac:dyDescent="0.3">
      <c r="A174">
        <v>201812</v>
      </c>
      <c r="B174" s="3"/>
      <c r="C174" t="s">
        <v>11</v>
      </c>
      <c r="D174" s="8">
        <f>VLOOKUP(الحركات[[#This Row],[من صندوق]],Table5[],5,0)</f>
        <v>0</v>
      </c>
      <c r="E174" t="s">
        <v>14</v>
      </c>
      <c r="F174" s="8">
        <f>VLOOKUP(الحركات[[#This Row],[إلى صندوق]],Table5[[الصندوق]:[الرصيد الفعلي]],5,0)</f>
        <v>0</v>
      </c>
      <c r="G174" s="9">
        <f>IF(VLOOKUP(الحركات[إلى صندوق],Table1[],3,0)=0,VLOOKUP(الحركات[[#This Row],[من صندوق]],Table1[[الصندوق]:[القيمة الشهرية]],3,0),VLOOKUP(الحركات[إلى صندوق],Table1[],3,0))</f>
        <v>250</v>
      </c>
      <c r="H174">
        <v>250</v>
      </c>
      <c r="J174" t="s">
        <v>59</v>
      </c>
      <c r="L174" s="8"/>
      <c r="M174" s="8" t="str">
        <f>الحركات[من صندوق]&amp;"/"&amp;الحركات[إلى صندوق]</f>
        <v>فواتير/صرف</v>
      </c>
      <c r="N174" s="8" t="str">
        <f>VLOOKUP(الحركات[من صندوق],Table1[],2,0)</f>
        <v>صرف</v>
      </c>
      <c r="O174" s="8" t="str">
        <f>VLOOKUP(الحركات[إلى صندوق],Table1[[الصندوق]:[نوعه]],2,0)</f>
        <v>خارجي</v>
      </c>
    </row>
    <row r="175" spans="1:15" x14ac:dyDescent="0.3">
      <c r="A175">
        <v>201801</v>
      </c>
      <c r="B175" s="3"/>
      <c r="C175" t="s">
        <v>13</v>
      </c>
      <c r="D175" s="8">
        <f>VLOOKUP(الحركات[[#This Row],[من صندوق]],Table5[],5,0)</f>
        <v>0</v>
      </c>
      <c r="E175" t="s">
        <v>14</v>
      </c>
      <c r="F175" s="8">
        <f>VLOOKUP(الحركات[[#This Row],[إلى صندوق]],Table5[[الصندوق]:[الرصيد الفعلي]],5,0)</f>
        <v>0</v>
      </c>
      <c r="G175" s="9">
        <f>IF(VLOOKUP(الحركات[إلى صندوق],Table1[],3,0)=0,VLOOKUP(الحركات[[#This Row],[من صندوق]],Table1[[الصندوق]:[القيمة الشهرية]],3,0),VLOOKUP(الحركات[إلى صندوق],Table1[],3,0))</f>
        <v>4000</v>
      </c>
      <c r="H175">
        <v>4000</v>
      </c>
      <c r="J175" t="s">
        <v>60</v>
      </c>
      <c r="L175" s="8"/>
      <c r="M175" s="8" t="str">
        <f>الحركات[من صندوق]&amp;"/"&amp;الحركات[إلى صندوق]</f>
        <v>مصاريف شهرية/صرف</v>
      </c>
      <c r="N175" s="8" t="str">
        <f>VLOOKUP(الحركات[من صندوق],Table1[],2,0)</f>
        <v>صرف</v>
      </c>
      <c r="O175" s="8" t="str">
        <f>VLOOKUP(الحركات[إلى صندوق],Table1[[الصندوق]:[نوعه]],2,0)</f>
        <v>خارجي</v>
      </c>
    </row>
    <row r="176" spans="1:15" x14ac:dyDescent="0.3">
      <c r="A176">
        <v>201802</v>
      </c>
      <c r="B176" s="3"/>
      <c r="C176" t="s">
        <v>13</v>
      </c>
      <c r="D176" s="8">
        <f>VLOOKUP(الحركات[[#This Row],[من صندوق]],Table5[],5,0)</f>
        <v>0</v>
      </c>
      <c r="E176" t="s">
        <v>14</v>
      </c>
      <c r="F176" s="8">
        <f>VLOOKUP(الحركات[[#This Row],[إلى صندوق]],Table5[[الصندوق]:[الرصيد الفعلي]],5,0)</f>
        <v>0</v>
      </c>
      <c r="G176" s="9">
        <f>IF(VLOOKUP(الحركات[إلى صندوق],Table1[],3,0)=0,VLOOKUP(الحركات[[#This Row],[من صندوق]],Table1[[الصندوق]:[القيمة الشهرية]],3,0),VLOOKUP(الحركات[إلى صندوق],Table1[],3,0))</f>
        <v>4000</v>
      </c>
      <c r="H176">
        <v>4000</v>
      </c>
      <c r="J176" t="s">
        <v>60</v>
      </c>
      <c r="L176" s="8"/>
      <c r="M176" s="8" t="str">
        <f>الحركات[من صندوق]&amp;"/"&amp;الحركات[إلى صندوق]</f>
        <v>مصاريف شهرية/صرف</v>
      </c>
      <c r="N176" s="8" t="str">
        <f>VLOOKUP(الحركات[من صندوق],Table1[],2,0)</f>
        <v>صرف</v>
      </c>
      <c r="O176" s="8" t="str">
        <f>VLOOKUP(الحركات[إلى صندوق],Table1[[الصندوق]:[نوعه]],2,0)</f>
        <v>خارجي</v>
      </c>
    </row>
    <row r="177" spans="1:15" x14ac:dyDescent="0.3">
      <c r="A177">
        <v>201803</v>
      </c>
      <c r="B177" s="3"/>
      <c r="C177" t="s">
        <v>13</v>
      </c>
      <c r="D177" s="8">
        <f>VLOOKUP(الحركات[[#This Row],[من صندوق]],Table5[],5,0)</f>
        <v>0</v>
      </c>
      <c r="E177" t="s">
        <v>14</v>
      </c>
      <c r="F177" s="8">
        <f>VLOOKUP(الحركات[[#This Row],[إلى صندوق]],Table5[[الصندوق]:[الرصيد الفعلي]],5,0)</f>
        <v>0</v>
      </c>
      <c r="G177" s="9">
        <f>IF(VLOOKUP(الحركات[إلى صندوق],Table1[],3,0)=0,VLOOKUP(الحركات[[#This Row],[من صندوق]],Table1[[الصندوق]:[القيمة الشهرية]],3,0),VLOOKUP(الحركات[إلى صندوق],Table1[],3,0))</f>
        <v>4000</v>
      </c>
      <c r="H177">
        <v>4000</v>
      </c>
      <c r="J177" t="s">
        <v>60</v>
      </c>
      <c r="L177" s="8"/>
      <c r="M177" s="8" t="str">
        <f>الحركات[من صندوق]&amp;"/"&amp;الحركات[إلى صندوق]</f>
        <v>مصاريف شهرية/صرف</v>
      </c>
      <c r="N177" s="8" t="str">
        <f>VLOOKUP(الحركات[من صندوق],Table1[],2,0)</f>
        <v>صرف</v>
      </c>
      <c r="O177" s="8" t="str">
        <f>VLOOKUP(الحركات[إلى صندوق],Table1[[الصندوق]:[نوعه]],2,0)</f>
        <v>خارجي</v>
      </c>
    </row>
    <row r="178" spans="1:15" x14ac:dyDescent="0.3">
      <c r="A178">
        <v>201804</v>
      </c>
      <c r="B178" s="3"/>
      <c r="C178" t="s">
        <v>13</v>
      </c>
      <c r="D178" s="8">
        <f>VLOOKUP(الحركات[[#This Row],[من صندوق]],Table5[],5,0)</f>
        <v>0</v>
      </c>
      <c r="E178" t="s">
        <v>14</v>
      </c>
      <c r="F178" s="8">
        <f>VLOOKUP(الحركات[[#This Row],[إلى صندوق]],Table5[[الصندوق]:[الرصيد الفعلي]],5,0)</f>
        <v>0</v>
      </c>
      <c r="G178" s="9">
        <f>IF(VLOOKUP(الحركات[إلى صندوق],Table1[],3,0)=0,VLOOKUP(الحركات[[#This Row],[من صندوق]],Table1[[الصندوق]:[القيمة الشهرية]],3,0),VLOOKUP(الحركات[إلى صندوق],Table1[],3,0))</f>
        <v>4000</v>
      </c>
      <c r="H178">
        <v>4000</v>
      </c>
      <c r="J178" t="s">
        <v>60</v>
      </c>
      <c r="L178" s="8"/>
      <c r="M178" s="8" t="str">
        <f>الحركات[من صندوق]&amp;"/"&amp;الحركات[إلى صندوق]</f>
        <v>مصاريف شهرية/صرف</v>
      </c>
      <c r="N178" s="8" t="str">
        <f>VLOOKUP(الحركات[من صندوق],Table1[],2,0)</f>
        <v>صرف</v>
      </c>
      <c r="O178" s="8" t="str">
        <f>VLOOKUP(الحركات[إلى صندوق],Table1[[الصندوق]:[نوعه]],2,0)</f>
        <v>خارجي</v>
      </c>
    </row>
    <row r="179" spans="1:15" x14ac:dyDescent="0.3">
      <c r="A179">
        <v>201805</v>
      </c>
      <c r="B179" s="3"/>
      <c r="C179" t="s">
        <v>13</v>
      </c>
      <c r="D179" s="8">
        <f>VLOOKUP(الحركات[[#This Row],[من صندوق]],Table5[],5,0)</f>
        <v>0</v>
      </c>
      <c r="E179" t="s">
        <v>14</v>
      </c>
      <c r="F179" s="8">
        <f>VLOOKUP(الحركات[[#This Row],[إلى صندوق]],Table5[[الصندوق]:[الرصيد الفعلي]],5,0)</f>
        <v>0</v>
      </c>
      <c r="G179" s="9">
        <f>IF(VLOOKUP(الحركات[إلى صندوق],Table1[],3,0)=0,VLOOKUP(الحركات[[#This Row],[من صندوق]],Table1[[الصندوق]:[القيمة الشهرية]],3,0),VLOOKUP(الحركات[إلى صندوق],Table1[],3,0))</f>
        <v>4000</v>
      </c>
      <c r="H179">
        <v>4000</v>
      </c>
      <c r="J179" t="s">
        <v>60</v>
      </c>
      <c r="L179" s="8"/>
      <c r="M179" s="8" t="str">
        <f>الحركات[من صندوق]&amp;"/"&amp;الحركات[إلى صندوق]</f>
        <v>مصاريف شهرية/صرف</v>
      </c>
      <c r="N179" s="8" t="str">
        <f>VLOOKUP(الحركات[من صندوق],Table1[],2,0)</f>
        <v>صرف</v>
      </c>
      <c r="O179" s="8" t="str">
        <f>VLOOKUP(الحركات[إلى صندوق],Table1[[الصندوق]:[نوعه]],2,0)</f>
        <v>خارجي</v>
      </c>
    </row>
    <row r="180" spans="1:15" x14ac:dyDescent="0.3">
      <c r="A180">
        <v>201806</v>
      </c>
      <c r="B180" s="3"/>
      <c r="C180" t="s">
        <v>13</v>
      </c>
      <c r="D180" s="8">
        <f>VLOOKUP(الحركات[[#This Row],[من صندوق]],Table5[],5,0)</f>
        <v>0</v>
      </c>
      <c r="E180" t="s">
        <v>14</v>
      </c>
      <c r="F180" s="8">
        <f>VLOOKUP(الحركات[[#This Row],[إلى صندوق]],Table5[[الصندوق]:[الرصيد الفعلي]],5,0)</f>
        <v>0</v>
      </c>
      <c r="G180" s="9">
        <f>IF(VLOOKUP(الحركات[إلى صندوق],Table1[],3,0)=0,VLOOKUP(الحركات[[#This Row],[من صندوق]],Table1[[الصندوق]:[القيمة الشهرية]],3,0),VLOOKUP(الحركات[إلى صندوق],Table1[],3,0))</f>
        <v>4000</v>
      </c>
      <c r="H180">
        <v>4000</v>
      </c>
      <c r="J180" t="s">
        <v>60</v>
      </c>
      <c r="L180" s="8"/>
      <c r="M180" s="8" t="str">
        <f>الحركات[من صندوق]&amp;"/"&amp;الحركات[إلى صندوق]</f>
        <v>مصاريف شهرية/صرف</v>
      </c>
      <c r="N180" s="8" t="str">
        <f>VLOOKUP(الحركات[من صندوق],Table1[],2,0)</f>
        <v>صرف</v>
      </c>
      <c r="O180" s="8" t="str">
        <f>VLOOKUP(الحركات[إلى صندوق],Table1[[الصندوق]:[نوعه]],2,0)</f>
        <v>خارجي</v>
      </c>
    </row>
    <row r="181" spans="1:15" x14ac:dyDescent="0.3">
      <c r="A181">
        <v>201807</v>
      </c>
      <c r="B181" s="3"/>
      <c r="C181" t="s">
        <v>13</v>
      </c>
      <c r="D181" s="8">
        <f>VLOOKUP(الحركات[[#This Row],[من صندوق]],Table5[],5,0)</f>
        <v>0</v>
      </c>
      <c r="E181" t="s">
        <v>14</v>
      </c>
      <c r="F181" s="8">
        <f>VLOOKUP(الحركات[[#This Row],[إلى صندوق]],Table5[[الصندوق]:[الرصيد الفعلي]],5,0)</f>
        <v>0</v>
      </c>
      <c r="G181" s="9">
        <f>IF(VLOOKUP(الحركات[إلى صندوق],Table1[],3,0)=0,VLOOKUP(الحركات[[#This Row],[من صندوق]],Table1[[الصندوق]:[القيمة الشهرية]],3,0),VLOOKUP(الحركات[إلى صندوق],Table1[],3,0))</f>
        <v>4000</v>
      </c>
      <c r="H181">
        <v>4000</v>
      </c>
      <c r="J181" t="s">
        <v>60</v>
      </c>
      <c r="L181" s="8"/>
      <c r="M181" s="8" t="str">
        <f>الحركات[من صندوق]&amp;"/"&amp;الحركات[إلى صندوق]</f>
        <v>مصاريف شهرية/صرف</v>
      </c>
      <c r="N181" s="8" t="str">
        <f>VLOOKUP(الحركات[من صندوق],Table1[],2,0)</f>
        <v>صرف</v>
      </c>
      <c r="O181" s="8" t="str">
        <f>VLOOKUP(الحركات[إلى صندوق],Table1[[الصندوق]:[نوعه]],2,0)</f>
        <v>خارجي</v>
      </c>
    </row>
    <row r="182" spans="1:15" x14ac:dyDescent="0.3">
      <c r="A182">
        <v>201808</v>
      </c>
      <c r="B182" s="3"/>
      <c r="C182" t="s">
        <v>13</v>
      </c>
      <c r="D182" s="8">
        <f>VLOOKUP(الحركات[[#This Row],[من صندوق]],Table5[],5,0)</f>
        <v>0</v>
      </c>
      <c r="E182" t="s">
        <v>14</v>
      </c>
      <c r="F182" s="8">
        <f>VLOOKUP(الحركات[[#This Row],[إلى صندوق]],Table5[[الصندوق]:[الرصيد الفعلي]],5,0)</f>
        <v>0</v>
      </c>
      <c r="G182" s="9">
        <f>IF(VLOOKUP(الحركات[إلى صندوق],Table1[],3,0)=0,VLOOKUP(الحركات[[#This Row],[من صندوق]],Table1[[الصندوق]:[القيمة الشهرية]],3,0),VLOOKUP(الحركات[إلى صندوق],Table1[],3,0))</f>
        <v>4000</v>
      </c>
      <c r="H182">
        <v>4000</v>
      </c>
      <c r="J182" t="s">
        <v>60</v>
      </c>
      <c r="L182" s="8"/>
      <c r="M182" s="8" t="str">
        <f>الحركات[من صندوق]&amp;"/"&amp;الحركات[إلى صندوق]</f>
        <v>مصاريف شهرية/صرف</v>
      </c>
      <c r="N182" s="8" t="str">
        <f>VLOOKUP(الحركات[من صندوق],Table1[],2,0)</f>
        <v>صرف</v>
      </c>
      <c r="O182" s="8" t="str">
        <f>VLOOKUP(الحركات[إلى صندوق],Table1[[الصندوق]:[نوعه]],2,0)</f>
        <v>خارجي</v>
      </c>
    </row>
    <row r="183" spans="1:15" x14ac:dyDescent="0.3">
      <c r="A183">
        <v>201809</v>
      </c>
      <c r="B183" s="3"/>
      <c r="C183" t="s">
        <v>13</v>
      </c>
      <c r="D183" s="8">
        <f>VLOOKUP(الحركات[[#This Row],[من صندوق]],Table5[],5,0)</f>
        <v>0</v>
      </c>
      <c r="E183" t="s">
        <v>14</v>
      </c>
      <c r="F183" s="8">
        <f>VLOOKUP(الحركات[[#This Row],[إلى صندوق]],Table5[[الصندوق]:[الرصيد الفعلي]],5,0)</f>
        <v>0</v>
      </c>
      <c r="G183" s="9">
        <f>IF(VLOOKUP(الحركات[إلى صندوق],Table1[],3,0)=0,VLOOKUP(الحركات[[#This Row],[من صندوق]],Table1[[الصندوق]:[القيمة الشهرية]],3,0),VLOOKUP(الحركات[إلى صندوق],Table1[],3,0))</f>
        <v>4000</v>
      </c>
      <c r="H183">
        <v>4000</v>
      </c>
      <c r="J183" t="s">
        <v>60</v>
      </c>
      <c r="L183" s="8"/>
      <c r="M183" s="8" t="str">
        <f>الحركات[من صندوق]&amp;"/"&amp;الحركات[إلى صندوق]</f>
        <v>مصاريف شهرية/صرف</v>
      </c>
      <c r="N183" s="8" t="str">
        <f>VLOOKUP(الحركات[من صندوق],Table1[],2,0)</f>
        <v>صرف</v>
      </c>
      <c r="O183" s="8" t="str">
        <f>VLOOKUP(الحركات[إلى صندوق],Table1[[الصندوق]:[نوعه]],2,0)</f>
        <v>خارجي</v>
      </c>
    </row>
    <row r="184" spans="1:15" x14ac:dyDescent="0.3">
      <c r="A184">
        <v>201810</v>
      </c>
      <c r="B184" s="3"/>
      <c r="C184" t="s">
        <v>13</v>
      </c>
      <c r="D184" s="8">
        <f>VLOOKUP(الحركات[[#This Row],[من صندوق]],Table5[],5,0)</f>
        <v>0</v>
      </c>
      <c r="E184" t="s">
        <v>14</v>
      </c>
      <c r="F184" s="8">
        <f>VLOOKUP(الحركات[[#This Row],[إلى صندوق]],Table5[[الصندوق]:[الرصيد الفعلي]],5,0)</f>
        <v>0</v>
      </c>
      <c r="G184" s="9">
        <f>IF(VLOOKUP(الحركات[إلى صندوق],Table1[],3,0)=0,VLOOKUP(الحركات[[#This Row],[من صندوق]],Table1[[الصندوق]:[القيمة الشهرية]],3,0),VLOOKUP(الحركات[إلى صندوق],Table1[],3,0))</f>
        <v>4000</v>
      </c>
      <c r="H184">
        <v>4000</v>
      </c>
      <c r="J184" t="s">
        <v>60</v>
      </c>
      <c r="L184" s="8"/>
      <c r="M184" s="8" t="str">
        <f>الحركات[من صندوق]&amp;"/"&amp;الحركات[إلى صندوق]</f>
        <v>مصاريف شهرية/صرف</v>
      </c>
      <c r="N184" s="8" t="str">
        <f>VLOOKUP(الحركات[من صندوق],Table1[],2,0)</f>
        <v>صرف</v>
      </c>
      <c r="O184" s="8" t="str">
        <f>VLOOKUP(الحركات[إلى صندوق],Table1[[الصندوق]:[نوعه]],2,0)</f>
        <v>خارجي</v>
      </c>
    </row>
    <row r="185" spans="1:15" x14ac:dyDescent="0.3">
      <c r="A185">
        <v>201811</v>
      </c>
      <c r="B185" s="3"/>
      <c r="C185" t="s">
        <v>13</v>
      </c>
      <c r="D185" s="8">
        <f>VLOOKUP(الحركات[[#This Row],[من صندوق]],Table5[],5,0)</f>
        <v>0</v>
      </c>
      <c r="E185" t="s">
        <v>14</v>
      </c>
      <c r="F185" s="8">
        <f>VLOOKUP(الحركات[[#This Row],[إلى صندوق]],Table5[[الصندوق]:[الرصيد الفعلي]],5,0)</f>
        <v>0</v>
      </c>
      <c r="G185" s="9">
        <f>IF(VLOOKUP(الحركات[إلى صندوق],Table1[],3,0)=0,VLOOKUP(الحركات[[#This Row],[من صندوق]],Table1[[الصندوق]:[القيمة الشهرية]],3,0),VLOOKUP(الحركات[إلى صندوق],Table1[],3,0))</f>
        <v>4000</v>
      </c>
      <c r="H185">
        <v>4000</v>
      </c>
      <c r="J185" t="s">
        <v>60</v>
      </c>
      <c r="L185" s="8"/>
      <c r="M185" s="8" t="str">
        <f>الحركات[من صندوق]&amp;"/"&amp;الحركات[إلى صندوق]</f>
        <v>مصاريف شهرية/صرف</v>
      </c>
      <c r="N185" s="8" t="str">
        <f>VLOOKUP(الحركات[من صندوق],Table1[],2,0)</f>
        <v>صرف</v>
      </c>
      <c r="O185" s="8" t="str">
        <f>VLOOKUP(الحركات[إلى صندوق],Table1[[الصندوق]:[نوعه]],2,0)</f>
        <v>خارجي</v>
      </c>
    </row>
    <row r="186" spans="1:15" x14ac:dyDescent="0.3">
      <c r="A186">
        <v>201812</v>
      </c>
      <c r="B186" s="3"/>
      <c r="C186" t="s">
        <v>13</v>
      </c>
      <c r="D186" s="8">
        <f>VLOOKUP(الحركات[[#This Row],[من صندوق]],Table5[],5,0)</f>
        <v>0</v>
      </c>
      <c r="E186" t="s">
        <v>14</v>
      </c>
      <c r="F186" s="8">
        <f>VLOOKUP(الحركات[[#This Row],[إلى صندوق]],Table5[[الصندوق]:[الرصيد الفعلي]],5,0)</f>
        <v>0</v>
      </c>
      <c r="G186" s="9">
        <f>IF(VLOOKUP(الحركات[إلى صندوق],Table1[],3,0)=0,VLOOKUP(الحركات[[#This Row],[من صندوق]],Table1[[الصندوق]:[القيمة الشهرية]],3,0),VLOOKUP(الحركات[إلى صندوق],Table1[],3,0))</f>
        <v>4000</v>
      </c>
      <c r="H186">
        <v>4000</v>
      </c>
      <c r="J186" t="s">
        <v>60</v>
      </c>
      <c r="L186" s="8"/>
      <c r="M186" s="8" t="str">
        <f>الحركات[من صندوق]&amp;"/"&amp;الحركات[إلى صندوق]</f>
        <v>مصاريف شهرية/صرف</v>
      </c>
      <c r="N186" s="8" t="str">
        <f>VLOOKUP(الحركات[من صندوق],Table1[],2,0)</f>
        <v>صرف</v>
      </c>
      <c r="O186" s="8" t="str">
        <f>VLOOKUP(الحركات[إلى صندوق],Table1[[الصندوق]:[نوعه]],2,0)</f>
        <v>خارجي</v>
      </c>
    </row>
    <row r="187" spans="1:15" x14ac:dyDescent="0.3">
      <c r="A187">
        <v>201802</v>
      </c>
      <c r="B187" s="3"/>
      <c r="C187" t="s">
        <v>3</v>
      </c>
      <c r="D187" s="8">
        <f>VLOOKUP(الحركات[[#This Row],[من صندوق]],Table5[],5,0)</f>
        <v>0</v>
      </c>
      <c r="E187" t="s">
        <v>14</v>
      </c>
      <c r="F187" s="8">
        <f>VLOOKUP(الحركات[[#This Row],[إلى صندوق]],Table5[[الصندوق]:[الرصيد الفعلي]],5,0)</f>
        <v>0</v>
      </c>
      <c r="G187" s="9">
        <f>IF(VLOOKUP(الحركات[إلى صندوق],Table1[],3,0)=0,VLOOKUP(الحركات[[#This Row],[من صندوق]],Table1[[الصندوق]:[القيمة الشهرية]],3,0),VLOOKUP(الحركات[إلى صندوق],Table1[],3,0))</f>
        <v>2000</v>
      </c>
      <c r="H187">
        <v>8000</v>
      </c>
      <c r="J187" t="s">
        <v>61</v>
      </c>
      <c r="L187" s="8"/>
      <c r="M187" s="8" t="str">
        <f>الحركات[من صندوق]&amp;"/"&amp;الحركات[إلى صندوق]</f>
        <v>مدارس/صرف</v>
      </c>
      <c r="N187" s="8" t="str">
        <f>VLOOKUP(الحركات[من صندوق],Table1[],2,0)</f>
        <v>صرف</v>
      </c>
      <c r="O187" s="8" t="str">
        <f>VLOOKUP(الحركات[إلى صندوق],Table1[[الصندوق]:[نوعه]],2,0)</f>
        <v>خارجي</v>
      </c>
    </row>
    <row r="188" spans="1:15" x14ac:dyDescent="0.3">
      <c r="A188">
        <v>201808</v>
      </c>
      <c r="B188" s="3"/>
      <c r="C188" t="s">
        <v>3</v>
      </c>
      <c r="D188" s="8">
        <f>VLOOKUP(الحركات[[#This Row],[من صندوق]],Table5[],5,0)</f>
        <v>0</v>
      </c>
      <c r="E188" t="s">
        <v>14</v>
      </c>
      <c r="F188" s="8">
        <f>VLOOKUP(الحركات[[#This Row],[إلى صندوق]],Table5[[الصندوق]:[الرصيد الفعلي]],5,0)</f>
        <v>0</v>
      </c>
      <c r="G188" s="9">
        <f>IF(VLOOKUP(الحركات[إلى صندوق],Table1[],3,0)=0,VLOOKUP(الحركات[[#This Row],[من صندوق]],Table1[[الصندوق]:[القيمة الشهرية]],3,0),VLOOKUP(الحركات[إلى صندوق],Table1[],3,0))</f>
        <v>2000</v>
      </c>
      <c r="H188">
        <v>8000</v>
      </c>
      <c r="J188" t="s">
        <v>62</v>
      </c>
      <c r="L188" s="8"/>
      <c r="M188" s="8" t="str">
        <f>الحركات[من صندوق]&amp;"/"&amp;الحركات[إلى صندوق]</f>
        <v>مدارس/صرف</v>
      </c>
      <c r="N188" s="8" t="str">
        <f>VLOOKUP(الحركات[من صندوق],Table1[],2,0)</f>
        <v>صرف</v>
      </c>
      <c r="O188" s="8" t="str">
        <f>VLOOKUP(الحركات[إلى صندوق],Table1[[الصندوق]:[نوعه]],2,0)</f>
        <v>خارجي</v>
      </c>
    </row>
    <row r="189" spans="1:15" x14ac:dyDescent="0.3">
      <c r="A189">
        <v>201811</v>
      </c>
      <c r="B189" s="3"/>
      <c r="C189" t="s">
        <v>3</v>
      </c>
      <c r="D189" s="8">
        <f>VLOOKUP(الحركات[[#This Row],[من صندوق]],Table5[],5,0)</f>
        <v>0</v>
      </c>
      <c r="E189" t="s">
        <v>14</v>
      </c>
      <c r="F189" s="8">
        <f>VLOOKUP(الحركات[[#This Row],[إلى صندوق]],Table5[[الصندوق]:[الرصيد الفعلي]],5,0)</f>
        <v>0</v>
      </c>
      <c r="G189" s="9">
        <f>IF(VLOOKUP(الحركات[إلى صندوق],Table1[],3,0)=0,VLOOKUP(الحركات[[#This Row],[من صندوق]],Table1[[الصندوق]:[القيمة الشهرية]],3,0),VLOOKUP(الحركات[إلى صندوق],Table1[],3,0))</f>
        <v>2000</v>
      </c>
      <c r="H189">
        <v>8000</v>
      </c>
      <c r="J189" t="s">
        <v>63</v>
      </c>
      <c r="L189" s="8"/>
      <c r="M189" s="8" t="str">
        <f>الحركات[من صندوق]&amp;"/"&amp;الحركات[إلى صندوق]</f>
        <v>مدارس/صرف</v>
      </c>
      <c r="N189" s="8" t="str">
        <f>VLOOKUP(الحركات[من صندوق],Table1[],2,0)</f>
        <v>صرف</v>
      </c>
      <c r="O189" s="8" t="str">
        <f>VLOOKUP(الحركات[إلى صندوق],Table1[[الصندوق]:[نوعه]],2,0)</f>
        <v>خارجي</v>
      </c>
    </row>
    <row r="190" spans="1:15" x14ac:dyDescent="0.3">
      <c r="A190">
        <v>201804</v>
      </c>
      <c r="B190" s="3"/>
      <c r="C190" t="s">
        <v>21</v>
      </c>
      <c r="D190" s="8">
        <f>VLOOKUP(الحركات[[#This Row],[من صندوق]],Table5[],5,0)</f>
        <v>0</v>
      </c>
      <c r="E190" t="s">
        <v>14</v>
      </c>
      <c r="F190" s="8">
        <f>VLOOKUP(الحركات[[#This Row],[إلى صندوق]],Table5[[الصندوق]:[الرصيد الفعلي]],5,0)</f>
        <v>0</v>
      </c>
      <c r="G190" s="9">
        <f>IF(VLOOKUP(الحركات[إلى صندوق],Table1[],3,0)=0,VLOOKUP(الحركات[[#This Row],[من صندوق]],Table1[[الصندوق]:[القيمة الشهرية]],3,0),VLOOKUP(الحركات[إلى صندوق],Table1[],3,0))</f>
        <v>1500</v>
      </c>
      <c r="H190">
        <v>9000</v>
      </c>
      <c r="J190" t="s">
        <v>64</v>
      </c>
      <c r="L190" s="8"/>
      <c r="M190" s="8" t="str">
        <f>الحركات[من صندوق]&amp;"/"&amp;الحركات[إلى صندوق]</f>
        <v>ايجار المنزل/صرف</v>
      </c>
      <c r="N190" s="8" t="str">
        <f>VLOOKUP(الحركات[من صندوق],Table1[],2,0)</f>
        <v>صرف</v>
      </c>
      <c r="O190" s="8" t="str">
        <f>VLOOKUP(الحركات[إلى صندوق],Table1[[الصندوق]:[نوعه]],2,0)</f>
        <v>خارجي</v>
      </c>
    </row>
    <row r="191" spans="1:15" x14ac:dyDescent="0.3">
      <c r="A191">
        <v>201810</v>
      </c>
      <c r="B191" s="3"/>
      <c r="C191" t="s">
        <v>21</v>
      </c>
      <c r="D191" s="8">
        <f>VLOOKUP(الحركات[[#This Row],[من صندوق]],Table5[],5,0)</f>
        <v>0</v>
      </c>
      <c r="E191" t="s">
        <v>14</v>
      </c>
      <c r="F191" s="8">
        <f>VLOOKUP(الحركات[[#This Row],[إلى صندوق]],Table5[[الصندوق]:[الرصيد الفعلي]],5,0)</f>
        <v>0</v>
      </c>
      <c r="G191" s="9">
        <f>IF(VLOOKUP(الحركات[إلى صندوق],Table1[],3,0)=0,VLOOKUP(الحركات[[#This Row],[من صندوق]],Table1[[الصندوق]:[القيمة الشهرية]],3,0),VLOOKUP(الحركات[إلى صندوق],Table1[],3,0))</f>
        <v>1500</v>
      </c>
      <c r="H191">
        <v>9000</v>
      </c>
      <c r="J191" t="s">
        <v>65</v>
      </c>
      <c r="L191" s="8"/>
      <c r="M191" s="8" t="str">
        <f>الحركات[من صندوق]&amp;"/"&amp;الحركات[إلى صندوق]</f>
        <v>ايجار المنزل/صرف</v>
      </c>
      <c r="N191" s="8" t="str">
        <f>VLOOKUP(الحركات[من صندوق],Table1[],2,0)</f>
        <v>صرف</v>
      </c>
      <c r="O191" s="8" t="str">
        <f>VLOOKUP(الحركات[إلى صندوق],Table1[[الصندوق]:[نوعه]],2,0)</f>
        <v>خارجي</v>
      </c>
    </row>
    <row r="192" spans="1:15" x14ac:dyDescent="0.3">
      <c r="A192">
        <v>201801</v>
      </c>
      <c r="B192" s="3"/>
      <c r="C192" t="s">
        <v>0</v>
      </c>
      <c r="D192" s="8">
        <f>VLOOKUP(الحركات[[#This Row],[من صندوق]],Table5[],5,0)</f>
        <v>0</v>
      </c>
      <c r="E192" t="s">
        <v>14</v>
      </c>
      <c r="F192" s="8">
        <f>VLOOKUP(الحركات[[#This Row],[إلى صندوق]],Table5[[الصندوق]:[الرصيد الفعلي]],5,0)</f>
        <v>0</v>
      </c>
      <c r="G192" s="9">
        <f>IF(VLOOKUP(الحركات[إلى صندوق],Table1[],3,0)=0,VLOOKUP(الحركات[[#This Row],[من صندوق]],Table1[[الصندوق]:[القيمة الشهرية]],3,0),VLOOKUP(الحركات[إلى صندوق],Table1[],3,0))</f>
        <v>500</v>
      </c>
      <c r="H192">
        <v>500</v>
      </c>
      <c r="J192" t="s">
        <v>66</v>
      </c>
      <c r="L192" s="8"/>
      <c r="M192" s="8" t="str">
        <f>الحركات[من صندوق]&amp;"/"&amp;الحركات[إلى صندوق]</f>
        <v>توفير/صرف</v>
      </c>
      <c r="N192" s="8" t="str">
        <f>VLOOKUP(الحركات[من صندوق],Table1[],2,0)</f>
        <v>صرف</v>
      </c>
      <c r="O192" s="8" t="str">
        <f>VLOOKUP(الحركات[إلى صندوق],Table1[[الصندوق]:[نوعه]],2,0)</f>
        <v>خارجي</v>
      </c>
    </row>
    <row r="193" spans="1:15" x14ac:dyDescent="0.3">
      <c r="A193">
        <v>201802</v>
      </c>
      <c r="B193" s="3"/>
      <c r="C193" t="s">
        <v>0</v>
      </c>
      <c r="D193" s="8">
        <f>VLOOKUP(الحركات[[#This Row],[من صندوق]],Table5[],5,0)</f>
        <v>0</v>
      </c>
      <c r="E193" t="s">
        <v>14</v>
      </c>
      <c r="F193" s="8">
        <f>VLOOKUP(الحركات[[#This Row],[إلى صندوق]],Table5[[الصندوق]:[الرصيد الفعلي]],5,0)</f>
        <v>0</v>
      </c>
      <c r="G193" s="9">
        <f>IF(VLOOKUP(الحركات[إلى صندوق],Table1[],3,0)=0,VLOOKUP(الحركات[[#This Row],[من صندوق]],Table1[[الصندوق]:[القيمة الشهرية]],3,0),VLOOKUP(الحركات[إلى صندوق],Table1[],3,0))</f>
        <v>500</v>
      </c>
      <c r="H193">
        <v>500</v>
      </c>
      <c r="J193" t="s">
        <v>66</v>
      </c>
      <c r="L193" s="8"/>
      <c r="M193" s="8" t="str">
        <f>الحركات[من صندوق]&amp;"/"&amp;الحركات[إلى صندوق]</f>
        <v>توفير/صرف</v>
      </c>
      <c r="N193" s="8" t="str">
        <f>VLOOKUP(الحركات[من صندوق],Table1[],2,0)</f>
        <v>صرف</v>
      </c>
      <c r="O193" s="8" t="str">
        <f>VLOOKUP(الحركات[إلى صندوق],Table1[[الصندوق]:[نوعه]],2,0)</f>
        <v>خارجي</v>
      </c>
    </row>
    <row r="194" spans="1:15" x14ac:dyDescent="0.3">
      <c r="A194">
        <v>201803</v>
      </c>
      <c r="B194" s="3"/>
      <c r="C194" t="s">
        <v>0</v>
      </c>
      <c r="D194" s="8">
        <f>VLOOKUP(الحركات[[#This Row],[من صندوق]],Table5[],5,0)</f>
        <v>0</v>
      </c>
      <c r="E194" t="s">
        <v>14</v>
      </c>
      <c r="F194" s="8">
        <f>VLOOKUP(الحركات[[#This Row],[إلى صندوق]],Table5[[الصندوق]:[الرصيد الفعلي]],5,0)</f>
        <v>0</v>
      </c>
      <c r="G194" s="9">
        <f>IF(VLOOKUP(الحركات[إلى صندوق],Table1[],3,0)=0,VLOOKUP(الحركات[[#This Row],[من صندوق]],Table1[[الصندوق]:[القيمة الشهرية]],3,0),VLOOKUP(الحركات[إلى صندوق],Table1[],3,0))</f>
        <v>500</v>
      </c>
      <c r="H194">
        <v>500</v>
      </c>
      <c r="J194" t="s">
        <v>66</v>
      </c>
      <c r="L194" s="8"/>
      <c r="M194" s="8" t="str">
        <f>الحركات[من صندوق]&amp;"/"&amp;الحركات[إلى صندوق]</f>
        <v>توفير/صرف</v>
      </c>
      <c r="N194" s="8" t="str">
        <f>VLOOKUP(الحركات[من صندوق],Table1[],2,0)</f>
        <v>صرف</v>
      </c>
      <c r="O194" s="8" t="str">
        <f>VLOOKUP(الحركات[إلى صندوق],Table1[[الصندوق]:[نوعه]],2,0)</f>
        <v>خارجي</v>
      </c>
    </row>
    <row r="195" spans="1:15" x14ac:dyDescent="0.3">
      <c r="A195">
        <v>201804</v>
      </c>
      <c r="B195" s="3"/>
      <c r="C195" t="s">
        <v>0</v>
      </c>
      <c r="D195" s="8">
        <f>VLOOKUP(الحركات[[#This Row],[من صندوق]],Table5[],5,0)</f>
        <v>0</v>
      </c>
      <c r="E195" t="s">
        <v>14</v>
      </c>
      <c r="F195" s="8">
        <f>VLOOKUP(الحركات[[#This Row],[إلى صندوق]],Table5[[الصندوق]:[الرصيد الفعلي]],5,0)</f>
        <v>0</v>
      </c>
      <c r="G195" s="9">
        <f>IF(VLOOKUP(الحركات[إلى صندوق],Table1[],3,0)=0,VLOOKUP(الحركات[[#This Row],[من صندوق]],Table1[[الصندوق]:[القيمة الشهرية]],3,0),VLOOKUP(الحركات[إلى صندوق],Table1[],3,0))</f>
        <v>500</v>
      </c>
      <c r="H195">
        <v>500</v>
      </c>
      <c r="J195" t="s">
        <v>66</v>
      </c>
      <c r="L195" s="8"/>
      <c r="M195" s="8" t="str">
        <f>الحركات[من صندوق]&amp;"/"&amp;الحركات[إلى صندوق]</f>
        <v>توفير/صرف</v>
      </c>
      <c r="N195" s="8" t="str">
        <f>VLOOKUP(الحركات[من صندوق],Table1[],2,0)</f>
        <v>صرف</v>
      </c>
      <c r="O195" s="8" t="str">
        <f>VLOOKUP(الحركات[إلى صندوق],Table1[[الصندوق]:[نوعه]],2,0)</f>
        <v>خارجي</v>
      </c>
    </row>
    <row r="196" spans="1:15" x14ac:dyDescent="0.3">
      <c r="A196">
        <v>201805</v>
      </c>
      <c r="B196" s="3"/>
      <c r="C196" t="s">
        <v>0</v>
      </c>
      <c r="D196" s="8">
        <f>VLOOKUP(الحركات[[#This Row],[من صندوق]],Table5[],5,0)</f>
        <v>0</v>
      </c>
      <c r="E196" t="s">
        <v>14</v>
      </c>
      <c r="F196" s="8">
        <f>VLOOKUP(الحركات[[#This Row],[إلى صندوق]],Table5[[الصندوق]:[الرصيد الفعلي]],5,0)</f>
        <v>0</v>
      </c>
      <c r="G196" s="9">
        <f>IF(VLOOKUP(الحركات[إلى صندوق],Table1[],3,0)=0,VLOOKUP(الحركات[[#This Row],[من صندوق]],Table1[[الصندوق]:[القيمة الشهرية]],3,0),VLOOKUP(الحركات[إلى صندوق],Table1[],3,0))</f>
        <v>500</v>
      </c>
      <c r="H196">
        <v>500</v>
      </c>
      <c r="J196" t="s">
        <v>66</v>
      </c>
      <c r="L196" s="8"/>
      <c r="M196" s="8" t="str">
        <f>الحركات[من صندوق]&amp;"/"&amp;الحركات[إلى صندوق]</f>
        <v>توفير/صرف</v>
      </c>
      <c r="N196" s="8" t="str">
        <f>VLOOKUP(الحركات[من صندوق],Table1[],2,0)</f>
        <v>صرف</v>
      </c>
      <c r="O196" s="8" t="str">
        <f>VLOOKUP(الحركات[إلى صندوق],Table1[[الصندوق]:[نوعه]],2,0)</f>
        <v>خارجي</v>
      </c>
    </row>
    <row r="197" spans="1:15" x14ac:dyDescent="0.3">
      <c r="A197">
        <v>201806</v>
      </c>
      <c r="B197" s="3"/>
      <c r="C197" t="s">
        <v>0</v>
      </c>
      <c r="D197" s="8">
        <f>VLOOKUP(الحركات[[#This Row],[من صندوق]],Table5[],5,0)</f>
        <v>0</v>
      </c>
      <c r="E197" t="s">
        <v>14</v>
      </c>
      <c r="F197" s="8">
        <f>VLOOKUP(الحركات[[#This Row],[إلى صندوق]],Table5[[الصندوق]:[الرصيد الفعلي]],5,0)</f>
        <v>0</v>
      </c>
      <c r="G197" s="9">
        <f>IF(VLOOKUP(الحركات[إلى صندوق],Table1[],3,0)=0,VLOOKUP(الحركات[[#This Row],[من صندوق]],Table1[[الصندوق]:[القيمة الشهرية]],3,0),VLOOKUP(الحركات[إلى صندوق],Table1[],3,0))</f>
        <v>500</v>
      </c>
      <c r="H197">
        <v>500</v>
      </c>
      <c r="J197" t="s">
        <v>66</v>
      </c>
      <c r="L197" s="8"/>
      <c r="M197" s="8" t="str">
        <f>الحركات[من صندوق]&amp;"/"&amp;الحركات[إلى صندوق]</f>
        <v>توفير/صرف</v>
      </c>
      <c r="N197" s="8" t="str">
        <f>VLOOKUP(الحركات[من صندوق],Table1[],2,0)</f>
        <v>صرف</v>
      </c>
      <c r="O197" s="8" t="str">
        <f>VLOOKUP(الحركات[إلى صندوق],Table1[[الصندوق]:[نوعه]],2,0)</f>
        <v>خارجي</v>
      </c>
    </row>
    <row r="198" spans="1:15" x14ac:dyDescent="0.3">
      <c r="A198">
        <v>201807</v>
      </c>
      <c r="B198" s="3"/>
      <c r="C198" t="s">
        <v>0</v>
      </c>
      <c r="D198" s="8">
        <f>VLOOKUP(الحركات[[#This Row],[من صندوق]],Table5[],5,0)</f>
        <v>0</v>
      </c>
      <c r="E198" t="s">
        <v>14</v>
      </c>
      <c r="F198" s="8">
        <f>VLOOKUP(الحركات[[#This Row],[إلى صندوق]],Table5[[الصندوق]:[الرصيد الفعلي]],5,0)</f>
        <v>0</v>
      </c>
      <c r="G198" s="9">
        <f>IF(VLOOKUP(الحركات[إلى صندوق],Table1[],3,0)=0,VLOOKUP(الحركات[[#This Row],[من صندوق]],Table1[[الصندوق]:[القيمة الشهرية]],3,0),VLOOKUP(الحركات[إلى صندوق],Table1[],3,0))</f>
        <v>500</v>
      </c>
      <c r="H198">
        <v>500</v>
      </c>
      <c r="J198" t="s">
        <v>66</v>
      </c>
      <c r="L198" s="8"/>
      <c r="M198" s="8" t="str">
        <f>الحركات[من صندوق]&amp;"/"&amp;الحركات[إلى صندوق]</f>
        <v>توفير/صرف</v>
      </c>
      <c r="N198" s="8" t="str">
        <f>VLOOKUP(الحركات[من صندوق],Table1[],2,0)</f>
        <v>صرف</v>
      </c>
      <c r="O198" s="8" t="str">
        <f>VLOOKUP(الحركات[إلى صندوق],Table1[[الصندوق]:[نوعه]],2,0)</f>
        <v>خارجي</v>
      </c>
    </row>
    <row r="199" spans="1:15" x14ac:dyDescent="0.3">
      <c r="A199">
        <v>201808</v>
      </c>
      <c r="B199" s="3"/>
      <c r="C199" t="s">
        <v>0</v>
      </c>
      <c r="D199" s="8">
        <f>VLOOKUP(الحركات[[#This Row],[من صندوق]],Table5[],5,0)</f>
        <v>0</v>
      </c>
      <c r="E199" t="s">
        <v>14</v>
      </c>
      <c r="F199" s="8">
        <f>VLOOKUP(الحركات[[#This Row],[إلى صندوق]],Table5[[الصندوق]:[الرصيد الفعلي]],5,0)</f>
        <v>0</v>
      </c>
      <c r="G199" s="9">
        <f>IF(VLOOKUP(الحركات[إلى صندوق],Table1[],3,0)=0,VLOOKUP(الحركات[[#This Row],[من صندوق]],Table1[[الصندوق]:[القيمة الشهرية]],3,0),VLOOKUP(الحركات[إلى صندوق],Table1[],3,0))</f>
        <v>500</v>
      </c>
      <c r="H199">
        <v>500</v>
      </c>
      <c r="J199" t="s">
        <v>66</v>
      </c>
      <c r="L199" s="8"/>
      <c r="M199" s="8" t="str">
        <f>الحركات[من صندوق]&amp;"/"&amp;الحركات[إلى صندوق]</f>
        <v>توفير/صرف</v>
      </c>
      <c r="N199" s="8" t="str">
        <f>VLOOKUP(الحركات[من صندوق],Table1[],2,0)</f>
        <v>صرف</v>
      </c>
      <c r="O199" s="8" t="str">
        <f>VLOOKUP(الحركات[إلى صندوق],Table1[[الصندوق]:[نوعه]],2,0)</f>
        <v>خارجي</v>
      </c>
    </row>
    <row r="200" spans="1:15" x14ac:dyDescent="0.3">
      <c r="A200">
        <v>201809</v>
      </c>
      <c r="B200" s="3"/>
      <c r="C200" t="s">
        <v>0</v>
      </c>
      <c r="D200" s="8">
        <f>VLOOKUP(الحركات[[#This Row],[من صندوق]],Table5[],5,0)</f>
        <v>0</v>
      </c>
      <c r="E200" t="s">
        <v>14</v>
      </c>
      <c r="F200" s="8">
        <f>VLOOKUP(الحركات[[#This Row],[إلى صندوق]],Table5[[الصندوق]:[الرصيد الفعلي]],5,0)</f>
        <v>0</v>
      </c>
      <c r="G200" s="9">
        <f>IF(VLOOKUP(الحركات[إلى صندوق],Table1[],3,0)=0,VLOOKUP(الحركات[[#This Row],[من صندوق]],Table1[[الصندوق]:[القيمة الشهرية]],3,0),VLOOKUP(الحركات[إلى صندوق],Table1[],3,0))</f>
        <v>500</v>
      </c>
      <c r="H200">
        <v>500</v>
      </c>
      <c r="J200" t="s">
        <v>66</v>
      </c>
      <c r="L200" s="8"/>
      <c r="M200" s="8" t="str">
        <f>الحركات[من صندوق]&amp;"/"&amp;الحركات[إلى صندوق]</f>
        <v>توفير/صرف</v>
      </c>
      <c r="N200" s="8" t="str">
        <f>VLOOKUP(الحركات[من صندوق],Table1[],2,0)</f>
        <v>صرف</v>
      </c>
      <c r="O200" s="8" t="str">
        <f>VLOOKUP(الحركات[إلى صندوق],Table1[[الصندوق]:[نوعه]],2,0)</f>
        <v>خارجي</v>
      </c>
    </row>
    <row r="201" spans="1:15" x14ac:dyDescent="0.3">
      <c r="A201">
        <v>201810</v>
      </c>
      <c r="B201" s="3"/>
      <c r="C201" t="s">
        <v>0</v>
      </c>
      <c r="D201" s="8">
        <f>VLOOKUP(الحركات[[#This Row],[من صندوق]],Table5[],5,0)</f>
        <v>0</v>
      </c>
      <c r="E201" t="s">
        <v>14</v>
      </c>
      <c r="F201" s="8">
        <f>VLOOKUP(الحركات[[#This Row],[إلى صندوق]],Table5[[الصندوق]:[الرصيد الفعلي]],5,0)</f>
        <v>0</v>
      </c>
      <c r="G201" s="9">
        <f>IF(VLOOKUP(الحركات[إلى صندوق],Table1[],3,0)=0,VLOOKUP(الحركات[[#This Row],[من صندوق]],Table1[[الصندوق]:[القيمة الشهرية]],3,0),VLOOKUP(الحركات[إلى صندوق],Table1[],3,0))</f>
        <v>500</v>
      </c>
      <c r="H201">
        <v>500</v>
      </c>
      <c r="J201" t="s">
        <v>66</v>
      </c>
      <c r="L201" s="8"/>
      <c r="M201" s="8" t="str">
        <f>الحركات[من صندوق]&amp;"/"&amp;الحركات[إلى صندوق]</f>
        <v>توفير/صرف</v>
      </c>
      <c r="N201" s="8" t="str">
        <f>VLOOKUP(الحركات[من صندوق],Table1[],2,0)</f>
        <v>صرف</v>
      </c>
      <c r="O201" s="8" t="str">
        <f>VLOOKUP(الحركات[إلى صندوق],Table1[[الصندوق]:[نوعه]],2,0)</f>
        <v>خارجي</v>
      </c>
    </row>
    <row r="202" spans="1:15" x14ac:dyDescent="0.3">
      <c r="A202">
        <v>201811</v>
      </c>
      <c r="B202" s="3"/>
      <c r="C202" t="s">
        <v>0</v>
      </c>
      <c r="D202" s="8">
        <f>VLOOKUP(الحركات[[#This Row],[من صندوق]],Table5[],5,0)</f>
        <v>0</v>
      </c>
      <c r="E202" t="s">
        <v>14</v>
      </c>
      <c r="F202" s="8">
        <f>VLOOKUP(الحركات[[#This Row],[إلى صندوق]],Table5[[الصندوق]:[الرصيد الفعلي]],5,0)</f>
        <v>0</v>
      </c>
      <c r="G202" s="9">
        <f>IF(VLOOKUP(الحركات[إلى صندوق],Table1[],3,0)=0,VLOOKUP(الحركات[[#This Row],[من صندوق]],Table1[[الصندوق]:[القيمة الشهرية]],3,0),VLOOKUP(الحركات[إلى صندوق],Table1[],3,0))</f>
        <v>500</v>
      </c>
      <c r="H202">
        <v>500</v>
      </c>
      <c r="J202" t="s">
        <v>66</v>
      </c>
      <c r="L202" s="8"/>
      <c r="M202" s="8" t="str">
        <f>الحركات[من صندوق]&amp;"/"&amp;الحركات[إلى صندوق]</f>
        <v>توفير/صرف</v>
      </c>
      <c r="N202" s="8" t="str">
        <f>VLOOKUP(الحركات[من صندوق],Table1[],2,0)</f>
        <v>صرف</v>
      </c>
      <c r="O202" s="8" t="str">
        <f>VLOOKUP(الحركات[إلى صندوق],Table1[[الصندوق]:[نوعه]],2,0)</f>
        <v>خارجي</v>
      </c>
    </row>
    <row r="203" spans="1:15" x14ac:dyDescent="0.3">
      <c r="A203">
        <v>201812</v>
      </c>
      <c r="B203" s="3"/>
      <c r="C203" t="s">
        <v>0</v>
      </c>
      <c r="D203" s="8">
        <f>VLOOKUP(الحركات[[#This Row],[من صندوق]],Table5[],5,0)</f>
        <v>0</v>
      </c>
      <c r="E203" t="s">
        <v>14</v>
      </c>
      <c r="F203" s="8">
        <f>VLOOKUP(الحركات[[#This Row],[إلى صندوق]],Table5[[الصندوق]:[الرصيد الفعلي]],5,0)</f>
        <v>0</v>
      </c>
      <c r="G203" s="9">
        <f>IF(VLOOKUP(الحركات[إلى صندوق],Table1[],3,0)=0,VLOOKUP(الحركات[[#This Row],[من صندوق]],Table1[[الصندوق]:[القيمة الشهرية]],3,0),VLOOKUP(الحركات[إلى صندوق],Table1[],3,0))</f>
        <v>500</v>
      </c>
      <c r="H203">
        <v>500</v>
      </c>
      <c r="J203" t="s">
        <v>66</v>
      </c>
      <c r="L203" s="8"/>
      <c r="M203" s="8" t="str">
        <f>الحركات[من صندوق]&amp;"/"&amp;الحركات[إلى صندوق]</f>
        <v>توفير/صرف</v>
      </c>
      <c r="N203" s="8" t="str">
        <f>VLOOKUP(الحركات[من صندوق],Table1[],2,0)</f>
        <v>صرف</v>
      </c>
      <c r="O203" s="8" t="str">
        <f>VLOOKUP(الحركات[إلى صندوق],Table1[[الصندوق]:[نوعه]],2,0)</f>
        <v>خارجي</v>
      </c>
    </row>
    <row r="204" spans="1:15" x14ac:dyDescent="0.3">
      <c r="A204">
        <v>201807</v>
      </c>
      <c r="B204" s="3"/>
      <c r="C204" t="s">
        <v>12</v>
      </c>
      <c r="D204" s="10">
        <f>VLOOKUP(الحركات[[#This Row],[من صندوق]],Table5[],5,0)</f>
        <v>0</v>
      </c>
      <c r="E204" t="s">
        <v>14</v>
      </c>
      <c r="F204" s="10">
        <f>VLOOKUP(الحركات[[#This Row],[إلى صندوق]],Table5[[الصندوق]:[الرصيد الفعلي]],5,0)</f>
        <v>0</v>
      </c>
      <c r="G204" s="11">
        <f>IF(VLOOKUP(الحركات[إلى صندوق],Table1[],3,0)=0,VLOOKUP(الحركات[[#This Row],[من صندوق]],Table1[[الصندوق]:[القيمة الشهرية]],3,0),VLOOKUP(الحركات[إلى صندوق],Table1[],3,0))</f>
        <v>400</v>
      </c>
      <c r="H204">
        <v>4800</v>
      </c>
      <c r="J204" t="s">
        <v>67</v>
      </c>
      <c r="L204" s="10"/>
      <c r="M204" s="10" t="str">
        <f>الحركات[من صندوق]&amp;"/"&amp;الحركات[إلى صندوق]</f>
        <v>اجازات/صرف</v>
      </c>
      <c r="N204" s="10" t="str">
        <f>VLOOKUP(الحركات[من صندوق],Table1[],2,0)</f>
        <v>صرف</v>
      </c>
      <c r="O204" s="10" t="str">
        <f>VLOOKUP(الحركات[إلى صندوق],Table1[[الصندوق]:[نوعه]],2,0)</f>
        <v>خارجي</v>
      </c>
    </row>
    <row r="205" spans="1:15" x14ac:dyDescent="0.3">
      <c r="A205">
        <v>201810</v>
      </c>
      <c r="B205" s="3"/>
      <c r="C205" t="s">
        <v>9</v>
      </c>
      <c r="D205" s="10">
        <f>VLOOKUP(الحركات[[#This Row],[من صندوق]],Table5[],5,0)</f>
        <v>0</v>
      </c>
      <c r="E205" t="s">
        <v>14</v>
      </c>
      <c r="F205" s="10">
        <f>VLOOKUP(الحركات[[#This Row],[إلى صندوق]],Table5[[الصندوق]:[الرصيد الفعلي]],5,0)</f>
        <v>0</v>
      </c>
      <c r="G205" s="11">
        <f>IF(VLOOKUP(الحركات[إلى صندوق],Table1[],3,0)=0,VLOOKUP(الحركات[[#This Row],[من صندوق]],Table1[[الصندوق]:[القيمة الشهرية]],3,0),VLOOKUP(الحركات[إلى صندوق],Table1[],3,0))</f>
        <v>200</v>
      </c>
      <c r="H205">
        <v>2400</v>
      </c>
      <c r="J205" t="s">
        <v>68</v>
      </c>
      <c r="L205" s="10"/>
      <c r="M205" s="10" t="str">
        <f>الحركات[من صندوق]&amp;"/"&amp;الحركات[إلى صندوق]</f>
        <v>دورات/صرف</v>
      </c>
      <c r="N205" s="10" t="str">
        <f>VLOOKUP(الحركات[من صندوق],Table1[],2,0)</f>
        <v>صرف</v>
      </c>
      <c r="O205" s="10" t="str">
        <f>VLOOKUP(الحركات[إلى صندوق],Table1[[الصندوق]:[نوعه]],2,0)</f>
        <v>خارجي</v>
      </c>
    </row>
    <row r="206" spans="1:15" x14ac:dyDescent="0.3">
      <c r="A206">
        <v>201812</v>
      </c>
      <c r="B206" s="3"/>
      <c r="C206" t="s">
        <v>22</v>
      </c>
      <c r="D206" s="10">
        <f>VLOOKUP(الحركات[[#This Row],[من صندوق]],Table5[],5,0)</f>
        <v>0</v>
      </c>
      <c r="E206" t="s">
        <v>14</v>
      </c>
      <c r="F206" s="10">
        <f>VLOOKUP(الحركات[[#This Row],[إلى صندوق]],Table5[[الصندوق]:[الرصيد الفعلي]],5,0)</f>
        <v>0</v>
      </c>
      <c r="G206" s="11">
        <f>IF(VLOOKUP(الحركات[إلى صندوق],Table1[],3,0)=0,VLOOKUP(الحركات[[#This Row],[من صندوق]],Table1[[الصندوق]:[القيمة الشهرية]],3,0),VLOOKUP(الحركات[إلى صندوق],Table1[],3,0))</f>
        <v>200</v>
      </c>
      <c r="H206">
        <v>2400</v>
      </c>
      <c r="J206" t="s">
        <v>69</v>
      </c>
      <c r="L206" s="10"/>
      <c r="M206" s="10" t="str">
        <f>الحركات[من صندوق]&amp;"/"&amp;الحركات[إلى صندوق]</f>
        <v>زكاة/صرف</v>
      </c>
      <c r="N206" s="10" t="str">
        <f>VLOOKUP(الحركات[من صندوق],Table1[],2,0)</f>
        <v>صرف</v>
      </c>
      <c r="O206" s="10" t="str">
        <f>VLOOKUP(الحركات[إلى صندوق],Table1[[الصندوق]:[نوعه]],2,0)</f>
        <v>خارجي</v>
      </c>
    </row>
    <row r="207" spans="1:15" x14ac:dyDescent="0.3">
      <c r="A207">
        <v>201806</v>
      </c>
      <c r="B207" s="3"/>
      <c r="C207" t="s">
        <v>10</v>
      </c>
      <c r="D207" s="10">
        <f>VLOOKUP(الحركات[[#This Row],[من صندوق]],Table5[],5,0)</f>
        <v>0</v>
      </c>
      <c r="E207" t="s">
        <v>14</v>
      </c>
      <c r="F207" s="10">
        <f>VLOOKUP(الحركات[[#This Row],[إلى صندوق]],Table5[[الصندوق]:[الرصيد الفعلي]],5,0)</f>
        <v>0</v>
      </c>
      <c r="G207" s="11">
        <f>IF(VLOOKUP(الحركات[إلى صندوق],Table1[],3,0)=0,VLOOKUP(الحركات[[#This Row],[من صندوق]],Table1[[الصندوق]:[القيمة الشهرية]],3,0),VLOOKUP(الحركات[إلى صندوق],Table1[],3,0))</f>
        <v>250</v>
      </c>
      <c r="H207">
        <v>1500</v>
      </c>
      <c r="J207" t="s">
        <v>70</v>
      </c>
      <c r="L207" s="10"/>
      <c r="M207" s="10" t="str">
        <f>الحركات[من صندوق]&amp;"/"&amp;الحركات[إلى صندوق]</f>
        <v>صيانة السيارة/صرف</v>
      </c>
      <c r="N207" s="10" t="str">
        <f>VLOOKUP(الحركات[من صندوق],Table1[],2,0)</f>
        <v>صرف</v>
      </c>
      <c r="O207" s="10" t="str">
        <f>VLOOKUP(الحركات[إلى صندوق],Table1[[الصندوق]:[نوعه]],2,0)</f>
        <v>خارجي</v>
      </c>
    </row>
    <row r="208" spans="1:15" x14ac:dyDescent="0.3">
      <c r="A208">
        <v>201812</v>
      </c>
      <c r="B208" s="3"/>
      <c r="C208" t="s">
        <v>10</v>
      </c>
      <c r="D208" s="10">
        <f>VLOOKUP(الحركات[[#This Row],[من صندوق]],Table5[],5,0)</f>
        <v>0</v>
      </c>
      <c r="E208" t="s">
        <v>14</v>
      </c>
      <c r="F208" s="10">
        <f>VLOOKUP(الحركات[[#This Row],[إلى صندوق]],Table5[[الصندوق]:[الرصيد الفعلي]],5,0)</f>
        <v>0</v>
      </c>
      <c r="G208" s="11">
        <f>IF(VLOOKUP(الحركات[إلى صندوق],Table1[],3,0)=0,VLOOKUP(الحركات[[#This Row],[من صندوق]],Table1[[الصندوق]:[القيمة الشهرية]],3,0),VLOOKUP(الحركات[إلى صندوق],Table1[],3,0))</f>
        <v>250</v>
      </c>
      <c r="H208">
        <v>1500</v>
      </c>
      <c r="J208" t="s">
        <v>70</v>
      </c>
      <c r="L208" s="10"/>
      <c r="M208" s="10" t="str">
        <f>الحركات[من صندوق]&amp;"/"&amp;الحركات[إلى صندوق]</f>
        <v>صيانة السيارة/صرف</v>
      </c>
      <c r="N208" s="10" t="str">
        <f>VLOOKUP(الحركات[من صندوق],Table1[],2,0)</f>
        <v>صرف</v>
      </c>
      <c r="O208" s="10" t="str">
        <f>VLOOKUP(الحركات[إلى صندوق],Table1[[الصندوق]:[نوعه]],2,0)</f>
        <v>خارجي</v>
      </c>
    </row>
    <row r="209" spans="1:15" x14ac:dyDescent="0.3">
      <c r="A209">
        <v>201801</v>
      </c>
      <c r="B209" s="3"/>
      <c r="C209" t="s">
        <v>15</v>
      </c>
      <c r="D209" s="10">
        <f>VLOOKUP(الحركات[[#This Row],[من صندوق]],Table5[],5,0)</f>
        <v>0</v>
      </c>
      <c r="E209" t="s">
        <v>14</v>
      </c>
      <c r="F209" s="10">
        <f>VLOOKUP(الحركات[[#This Row],[إلى صندوق]],Table5[[الصندوق]:[الرصيد الفعلي]],5,0)</f>
        <v>0</v>
      </c>
      <c r="G209" s="11">
        <f>IF(VLOOKUP(الحركات[إلى صندوق],Table1[],3,0)=0,VLOOKUP(الحركات[[#This Row],[من صندوق]],Table1[[الصندوق]:[القيمة الشهرية]],3,0),VLOOKUP(الحركات[إلى صندوق],Table1[],3,0))</f>
        <v>300</v>
      </c>
      <c r="H209">
        <v>300</v>
      </c>
      <c r="J209" t="s">
        <v>71</v>
      </c>
      <c r="L209" s="10"/>
      <c r="M209" s="10" t="str">
        <f>الحركات[من صندوق]&amp;"/"&amp;الحركات[إلى صندوق]</f>
        <v>ملابس/صرف</v>
      </c>
      <c r="N209" s="10" t="str">
        <f>VLOOKUP(الحركات[من صندوق],Table1[],2,0)</f>
        <v>صرف</v>
      </c>
      <c r="O209" s="10" t="str">
        <f>VLOOKUP(الحركات[إلى صندوق],Table1[[الصندوق]:[نوعه]],2,0)</f>
        <v>خارجي</v>
      </c>
    </row>
    <row r="210" spans="1:15" x14ac:dyDescent="0.3">
      <c r="A210">
        <v>201802</v>
      </c>
      <c r="B210" s="3"/>
      <c r="C210" t="s">
        <v>15</v>
      </c>
      <c r="D210" s="10">
        <f>VLOOKUP(الحركات[[#This Row],[من صندوق]],Table5[],5,0)</f>
        <v>0</v>
      </c>
      <c r="E210" t="s">
        <v>14</v>
      </c>
      <c r="F210" s="10">
        <f>VLOOKUP(الحركات[[#This Row],[إلى صندوق]],Table5[[الصندوق]:[الرصيد الفعلي]],5,0)</f>
        <v>0</v>
      </c>
      <c r="G210" s="11">
        <f>IF(VLOOKUP(الحركات[إلى صندوق],Table1[],3,0)=0,VLOOKUP(الحركات[[#This Row],[من صندوق]],Table1[[الصندوق]:[القيمة الشهرية]],3,0),VLOOKUP(الحركات[إلى صندوق],Table1[],3,0))</f>
        <v>300</v>
      </c>
      <c r="H210">
        <v>300</v>
      </c>
      <c r="J210" t="s">
        <v>71</v>
      </c>
      <c r="L210" s="10"/>
      <c r="M210" s="10" t="str">
        <f>الحركات[من صندوق]&amp;"/"&amp;الحركات[إلى صندوق]</f>
        <v>ملابس/صرف</v>
      </c>
      <c r="N210" s="10" t="str">
        <f>VLOOKUP(الحركات[من صندوق],Table1[],2,0)</f>
        <v>صرف</v>
      </c>
      <c r="O210" s="10" t="str">
        <f>VLOOKUP(الحركات[إلى صندوق],Table1[[الصندوق]:[نوعه]],2,0)</f>
        <v>خارجي</v>
      </c>
    </row>
    <row r="211" spans="1:15" x14ac:dyDescent="0.3">
      <c r="A211">
        <v>201803</v>
      </c>
      <c r="B211" s="3"/>
      <c r="C211" t="s">
        <v>15</v>
      </c>
      <c r="D211" s="10">
        <f>VLOOKUP(الحركات[[#This Row],[من صندوق]],Table5[],5,0)</f>
        <v>0</v>
      </c>
      <c r="E211" t="s">
        <v>14</v>
      </c>
      <c r="F211" s="10">
        <f>VLOOKUP(الحركات[[#This Row],[إلى صندوق]],Table5[[الصندوق]:[الرصيد الفعلي]],5,0)</f>
        <v>0</v>
      </c>
      <c r="G211" s="11">
        <f>IF(VLOOKUP(الحركات[إلى صندوق],Table1[],3,0)=0,VLOOKUP(الحركات[[#This Row],[من صندوق]],Table1[[الصندوق]:[القيمة الشهرية]],3,0),VLOOKUP(الحركات[إلى صندوق],Table1[],3,0))</f>
        <v>300</v>
      </c>
      <c r="H211">
        <v>300</v>
      </c>
      <c r="J211" t="s">
        <v>71</v>
      </c>
      <c r="L211" s="10"/>
      <c r="M211" s="10" t="str">
        <f>الحركات[من صندوق]&amp;"/"&amp;الحركات[إلى صندوق]</f>
        <v>ملابس/صرف</v>
      </c>
      <c r="N211" s="10" t="str">
        <f>VLOOKUP(الحركات[من صندوق],Table1[],2,0)</f>
        <v>صرف</v>
      </c>
      <c r="O211" s="10" t="str">
        <f>VLOOKUP(الحركات[إلى صندوق],Table1[[الصندوق]:[نوعه]],2,0)</f>
        <v>خارجي</v>
      </c>
    </row>
    <row r="212" spans="1:15" x14ac:dyDescent="0.3">
      <c r="A212">
        <v>201804</v>
      </c>
      <c r="B212" s="3"/>
      <c r="C212" t="s">
        <v>15</v>
      </c>
      <c r="D212" s="10">
        <f>VLOOKUP(الحركات[[#This Row],[من صندوق]],Table5[],5,0)</f>
        <v>0</v>
      </c>
      <c r="E212" t="s">
        <v>14</v>
      </c>
      <c r="F212" s="10">
        <f>VLOOKUP(الحركات[[#This Row],[إلى صندوق]],Table5[[الصندوق]:[الرصيد الفعلي]],5,0)</f>
        <v>0</v>
      </c>
      <c r="G212" s="11">
        <f>IF(VLOOKUP(الحركات[إلى صندوق],Table1[],3,0)=0,VLOOKUP(الحركات[[#This Row],[من صندوق]],Table1[[الصندوق]:[القيمة الشهرية]],3,0),VLOOKUP(الحركات[إلى صندوق],Table1[],3,0))</f>
        <v>300</v>
      </c>
      <c r="H212">
        <v>300</v>
      </c>
      <c r="J212" t="s">
        <v>71</v>
      </c>
      <c r="L212" s="10"/>
      <c r="M212" s="10" t="str">
        <f>الحركات[من صندوق]&amp;"/"&amp;الحركات[إلى صندوق]</f>
        <v>ملابس/صرف</v>
      </c>
      <c r="N212" s="10" t="str">
        <f>VLOOKUP(الحركات[من صندوق],Table1[],2,0)</f>
        <v>صرف</v>
      </c>
      <c r="O212" s="10" t="str">
        <f>VLOOKUP(الحركات[إلى صندوق],Table1[[الصندوق]:[نوعه]],2,0)</f>
        <v>خارجي</v>
      </c>
    </row>
    <row r="213" spans="1:15" x14ac:dyDescent="0.3">
      <c r="A213">
        <v>201805</v>
      </c>
      <c r="B213" s="3"/>
      <c r="C213" t="s">
        <v>15</v>
      </c>
      <c r="D213" s="10">
        <f>VLOOKUP(الحركات[[#This Row],[من صندوق]],Table5[],5,0)</f>
        <v>0</v>
      </c>
      <c r="E213" t="s">
        <v>14</v>
      </c>
      <c r="F213" s="10">
        <f>VLOOKUP(الحركات[[#This Row],[إلى صندوق]],Table5[[الصندوق]:[الرصيد الفعلي]],5,0)</f>
        <v>0</v>
      </c>
      <c r="G213" s="11">
        <f>IF(VLOOKUP(الحركات[إلى صندوق],Table1[],3,0)=0,VLOOKUP(الحركات[[#This Row],[من صندوق]],Table1[[الصندوق]:[القيمة الشهرية]],3,0),VLOOKUP(الحركات[إلى صندوق],Table1[],3,0))</f>
        <v>300</v>
      </c>
      <c r="H213">
        <v>300</v>
      </c>
      <c r="J213" t="s">
        <v>71</v>
      </c>
      <c r="L213" s="10"/>
      <c r="M213" s="10" t="str">
        <f>الحركات[من صندوق]&amp;"/"&amp;الحركات[إلى صندوق]</f>
        <v>ملابس/صرف</v>
      </c>
      <c r="N213" s="10" t="str">
        <f>VLOOKUP(الحركات[من صندوق],Table1[],2,0)</f>
        <v>صرف</v>
      </c>
      <c r="O213" s="10" t="str">
        <f>VLOOKUP(الحركات[إلى صندوق],Table1[[الصندوق]:[نوعه]],2,0)</f>
        <v>خارجي</v>
      </c>
    </row>
    <row r="214" spans="1:15" x14ac:dyDescent="0.3">
      <c r="A214">
        <v>201806</v>
      </c>
      <c r="B214" s="3"/>
      <c r="C214" t="s">
        <v>15</v>
      </c>
      <c r="D214" s="10">
        <f>VLOOKUP(الحركات[[#This Row],[من صندوق]],Table5[],5,0)</f>
        <v>0</v>
      </c>
      <c r="E214" t="s">
        <v>14</v>
      </c>
      <c r="F214" s="10">
        <f>VLOOKUP(الحركات[[#This Row],[إلى صندوق]],Table5[[الصندوق]:[الرصيد الفعلي]],5,0)</f>
        <v>0</v>
      </c>
      <c r="G214" s="11">
        <f>IF(VLOOKUP(الحركات[إلى صندوق],Table1[],3,0)=0,VLOOKUP(الحركات[[#This Row],[من صندوق]],Table1[[الصندوق]:[القيمة الشهرية]],3,0),VLOOKUP(الحركات[إلى صندوق],Table1[],3,0))</f>
        <v>300</v>
      </c>
      <c r="H214">
        <v>300</v>
      </c>
      <c r="J214" t="s">
        <v>71</v>
      </c>
      <c r="L214" s="10"/>
      <c r="M214" s="10" t="str">
        <f>الحركات[من صندوق]&amp;"/"&amp;الحركات[إلى صندوق]</f>
        <v>ملابس/صرف</v>
      </c>
      <c r="N214" s="10" t="str">
        <f>VLOOKUP(الحركات[من صندوق],Table1[],2,0)</f>
        <v>صرف</v>
      </c>
      <c r="O214" s="10" t="str">
        <f>VLOOKUP(الحركات[إلى صندوق],Table1[[الصندوق]:[نوعه]],2,0)</f>
        <v>خارجي</v>
      </c>
    </row>
    <row r="215" spans="1:15" x14ac:dyDescent="0.3">
      <c r="A215">
        <v>201807</v>
      </c>
      <c r="B215" s="3"/>
      <c r="C215" t="s">
        <v>15</v>
      </c>
      <c r="D215" s="10">
        <f>VLOOKUP(الحركات[[#This Row],[من صندوق]],Table5[],5,0)</f>
        <v>0</v>
      </c>
      <c r="E215" t="s">
        <v>14</v>
      </c>
      <c r="F215" s="10">
        <f>VLOOKUP(الحركات[[#This Row],[إلى صندوق]],Table5[[الصندوق]:[الرصيد الفعلي]],5,0)</f>
        <v>0</v>
      </c>
      <c r="G215" s="11">
        <f>IF(VLOOKUP(الحركات[إلى صندوق],Table1[],3,0)=0,VLOOKUP(الحركات[[#This Row],[من صندوق]],Table1[[الصندوق]:[القيمة الشهرية]],3,0),VLOOKUP(الحركات[إلى صندوق],Table1[],3,0))</f>
        <v>300</v>
      </c>
      <c r="H215">
        <v>300</v>
      </c>
      <c r="J215" t="s">
        <v>71</v>
      </c>
      <c r="L215" s="10"/>
      <c r="M215" s="10" t="str">
        <f>الحركات[من صندوق]&amp;"/"&amp;الحركات[إلى صندوق]</f>
        <v>ملابس/صرف</v>
      </c>
      <c r="N215" s="10" t="str">
        <f>VLOOKUP(الحركات[من صندوق],Table1[],2,0)</f>
        <v>صرف</v>
      </c>
      <c r="O215" s="10" t="str">
        <f>VLOOKUP(الحركات[إلى صندوق],Table1[[الصندوق]:[نوعه]],2,0)</f>
        <v>خارجي</v>
      </c>
    </row>
    <row r="216" spans="1:15" x14ac:dyDescent="0.3">
      <c r="A216">
        <v>201808</v>
      </c>
      <c r="B216" s="3"/>
      <c r="C216" t="s">
        <v>15</v>
      </c>
      <c r="D216" s="10">
        <f>VLOOKUP(الحركات[[#This Row],[من صندوق]],Table5[],5,0)</f>
        <v>0</v>
      </c>
      <c r="E216" t="s">
        <v>14</v>
      </c>
      <c r="F216" s="10">
        <f>VLOOKUP(الحركات[[#This Row],[إلى صندوق]],Table5[[الصندوق]:[الرصيد الفعلي]],5,0)</f>
        <v>0</v>
      </c>
      <c r="G216" s="11">
        <f>IF(VLOOKUP(الحركات[إلى صندوق],Table1[],3,0)=0,VLOOKUP(الحركات[[#This Row],[من صندوق]],Table1[[الصندوق]:[القيمة الشهرية]],3,0),VLOOKUP(الحركات[إلى صندوق],Table1[],3,0))</f>
        <v>300</v>
      </c>
      <c r="H216">
        <v>300</v>
      </c>
      <c r="J216" t="s">
        <v>71</v>
      </c>
      <c r="L216" s="10"/>
      <c r="M216" s="10" t="str">
        <f>الحركات[من صندوق]&amp;"/"&amp;الحركات[إلى صندوق]</f>
        <v>ملابس/صرف</v>
      </c>
      <c r="N216" s="10" t="str">
        <f>VLOOKUP(الحركات[من صندوق],Table1[],2,0)</f>
        <v>صرف</v>
      </c>
      <c r="O216" s="10" t="str">
        <f>VLOOKUP(الحركات[إلى صندوق],Table1[[الصندوق]:[نوعه]],2,0)</f>
        <v>خارجي</v>
      </c>
    </row>
    <row r="217" spans="1:15" x14ac:dyDescent="0.3">
      <c r="A217">
        <v>201809</v>
      </c>
      <c r="B217" s="3"/>
      <c r="C217" t="s">
        <v>15</v>
      </c>
      <c r="D217" s="10">
        <f>VLOOKUP(الحركات[[#This Row],[من صندوق]],Table5[],5,0)</f>
        <v>0</v>
      </c>
      <c r="E217" t="s">
        <v>14</v>
      </c>
      <c r="F217" s="10">
        <f>VLOOKUP(الحركات[[#This Row],[إلى صندوق]],Table5[[الصندوق]:[الرصيد الفعلي]],5,0)</f>
        <v>0</v>
      </c>
      <c r="G217" s="11">
        <f>IF(VLOOKUP(الحركات[إلى صندوق],Table1[],3,0)=0,VLOOKUP(الحركات[[#This Row],[من صندوق]],Table1[[الصندوق]:[القيمة الشهرية]],3,0),VLOOKUP(الحركات[إلى صندوق],Table1[],3,0))</f>
        <v>300</v>
      </c>
      <c r="H217">
        <v>300</v>
      </c>
      <c r="J217" t="s">
        <v>71</v>
      </c>
      <c r="L217" s="10"/>
      <c r="M217" s="10" t="str">
        <f>الحركات[من صندوق]&amp;"/"&amp;الحركات[إلى صندوق]</f>
        <v>ملابس/صرف</v>
      </c>
      <c r="N217" s="10" t="str">
        <f>VLOOKUP(الحركات[من صندوق],Table1[],2,0)</f>
        <v>صرف</v>
      </c>
      <c r="O217" s="10" t="str">
        <f>VLOOKUP(الحركات[إلى صندوق],Table1[[الصندوق]:[نوعه]],2,0)</f>
        <v>خارجي</v>
      </c>
    </row>
    <row r="218" spans="1:15" x14ac:dyDescent="0.3">
      <c r="A218">
        <v>201810</v>
      </c>
      <c r="B218" s="3"/>
      <c r="C218" t="s">
        <v>15</v>
      </c>
      <c r="D218" s="10">
        <f>VLOOKUP(الحركات[[#This Row],[من صندوق]],Table5[],5,0)</f>
        <v>0</v>
      </c>
      <c r="E218" t="s">
        <v>14</v>
      </c>
      <c r="F218" s="10">
        <f>VLOOKUP(الحركات[[#This Row],[إلى صندوق]],Table5[[الصندوق]:[الرصيد الفعلي]],5,0)</f>
        <v>0</v>
      </c>
      <c r="G218" s="11">
        <f>IF(VLOOKUP(الحركات[إلى صندوق],Table1[],3,0)=0,VLOOKUP(الحركات[[#This Row],[من صندوق]],Table1[[الصندوق]:[القيمة الشهرية]],3,0),VLOOKUP(الحركات[إلى صندوق],Table1[],3,0))</f>
        <v>300</v>
      </c>
      <c r="H218">
        <v>300</v>
      </c>
      <c r="J218" t="s">
        <v>71</v>
      </c>
      <c r="L218" s="10"/>
      <c r="M218" s="10" t="str">
        <f>الحركات[من صندوق]&amp;"/"&amp;الحركات[إلى صندوق]</f>
        <v>ملابس/صرف</v>
      </c>
      <c r="N218" s="10" t="str">
        <f>VLOOKUP(الحركات[من صندوق],Table1[],2,0)</f>
        <v>صرف</v>
      </c>
      <c r="O218" s="10" t="str">
        <f>VLOOKUP(الحركات[إلى صندوق],Table1[[الصندوق]:[نوعه]],2,0)</f>
        <v>خارجي</v>
      </c>
    </row>
    <row r="219" spans="1:15" x14ac:dyDescent="0.3">
      <c r="A219">
        <v>201811</v>
      </c>
      <c r="B219" s="3"/>
      <c r="C219" t="s">
        <v>15</v>
      </c>
      <c r="D219" s="10">
        <f>VLOOKUP(الحركات[[#This Row],[من صندوق]],Table5[],5,0)</f>
        <v>0</v>
      </c>
      <c r="E219" t="s">
        <v>14</v>
      </c>
      <c r="F219" s="10">
        <f>VLOOKUP(الحركات[[#This Row],[إلى صندوق]],Table5[[الصندوق]:[الرصيد الفعلي]],5,0)</f>
        <v>0</v>
      </c>
      <c r="G219" s="11">
        <f>IF(VLOOKUP(الحركات[إلى صندوق],Table1[],3,0)=0,VLOOKUP(الحركات[[#This Row],[من صندوق]],Table1[[الصندوق]:[القيمة الشهرية]],3,0),VLOOKUP(الحركات[إلى صندوق],Table1[],3,0))</f>
        <v>300</v>
      </c>
      <c r="H219">
        <v>300</v>
      </c>
      <c r="J219" t="s">
        <v>71</v>
      </c>
      <c r="L219" s="10"/>
      <c r="M219" s="10" t="str">
        <f>الحركات[من صندوق]&amp;"/"&amp;الحركات[إلى صندوق]</f>
        <v>ملابس/صرف</v>
      </c>
      <c r="N219" s="10" t="str">
        <f>VLOOKUP(الحركات[من صندوق],Table1[],2,0)</f>
        <v>صرف</v>
      </c>
      <c r="O219" s="10" t="str">
        <f>VLOOKUP(الحركات[إلى صندوق],Table1[[الصندوق]:[نوعه]],2,0)</f>
        <v>خارجي</v>
      </c>
    </row>
    <row r="220" spans="1:15" x14ac:dyDescent="0.3">
      <c r="A220">
        <v>201812</v>
      </c>
      <c r="B220" s="3"/>
      <c r="C220" t="s">
        <v>15</v>
      </c>
      <c r="D220" s="10">
        <f>VLOOKUP(الحركات[[#This Row],[من صندوق]],Table5[],5,0)</f>
        <v>0</v>
      </c>
      <c r="E220" t="s">
        <v>14</v>
      </c>
      <c r="F220" s="10">
        <f>VLOOKUP(الحركات[[#This Row],[إلى صندوق]],Table5[[الصندوق]:[الرصيد الفعلي]],5,0)</f>
        <v>0</v>
      </c>
      <c r="G220" s="11">
        <f>IF(VLOOKUP(الحركات[إلى صندوق],Table1[],3,0)=0,VLOOKUP(الحركات[[#This Row],[من صندوق]],Table1[[الصندوق]:[القيمة الشهرية]],3,0),VLOOKUP(الحركات[إلى صندوق],Table1[],3,0))</f>
        <v>300</v>
      </c>
      <c r="H220">
        <v>300</v>
      </c>
      <c r="J220" t="s">
        <v>71</v>
      </c>
      <c r="L220" s="10"/>
      <c r="M220" s="10" t="str">
        <f>الحركات[من صندوق]&amp;"/"&amp;الحركات[إلى صندوق]</f>
        <v>ملابس/صرف</v>
      </c>
      <c r="N220" s="10" t="str">
        <f>VLOOKUP(الحركات[من صندوق],Table1[],2,0)</f>
        <v>صرف</v>
      </c>
      <c r="O220" s="10" t="str">
        <f>VLOOKUP(الحركات[إلى صندوق],Table1[[الصندوق]:[نوعه]],2,0)</f>
        <v>خارجي</v>
      </c>
    </row>
    <row r="221" spans="1:15" x14ac:dyDescent="0.3">
      <c r="A221">
        <v>201801</v>
      </c>
      <c r="B221" s="3"/>
      <c r="C221" t="s">
        <v>1</v>
      </c>
      <c r="D221" s="10">
        <f>VLOOKUP(الحركات[[#This Row],[من صندوق]],Table5[],5,0)</f>
        <v>0</v>
      </c>
      <c r="E221" t="s">
        <v>14</v>
      </c>
      <c r="F221" s="10">
        <f>VLOOKUP(الحركات[[#This Row],[إلى صندوق]],Table5[[الصندوق]:[الرصيد الفعلي]],5,0)</f>
        <v>0</v>
      </c>
      <c r="G221" s="11">
        <f>IF(VLOOKUP(الحركات[إلى صندوق],Table1[],3,0)=0,VLOOKUP(الحركات[[#This Row],[من صندوق]],Table1[[الصندوق]:[القيمة الشهرية]],3,0),VLOOKUP(الحركات[إلى صندوق],Table1[],3,0))</f>
        <v>200</v>
      </c>
      <c r="H221">
        <v>200</v>
      </c>
      <c r="J221" t="s">
        <v>72</v>
      </c>
      <c r="L221" s="10"/>
      <c r="M221" s="10" t="str">
        <f>الحركات[من صندوق]&amp;"/"&amp;الحركات[إلى صندوق]</f>
        <v>هدايا/صرف</v>
      </c>
      <c r="N221" s="10" t="str">
        <f>VLOOKUP(الحركات[من صندوق],Table1[],2,0)</f>
        <v>صرف</v>
      </c>
      <c r="O221" s="10" t="str">
        <f>VLOOKUP(الحركات[إلى صندوق],Table1[[الصندوق]:[نوعه]],2,0)</f>
        <v>خارجي</v>
      </c>
    </row>
    <row r="222" spans="1:15" x14ac:dyDescent="0.3">
      <c r="A222">
        <v>201802</v>
      </c>
      <c r="B222" s="3"/>
      <c r="C222" t="s">
        <v>1</v>
      </c>
      <c r="D222" s="10">
        <f>VLOOKUP(الحركات[[#This Row],[من صندوق]],Table5[],5,0)</f>
        <v>0</v>
      </c>
      <c r="E222" t="s">
        <v>14</v>
      </c>
      <c r="F222" s="10">
        <f>VLOOKUP(الحركات[[#This Row],[إلى صندوق]],Table5[[الصندوق]:[الرصيد الفعلي]],5,0)</f>
        <v>0</v>
      </c>
      <c r="G222" s="11">
        <f>IF(VLOOKUP(الحركات[إلى صندوق],Table1[],3,0)=0,VLOOKUP(الحركات[[#This Row],[من صندوق]],Table1[[الصندوق]:[القيمة الشهرية]],3,0),VLOOKUP(الحركات[إلى صندوق],Table1[],3,0))</f>
        <v>200</v>
      </c>
      <c r="H222">
        <v>200</v>
      </c>
      <c r="J222" t="s">
        <v>72</v>
      </c>
      <c r="L222" s="10"/>
      <c r="M222" s="10" t="str">
        <f>الحركات[من صندوق]&amp;"/"&amp;الحركات[إلى صندوق]</f>
        <v>هدايا/صرف</v>
      </c>
      <c r="N222" s="10" t="str">
        <f>VLOOKUP(الحركات[من صندوق],Table1[],2,0)</f>
        <v>صرف</v>
      </c>
      <c r="O222" s="10" t="str">
        <f>VLOOKUP(الحركات[إلى صندوق],Table1[[الصندوق]:[نوعه]],2,0)</f>
        <v>خارجي</v>
      </c>
    </row>
    <row r="223" spans="1:15" x14ac:dyDescent="0.3">
      <c r="A223">
        <v>201803</v>
      </c>
      <c r="B223" s="3"/>
      <c r="C223" t="s">
        <v>1</v>
      </c>
      <c r="D223" s="10">
        <f>VLOOKUP(الحركات[[#This Row],[من صندوق]],Table5[],5,0)</f>
        <v>0</v>
      </c>
      <c r="E223" t="s">
        <v>14</v>
      </c>
      <c r="F223" s="10">
        <f>VLOOKUP(الحركات[[#This Row],[إلى صندوق]],Table5[[الصندوق]:[الرصيد الفعلي]],5,0)</f>
        <v>0</v>
      </c>
      <c r="G223" s="11">
        <f>IF(VLOOKUP(الحركات[إلى صندوق],Table1[],3,0)=0,VLOOKUP(الحركات[[#This Row],[من صندوق]],Table1[[الصندوق]:[القيمة الشهرية]],3,0),VLOOKUP(الحركات[إلى صندوق],Table1[],3,0))</f>
        <v>200</v>
      </c>
      <c r="H223">
        <v>200</v>
      </c>
      <c r="J223" t="s">
        <v>72</v>
      </c>
      <c r="L223" s="10"/>
      <c r="M223" s="10" t="str">
        <f>الحركات[من صندوق]&amp;"/"&amp;الحركات[إلى صندوق]</f>
        <v>هدايا/صرف</v>
      </c>
      <c r="N223" s="10" t="str">
        <f>VLOOKUP(الحركات[من صندوق],Table1[],2,0)</f>
        <v>صرف</v>
      </c>
      <c r="O223" s="10" t="str">
        <f>VLOOKUP(الحركات[إلى صندوق],Table1[[الصندوق]:[نوعه]],2,0)</f>
        <v>خارجي</v>
      </c>
    </row>
    <row r="224" spans="1:15" x14ac:dyDescent="0.3">
      <c r="A224">
        <v>201804</v>
      </c>
      <c r="B224" s="3"/>
      <c r="C224" t="s">
        <v>1</v>
      </c>
      <c r="D224" s="10">
        <f>VLOOKUP(الحركات[[#This Row],[من صندوق]],Table5[],5,0)</f>
        <v>0</v>
      </c>
      <c r="E224" t="s">
        <v>14</v>
      </c>
      <c r="F224" s="10">
        <f>VLOOKUP(الحركات[[#This Row],[إلى صندوق]],Table5[[الصندوق]:[الرصيد الفعلي]],5,0)</f>
        <v>0</v>
      </c>
      <c r="G224" s="11">
        <f>IF(VLOOKUP(الحركات[إلى صندوق],Table1[],3,0)=0,VLOOKUP(الحركات[[#This Row],[من صندوق]],Table1[[الصندوق]:[القيمة الشهرية]],3,0),VLOOKUP(الحركات[إلى صندوق],Table1[],3,0))</f>
        <v>200</v>
      </c>
      <c r="H224">
        <v>200</v>
      </c>
      <c r="J224" t="s">
        <v>72</v>
      </c>
      <c r="L224" s="10"/>
      <c r="M224" s="10" t="str">
        <f>الحركات[من صندوق]&amp;"/"&amp;الحركات[إلى صندوق]</f>
        <v>هدايا/صرف</v>
      </c>
      <c r="N224" s="10" t="str">
        <f>VLOOKUP(الحركات[من صندوق],Table1[],2,0)</f>
        <v>صرف</v>
      </c>
      <c r="O224" s="10" t="str">
        <f>VLOOKUP(الحركات[إلى صندوق],Table1[[الصندوق]:[نوعه]],2,0)</f>
        <v>خارجي</v>
      </c>
    </row>
    <row r="225" spans="1:15" x14ac:dyDescent="0.3">
      <c r="A225">
        <v>201805</v>
      </c>
      <c r="B225" s="3"/>
      <c r="C225" t="s">
        <v>1</v>
      </c>
      <c r="D225" s="10">
        <f>VLOOKUP(الحركات[[#This Row],[من صندوق]],Table5[],5,0)</f>
        <v>0</v>
      </c>
      <c r="E225" t="s">
        <v>14</v>
      </c>
      <c r="F225" s="10">
        <f>VLOOKUP(الحركات[[#This Row],[إلى صندوق]],Table5[[الصندوق]:[الرصيد الفعلي]],5,0)</f>
        <v>0</v>
      </c>
      <c r="G225" s="11">
        <f>IF(VLOOKUP(الحركات[إلى صندوق],Table1[],3,0)=0,VLOOKUP(الحركات[[#This Row],[من صندوق]],Table1[[الصندوق]:[القيمة الشهرية]],3,0),VLOOKUP(الحركات[إلى صندوق],Table1[],3,0))</f>
        <v>200</v>
      </c>
      <c r="H225">
        <v>200</v>
      </c>
      <c r="J225" t="s">
        <v>72</v>
      </c>
      <c r="L225" s="10"/>
      <c r="M225" s="10" t="str">
        <f>الحركات[من صندوق]&amp;"/"&amp;الحركات[إلى صندوق]</f>
        <v>هدايا/صرف</v>
      </c>
      <c r="N225" s="10" t="str">
        <f>VLOOKUP(الحركات[من صندوق],Table1[],2,0)</f>
        <v>صرف</v>
      </c>
      <c r="O225" s="10" t="str">
        <f>VLOOKUP(الحركات[إلى صندوق],Table1[[الصندوق]:[نوعه]],2,0)</f>
        <v>خارجي</v>
      </c>
    </row>
    <row r="226" spans="1:15" x14ac:dyDescent="0.3">
      <c r="A226">
        <v>201806</v>
      </c>
      <c r="B226" s="3"/>
      <c r="C226" t="s">
        <v>1</v>
      </c>
      <c r="D226" s="10">
        <f>VLOOKUP(الحركات[[#This Row],[من صندوق]],Table5[],5,0)</f>
        <v>0</v>
      </c>
      <c r="E226" t="s">
        <v>14</v>
      </c>
      <c r="F226" s="10">
        <f>VLOOKUP(الحركات[[#This Row],[إلى صندوق]],Table5[[الصندوق]:[الرصيد الفعلي]],5,0)</f>
        <v>0</v>
      </c>
      <c r="G226" s="11">
        <f>IF(VLOOKUP(الحركات[إلى صندوق],Table1[],3,0)=0,VLOOKUP(الحركات[[#This Row],[من صندوق]],Table1[[الصندوق]:[القيمة الشهرية]],3,0),VLOOKUP(الحركات[إلى صندوق],Table1[],3,0))</f>
        <v>200</v>
      </c>
      <c r="H226">
        <v>200</v>
      </c>
      <c r="J226" t="s">
        <v>72</v>
      </c>
      <c r="L226" s="10"/>
      <c r="M226" s="10" t="str">
        <f>الحركات[من صندوق]&amp;"/"&amp;الحركات[إلى صندوق]</f>
        <v>هدايا/صرف</v>
      </c>
      <c r="N226" s="10" t="str">
        <f>VLOOKUP(الحركات[من صندوق],Table1[],2,0)</f>
        <v>صرف</v>
      </c>
      <c r="O226" s="10" t="str">
        <f>VLOOKUP(الحركات[إلى صندوق],Table1[[الصندوق]:[نوعه]],2,0)</f>
        <v>خارجي</v>
      </c>
    </row>
    <row r="227" spans="1:15" x14ac:dyDescent="0.3">
      <c r="A227">
        <v>201807</v>
      </c>
      <c r="B227" s="3"/>
      <c r="C227" t="s">
        <v>1</v>
      </c>
      <c r="D227" s="10">
        <f>VLOOKUP(الحركات[[#This Row],[من صندوق]],Table5[],5,0)</f>
        <v>0</v>
      </c>
      <c r="E227" t="s">
        <v>14</v>
      </c>
      <c r="F227" s="10">
        <f>VLOOKUP(الحركات[[#This Row],[إلى صندوق]],Table5[[الصندوق]:[الرصيد الفعلي]],5,0)</f>
        <v>0</v>
      </c>
      <c r="G227" s="11">
        <f>IF(VLOOKUP(الحركات[إلى صندوق],Table1[],3,0)=0,VLOOKUP(الحركات[[#This Row],[من صندوق]],Table1[[الصندوق]:[القيمة الشهرية]],3,0),VLOOKUP(الحركات[إلى صندوق],Table1[],3,0))</f>
        <v>200</v>
      </c>
      <c r="H227">
        <v>200</v>
      </c>
      <c r="J227" t="s">
        <v>72</v>
      </c>
      <c r="L227" s="10"/>
      <c r="M227" s="10" t="str">
        <f>الحركات[من صندوق]&amp;"/"&amp;الحركات[إلى صندوق]</f>
        <v>هدايا/صرف</v>
      </c>
      <c r="N227" s="10" t="str">
        <f>VLOOKUP(الحركات[من صندوق],Table1[],2,0)</f>
        <v>صرف</v>
      </c>
      <c r="O227" s="10" t="str">
        <f>VLOOKUP(الحركات[إلى صندوق],Table1[[الصندوق]:[نوعه]],2,0)</f>
        <v>خارجي</v>
      </c>
    </row>
    <row r="228" spans="1:15" x14ac:dyDescent="0.3">
      <c r="A228">
        <v>201808</v>
      </c>
      <c r="B228" s="3"/>
      <c r="C228" t="s">
        <v>1</v>
      </c>
      <c r="D228" s="10">
        <f>VLOOKUP(الحركات[[#This Row],[من صندوق]],Table5[],5,0)</f>
        <v>0</v>
      </c>
      <c r="E228" t="s">
        <v>14</v>
      </c>
      <c r="F228" s="10">
        <f>VLOOKUP(الحركات[[#This Row],[إلى صندوق]],Table5[[الصندوق]:[الرصيد الفعلي]],5,0)</f>
        <v>0</v>
      </c>
      <c r="G228" s="11">
        <f>IF(VLOOKUP(الحركات[إلى صندوق],Table1[],3,0)=0,VLOOKUP(الحركات[[#This Row],[من صندوق]],Table1[[الصندوق]:[القيمة الشهرية]],3,0),VLOOKUP(الحركات[إلى صندوق],Table1[],3,0))</f>
        <v>200</v>
      </c>
      <c r="H228">
        <v>200</v>
      </c>
      <c r="J228" t="s">
        <v>72</v>
      </c>
      <c r="L228" s="10"/>
      <c r="M228" s="10" t="str">
        <f>الحركات[من صندوق]&amp;"/"&amp;الحركات[إلى صندوق]</f>
        <v>هدايا/صرف</v>
      </c>
      <c r="N228" s="10" t="str">
        <f>VLOOKUP(الحركات[من صندوق],Table1[],2,0)</f>
        <v>صرف</v>
      </c>
      <c r="O228" s="10" t="str">
        <f>VLOOKUP(الحركات[إلى صندوق],Table1[[الصندوق]:[نوعه]],2,0)</f>
        <v>خارجي</v>
      </c>
    </row>
    <row r="229" spans="1:15" x14ac:dyDescent="0.3">
      <c r="A229">
        <v>201809</v>
      </c>
      <c r="B229" s="3"/>
      <c r="C229" t="s">
        <v>1</v>
      </c>
      <c r="D229" s="10">
        <f>VLOOKUP(الحركات[[#This Row],[من صندوق]],Table5[],5,0)</f>
        <v>0</v>
      </c>
      <c r="E229" t="s">
        <v>14</v>
      </c>
      <c r="F229" s="10">
        <f>VLOOKUP(الحركات[[#This Row],[إلى صندوق]],Table5[[الصندوق]:[الرصيد الفعلي]],5,0)</f>
        <v>0</v>
      </c>
      <c r="G229" s="11">
        <f>IF(VLOOKUP(الحركات[إلى صندوق],Table1[],3,0)=0,VLOOKUP(الحركات[[#This Row],[من صندوق]],Table1[[الصندوق]:[القيمة الشهرية]],3,0),VLOOKUP(الحركات[إلى صندوق],Table1[],3,0))</f>
        <v>200</v>
      </c>
      <c r="H229">
        <v>200</v>
      </c>
      <c r="J229" t="s">
        <v>72</v>
      </c>
      <c r="L229" s="10"/>
      <c r="M229" s="10" t="str">
        <f>الحركات[من صندوق]&amp;"/"&amp;الحركات[إلى صندوق]</f>
        <v>هدايا/صرف</v>
      </c>
      <c r="N229" s="10" t="str">
        <f>VLOOKUP(الحركات[من صندوق],Table1[],2,0)</f>
        <v>صرف</v>
      </c>
      <c r="O229" s="10" t="str">
        <f>VLOOKUP(الحركات[إلى صندوق],Table1[[الصندوق]:[نوعه]],2,0)</f>
        <v>خارجي</v>
      </c>
    </row>
    <row r="230" spans="1:15" x14ac:dyDescent="0.3">
      <c r="A230">
        <v>201810</v>
      </c>
      <c r="B230" s="3"/>
      <c r="C230" t="s">
        <v>1</v>
      </c>
      <c r="D230" s="10">
        <f>VLOOKUP(الحركات[[#This Row],[من صندوق]],Table5[],5,0)</f>
        <v>0</v>
      </c>
      <c r="E230" t="s">
        <v>14</v>
      </c>
      <c r="F230" s="10">
        <f>VLOOKUP(الحركات[[#This Row],[إلى صندوق]],Table5[[الصندوق]:[الرصيد الفعلي]],5,0)</f>
        <v>0</v>
      </c>
      <c r="G230" s="11">
        <f>IF(VLOOKUP(الحركات[إلى صندوق],Table1[],3,0)=0,VLOOKUP(الحركات[[#This Row],[من صندوق]],Table1[[الصندوق]:[القيمة الشهرية]],3,0),VLOOKUP(الحركات[إلى صندوق],Table1[],3,0))</f>
        <v>200</v>
      </c>
      <c r="H230">
        <v>200</v>
      </c>
      <c r="J230" t="s">
        <v>72</v>
      </c>
      <c r="L230" s="10"/>
      <c r="M230" s="10" t="str">
        <f>الحركات[من صندوق]&amp;"/"&amp;الحركات[إلى صندوق]</f>
        <v>هدايا/صرف</v>
      </c>
      <c r="N230" s="10" t="str">
        <f>VLOOKUP(الحركات[من صندوق],Table1[],2,0)</f>
        <v>صرف</v>
      </c>
      <c r="O230" s="10" t="str">
        <f>VLOOKUP(الحركات[إلى صندوق],Table1[[الصندوق]:[نوعه]],2,0)</f>
        <v>خارجي</v>
      </c>
    </row>
    <row r="231" spans="1:15" x14ac:dyDescent="0.3">
      <c r="A231">
        <v>201811</v>
      </c>
      <c r="B231" s="3"/>
      <c r="C231" t="s">
        <v>1</v>
      </c>
      <c r="D231" s="10">
        <f>VLOOKUP(الحركات[[#This Row],[من صندوق]],Table5[],5,0)</f>
        <v>0</v>
      </c>
      <c r="E231" t="s">
        <v>14</v>
      </c>
      <c r="F231" s="10">
        <f>VLOOKUP(الحركات[[#This Row],[إلى صندوق]],Table5[[الصندوق]:[الرصيد الفعلي]],5,0)</f>
        <v>0</v>
      </c>
      <c r="G231" s="11">
        <f>IF(VLOOKUP(الحركات[إلى صندوق],Table1[],3,0)=0,VLOOKUP(الحركات[[#This Row],[من صندوق]],Table1[[الصندوق]:[القيمة الشهرية]],3,0),VLOOKUP(الحركات[إلى صندوق],Table1[],3,0))</f>
        <v>200</v>
      </c>
      <c r="H231">
        <v>200</v>
      </c>
      <c r="J231" t="s">
        <v>72</v>
      </c>
      <c r="L231" s="10"/>
      <c r="M231" s="10" t="str">
        <f>الحركات[من صندوق]&amp;"/"&amp;الحركات[إلى صندوق]</f>
        <v>هدايا/صرف</v>
      </c>
      <c r="N231" s="10" t="str">
        <f>VLOOKUP(الحركات[من صندوق],Table1[],2,0)</f>
        <v>صرف</v>
      </c>
      <c r="O231" s="10" t="str">
        <f>VLOOKUP(الحركات[إلى صندوق],Table1[[الصندوق]:[نوعه]],2,0)</f>
        <v>خارجي</v>
      </c>
    </row>
    <row r="232" spans="1:15" x14ac:dyDescent="0.3">
      <c r="A232">
        <v>201812</v>
      </c>
      <c r="B232" s="3"/>
      <c r="C232" t="s">
        <v>1</v>
      </c>
      <c r="D232" s="10">
        <f>VLOOKUP(الحركات[[#This Row],[من صندوق]],Table5[],5,0)</f>
        <v>0</v>
      </c>
      <c r="E232" t="s">
        <v>14</v>
      </c>
      <c r="F232" s="10">
        <f>VLOOKUP(الحركات[[#This Row],[إلى صندوق]],Table5[[الصندوق]:[الرصيد الفعلي]],5,0)</f>
        <v>0</v>
      </c>
      <c r="G232" s="11">
        <f>IF(VLOOKUP(الحركات[إلى صندوق],Table1[],3,0)=0,VLOOKUP(الحركات[[#This Row],[من صندوق]],Table1[[الصندوق]:[القيمة الشهرية]],3,0),VLOOKUP(الحركات[إلى صندوق],Table1[],3,0))</f>
        <v>200</v>
      </c>
      <c r="H232">
        <v>200</v>
      </c>
      <c r="J232" t="s">
        <v>72</v>
      </c>
      <c r="L232" s="10"/>
      <c r="M232" s="10" t="str">
        <f>الحركات[من صندوق]&amp;"/"&amp;الحركات[إلى صندوق]</f>
        <v>هدايا/صرف</v>
      </c>
      <c r="N232" s="10" t="str">
        <f>VLOOKUP(الحركات[من صندوق],Table1[],2,0)</f>
        <v>صرف</v>
      </c>
      <c r="O232" s="10" t="str">
        <f>VLOOKUP(الحركات[إلى صندوق],Table1[[الصندوق]:[نوعه]],2,0)</f>
        <v>خارجي</v>
      </c>
    </row>
    <row r="233" spans="1:15" x14ac:dyDescent="0.3">
      <c r="A233">
        <v>201806</v>
      </c>
      <c r="B233" s="3"/>
      <c r="C233" t="s">
        <v>4</v>
      </c>
      <c r="D233" s="10">
        <f>VLOOKUP(الحركات[[#This Row],[من صندوق]],Table5[],5,0)</f>
        <v>0</v>
      </c>
      <c r="E233" t="s">
        <v>14</v>
      </c>
      <c r="F233" s="10">
        <f>VLOOKUP(الحركات[[#This Row],[إلى صندوق]],Table5[[الصندوق]:[الرصيد الفعلي]],5,0)</f>
        <v>0</v>
      </c>
      <c r="G233" s="11">
        <f>IF(VLOOKUP(الحركات[إلى صندوق],Table1[],3,0)=0,VLOOKUP(الحركات[[#This Row],[من صندوق]],Table1[[الصندوق]:[القيمة الشهرية]],3,0),VLOOKUP(الحركات[إلى صندوق],Table1[],3,0))</f>
        <v>200</v>
      </c>
      <c r="H233">
        <v>1200</v>
      </c>
      <c r="J233" t="s">
        <v>73</v>
      </c>
      <c r="L233" s="10"/>
      <c r="M233" s="10" t="str">
        <f>الحركات[من صندوق]&amp;"/"&amp;الحركات[إلى صندوق]</f>
        <v>طوارئ/صرف</v>
      </c>
      <c r="N233" s="10" t="str">
        <f>VLOOKUP(الحركات[من صندوق],Table1[],2,0)</f>
        <v>صرف</v>
      </c>
      <c r="O233" s="10" t="str">
        <f>VLOOKUP(الحركات[إلى صندوق],Table1[[الصندوق]:[نوعه]],2,0)</f>
        <v>خارجي</v>
      </c>
    </row>
    <row r="234" spans="1:15" x14ac:dyDescent="0.3">
      <c r="A234">
        <v>201812</v>
      </c>
      <c r="B234" s="3"/>
      <c r="C234" t="s">
        <v>4</v>
      </c>
      <c r="D234" s="10">
        <f>VLOOKUP(الحركات[[#This Row],[من صندوق]],Table5[],5,0)</f>
        <v>0</v>
      </c>
      <c r="E234" t="s">
        <v>14</v>
      </c>
      <c r="F234" s="10">
        <f>VLOOKUP(الحركات[[#This Row],[إلى صندوق]],Table5[[الصندوق]:[الرصيد الفعلي]],5,0)</f>
        <v>0</v>
      </c>
      <c r="G234" s="11">
        <f>IF(VLOOKUP(الحركات[إلى صندوق],Table1[],3,0)=0,VLOOKUP(الحركات[[#This Row],[من صندوق]],Table1[[الصندوق]:[القيمة الشهرية]],3,0),VLOOKUP(الحركات[إلى صندوق],Table1[],3,0))</f>
        <v>200</v>
      </c>
      <c r="H234">
        <v>1200</v>
      </c>
      <c r="J234" t="s">
        <v>73</v>
      </c>
      <c r="L234" s="10"/>
      <c r="M234" s="10" t="str">
        <f>الحركات[من صندوق]&amp;"/"&amp;الحركات[إلى صندوق]</f>
        <v>طوارئ/صرف</v>
      </c>
      <c r="N234" s="10" t="str">
        <f>VLOOKUP(الحركات[من صندوق],Table1[],2,0)</f>
        <v>صرف</v>
      </c>
      <c r="O234" s="10" t="str">
        <f>VLOOKUP(الحركات[إلى صندوق],Table1[[الصندوق]:[نوعه]],2,0)</f>
        <v>خارجي</v>
      </c>
    </row>
  </sheetData>
  <pageMargins left="0.7" right="0.7" top="0.75" bottom="0.75" header="0.3" footer="0.3"/>
  <pageSetup paperSize="9" orientation="portrait" verticalDpi="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الإعدادات!$A$2:$A$13</xm:f>
          </x14:formula1>
          <xm:sqref>A7:A234</xm:sqref>
        </x14:dataValidation>
        <x14:dataValidation type="list" allowBlank="1" showInputMessage="1" showErrorMessage="1">
          <x14:formula1>
            <xm:f>'إعدادات الصناديق'!$A$7:$A$21</xm:f>
          </x14:formula1>
          <xm:sqref>C7:C234 E7:E234</xm:sqref>
        </x14:dataValidation>
        <x14:dataValidation type="list" allowBlank="1" showInputMessage="1" showErrorMessage="1">
          <x14:formula1>
            <xm:f>الإعدادات!$C$2:$C$3</xm:f>
          </x14:formula1>
          <xm:sqref>K7:K234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22"/>
  <sheetViews>
    <sheetView showGridLines="0" rightToLeft="1" workbookViewId="0">
      <selection activeCell="B14" sqref="B14"/>
    </sheetView>
  </sheetViews>
  <sheetFormatPr defaultRowHeight="14.4" x14ac:dyDescent="0.3"/>
  <cols>
    <col min="1" max="1" width="11" bestFit="1" customWidth="1"/>
    <col min="3" max="14" width="11.44140625" bestFit="1" customWidth="1"/>
  </cols>
  <sheetData>
    <row r="6" spans="1:14" x14ac:dyDescent="0.3">
      <c r="A6" t="s">
        <v>6</v>
      </c>
      <c r="B6" t="s">
        <v>19</v>
      </c>
      <c r="C6" s="13" t="s">
        <v>74</v>
      </c>
      <c r="D6" s="13" t="s">
        <v>75</v>
      </c>
      <c r="E6" s="13" t="s">
        <v>76</v>
      </c>
      <c r="F6" s="13" t="s">
        <v>77</v>
      </c>
      <c r="G6" s="13" t="s">
        <v>78</v>
      </c>
      <c r="H6" s="13" t="s">
        <v>79</v>
      </c>
      <c r="I6" s="13" t="s">
        <v>80</v>
      </c>
      <c r="J6" s="13" t="s">
        <v>81</v>
      </c>
      <c r="K6" s="13" t="s">
        <v>82</v>
      </c>
      <c r="L6" s="13" t="s">
        <v>83</v>
      </c>
      <c r="M6" s="13" t="s">
        <v>84</v>
      </c>
      <c r="N6" s="13" t="s">
        <v>85</v>
      </c>
    </row>
    <row r="7" spans="1:14" hidden="1" x14ac:dyDescent="0.3">
      <c r="A7" t="str">
        <f>Table1[[#This Row],[الصندوق]]</f>
        <v>الشركة</v>
      </c>
      <c r="B7" t="str">
        <f>Table1[[#This Row],[نوعه]]</f>
        <v>خارجي</v>
      </c>
      <c r="C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-10000</v>
      </c>
      <c r="D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-20000</v>
      </c>
      <c r="E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-30000</v>
      </c>
      <c r="F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-40000</v>
      </c>
      <c r="G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-50000</v>
      </c>
      <c r="H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-60000</v>
      </c>
      <c r="I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-70000</v>
      </c>
      <c r="J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-80000</v>
      </c>
      <c r="K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-90000</v>
      </c>
      <c r="L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-100000</v>
      </c>
      <c r="M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-110000</v>
      </c>
      <c r="N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-120000</v>
      </c>
    </row>
    <row r="8" spans="1:14" hidden="1" x14ac:dyDescent="0.3">
      <c r="A8" t="str">
        <f>Table1[[#This Row],[الصندوق]]</f>
        <v>صرف</v>
      </c>
      <c r="B8" t="str">
        <f>Table1[[#This Row],[نوعه]]</f>
        <v>خارجي</v>
      </c>
      <c r="C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5250</v>
      </c>
      <c r="D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18500</v>
      </c>
      <c r="E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23750</v>
      </c>
      <c r="F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38000</v>
      </c>
      <c r="G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43250</v>
      </c>
      <c r="H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51200</v>
      </c>
      <c r="I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61250</v>
      </c>
      <c r="J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74500</v>
      </c>
      <c r="K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79750</v>
      </c>
      <c r="L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96400</v>
      </c>
      <c r="M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109650</v>
      </c>
      <c r="N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120000</v>
      </c>
    </row>
    <row r="9" spans="1:14" x14ac:dyDescent="0.3">
      <c r="A9" t="str">
        <f>Table1[[#This Row],[الصندوق]]</f>
        <v>الراتب</v>
      </c>
      <c r="B9" t="str">
        <f>Table1[[#This Row],[نوعه]]</f>
        <v>دخل</v>
      </c>
      <c r="C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D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E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F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G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H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I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J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K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L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M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N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0" spans="1:14" x14ac:dyDescent="0.3">
      <c r="A10" t="str">
        <f>Table1[[#This Row],[الصندوق]]</f>
        <v>فواتير</v>
      </c>
      <c r="B10" t="str">
        <f>Table1[[#This Row],[نوعه]]</f>
        <v>صرف</v>
      </c>
      <c r="C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D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E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F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G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H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I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J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K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L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M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N1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1" spans="1:14" x14ac:dyDescent="0.3">
      <c r="A11" t="str">
        <f>Table1[[#This Row],[الصندوق]]</f>
        <v>مصاريف شهرية</v>
      </c>
      <c r="B11" t="str">
        <f>Table1[[#This Row],[نوعه]]</f>
        <v>صرف</v>
      </c>
      <c r="C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D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E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F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G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H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I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J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K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L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M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N1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2" spans="1:14" x14ac:dyDescent="0.3">
      <c r="A12" t="str">
        <f>Table1[[#This Row],[الصندوق]]</f>
        <v>مدارس</v>
      </c>
      <c r="B12" t="str">
        <f>Table1[[#This Row],[نوعه]]</f>
        <v>صرف</v>
      </c>
      <c r="C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2000</v>
      </c>
      <c r="D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-4000</v>
      </c>
      <c r="E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-2000</v>
      </c>
      <c r="F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G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2000</v>
      </c>
      <c r="H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4000</v>
      </c>
      <c r="I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6000</v>
      </c>
      <c r="J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K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2000</v>
      </c>
      <c r="L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4000</v>
      </c>
      <c r="M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-2000</v>
      </c>
      <c r="N12">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3" spans="1:14" x14ac:dyDescent="0.3">
      <c r="A13" t="str">
        <f>Table1[[#This Row],[الصندوق]]</f>
        <v>ايجار المنزل</v>
      </c>
      <c r="B13" t="str">
        <f>Table1[[#This Row],[نوعه]]</f>
        <v>صرف</v>
      </c>
      <c r="C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1500</v>
      </c>
      <c r="D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3000</v>
      </c>
      <c r="E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4500</v>
      </c>
      <c r="F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-3000</v>
      </c>
      <c r="G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-1500</v>
      </c>
      <c r="H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I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1500</v>
      </c>
      <c r="J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3000</v>
      </c>
      <c r="K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4500</v>
      </c>
      <c r="L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-3000</v>
      </c>
      <c r="M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-1500</v>
      </c>
      <c r="N13">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4" spans="1:14" x14ac:dyDescent="0.3">
      <c r="A14" t="str">
        <f>Table1[[#This Row],[الصندوق]]</f>
        <v>توفير</v>
      </c>
      <c r="B14" t="str">
        <f>Table1[[#This Row],[نوعه]]</f>
        <v>صرف</v>
      </c>
      <c r="C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D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E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F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G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H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I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J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K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L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M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N14">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5" spans="1:14" x14ac:dyDescent="0.3">
      <c r="A15" t="str">
        <f>Table1[[#This Row],[الصندوق]]</f>
        <v>اجازات</v>
      </c>
      <c r="B15" t="str">
        <f>Table1[[#This Row],[نوعه]]</f>
        <v>صرف</v>
      </c>
      <c r="C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v>
      </c>
      <c r="D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800</v>
      </c>
      <c r="E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1200</v>
      </c>
      <c r="F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1600</v>
      </c>
      <c r="G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2000</v>
      </c>
      <c r="H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2400</v>
      </c>
      <c r="I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-2000</v>
      </c>
      <c r="J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-1600</v>
      </c>
      <c r="K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-1200</v>
      </c>
      <c r="L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-800</v>
      </c>
      <c r="M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v>
      </c>
      <c r="N15">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6" spans="1:14" x14ac:dyDescent="0.3">
      <c r="A16" t="str">
        <f>Table1[[#This Row],[الصندوق]]</f>
        <v>دورات</v>
      </c>
      <c r="B16" t="str">
        <f>Table1[[#This Row],[نوعه]]</f>
        <v>صرف</v>
      </c>
      <c r="C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v>
      </c>
      <c r="D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v>
      </c>
      <c r="E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600</v>
      </c>
      <c r="F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800</v>
      </c>
      <c r="G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1000</v>
      </c>
      <c r="H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1200</v>
      </c>
      <c r="I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1400</v>
      </c>
      <c r="J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1600</v>
      </c>
      <c r="K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1800</v>
      </c>
      <c r="L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v>
      </c>
      <c r="M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v>
      </c>
      <c r="N16">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7" spans="1:14" x14ac:dyDescent="0.3">
      <c r="A17" t="str">
        <f>Table1[[#This Row],[الصندوق]]</f>
        <v>زكاة</v>
      </c>
      <c r="B17" t="str">
        <f>Table1[[#This Row],[نوعه]]</f>
        <v>صرف</v>
      </c>
      <c r="C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v>
      </c>
      <c r="D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v>
      </c>
      <c r="E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600</v>
      </c>
      <c r="F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800</v>
      </c>
      <c r="G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1000</v>
      </c>
      <c r="H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1200</v>
      </c>
      <c r="I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1400</v>
      </c>
      <c r="J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1600</v>
      </c>
      <c r="K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1800</v>
      </c>
      <c r="L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2000</v>
      </c>
      <c r="M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2200</v>
      </c>
      <c r="N17">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8" spans="1:14" x14ac:dyDescent="0.3">
      <c r="A18" t="str">
        <f>Table1[[#This Row],[الصندوق]]</f>
        <v>صيانة السيارة</v>
      </c>
      <c r="B18" t="str">
        <f>Table1[[#This Row],[نوعه]]</f>
        <v>صرف</v>
      </c>
      <c r="C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250</v>
      </c>
      <c r="D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500</v>
      </c>
      <c r="E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750</v>
      </c>
      <c r="F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1000</v>
      </c>
      <c r="G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1250</v>
      </c>
      <c r="H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I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250</v>
      </c>
      <c r="J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500</v>
      </c>
      <c r="K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750</v>
      </c>
      <c r="L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1000</v>
      </c>
      <c r="M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1250</v>
      </c>
      <c r="N18">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19" spans="1:14" x14ac:dyDescent="0.3">
      <c r="A19" t="str">
        <f>Table1[[#This Row],[الصندوق]]</f>
        <v>ملابس</v>
      </c>
      <c r="B19" t="str">
        <f>Table1[[#This Row],[نوعه]]</f>
        <v>صرف</v>
      </c>
      <c r="C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D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E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F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G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H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I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J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K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L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M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N19">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20" spans="1:14" x14ac:dyDescent="0.3">
      <c r="A20" t="str">
        <f>Table1[[#This Row],[الصندوق]]</f>
        <v>هدايا</v>
      </c>
      <c r="B20" t="str">
        <f>Table1[[#This Row],[نوعه]]</f>
        <v>صرف</v>
      </c>
      <c r="C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D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E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F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G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H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I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J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K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L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M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N20">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21" spans="1:14" x14ac:dyDescent="0.3">
      <c r="A21" t="str">
        <f>Table1[[#This Row],[الصندوق]]</f>
        <v>طوارئ</v>
      </c>
      <c r="B21" t="str">
        <f>Table1[[#This Row],[نوعه]]</f>
        <v>صرف</v>
      </c>
      <c r="C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v>
      </c>
      <c r="D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v>
      </c>
      <c r="E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600</v>
      </c>
      <c r="F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800</v>
      </c>
      <c r="G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1000</v>
      </c>
      <c r="H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c r="I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200</v>
      </c>
      <c r="J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400</v>
      </c>
      <c r="K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600</v>
      </c>
      <c r="L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800</v>
      </c>
      <c r="M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1000</v>
      </c>
      <c r="N21">
        <f>SUMIFS(الحركات[القيمة / خطة],الحركات[إلى صندوق],شهر12[[#This Row],[الصندوق]],الحركات[مدفوع من شهر],"&lt;="&amp;شهر12[#Headers])-SUMIFS(الحركات[القيمة / خطة],الحركات[من صندوق],شهر12[[#This Row],[الصندوق]],الحركات[مدفوع من شهر],"&lt;="&amp;شهر12[#Headers])</f>
        <v>0</v>
      </c>
    </row>
    <row r="22" spans="1:14" x14ac:dyDescent="0.3">
      <c r="A22" t="s">
        <v>2</v>
      </c>
      <c r="C22">
        <f>SUBTOTAL(109,شهر12[201801])</f>
        <v>4750</v>
      </c>
      <c r="D22">
        <f>SUBTOTAL(109,شهر12[201802])</f>
        <v>1500</v>
      </c>
      <c r="E22">
        <f>SUBTOTAL(109,شهر12[201803])</f>
        <v>6250</v>
      </c>
      <c r="F22">
        <f>SUBTOTAL(109,شهر12[201804])</f>
        <v>2000</v>
      </c>
      <c r="G22">
        <f>SUBTOTAL(109,شهر12[201805])</f>
        <v>6750</v>
      </c>
      <c r="H22">
        <f>SUBTOTAL(109,شهر12[201806])</f>
        <v>8800</v>
      </c>
      <c r="I22">
        <f>SUBTOTAL(109,شهر12[201807])</f>
        <v>8750</v>
      </c>
      <c r="J22">
        <f>SUBTOTAL(109,شهر12[201808])</f>
        <v>5500</v>
      </c>
      <c r="K22">
        <f>SUBTOTAL(109,شهر12[201809])</f>
        <v>10250</v>
      </c>
      <c r="L22">
        <f>SUBTOTAL(109,شهر12[201810])</f>
        <v>3600</v>
      </c>
      <c r="M22">
        <f>SUBTOTAL(109,شهر12[201811])</f>
        <v>350</v>
      </c>
      <c r="N22">
        <f>SUBTOTAL(109,شهر12[201812])</f>
        <v>0</v>
      </c>
    </row>
  </sheetData>
  <conditionalFormatting sqref="C7:N21">
    <cfRule type="cellIs" dxfId="30" priority="1" operator="equal">
      <formula>0</formula>
    </cfRule>
    <cfRule type="cellIs" dxfId="29" priority="2" operator="lessThan">
      <formula>0</formula>
    </cfRule>
    <cfRule type="cellIs" dxfId="28" priority="3" operator="greaterThan">
      <formula>0</formula>
    </cfRule>
  </conditionalFormatting>
  <pageMargins left="0.7" right="0.7" top="0.75" bottom="0.75" header="0.3" footer="0.3"/>
  <pageSetup paperSize="9" orientation="portrait"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1"/>
  <sheetViews>
    <sheetView showGridLines="0" rightToLeft="1" workbookViewId="0">
      <selection activeCell="G13" sqref="G13"/>
    </sheetView>
  </sheetViews>
  <sheetFormatPr defaultRowHeight="14.4" x14ac:dyDescent="0.3"/>
  <cols>
    <col min="1" max="1" width="11" bestFit="1" customWidth="1"/>
    <col min="2" max="2" width="19.88671875" bestFit="1" customWidth="1"/>
    <col min="3" max="3" width="15.109375" bestFit="1" customWidth="1"/>
    <col min="4" max="4" width="26.6640625" bestFit="1" customWidth="1"/>
    <col min="5" max="5" width="20.77734375" bestFit="1" customWidth="1"/>
    <col min="6" max="6" width="16.109375" bestFit="1" customWidth="1"/>
    <col min="7" max="7" width="27.6640625" bestFit="1" customWidth="1"/>
    <col min="8" max="8" width="17.6640625" bestFit="1" customWidth="1"/>
    <col min="9" max="9" width="12.44140625" bestFit="1" customWidth="1"/>
  </cols>
  <sheetData>
    <row r="3" spans="1:9" ht="21" x14ac:dyDescent="0.4">
      <c r="B3" s="15" t="s">
        <v>88</v>
      </c>
      <c r="C3" s="14" t="s">
        <v>96</v>
      </c>
      <c r="D3" s="15" t="s">
        <v>89</v>
      </c>
      <c r="E3" s="14">
        <v>201803</v>
      </c>
      <c r="F3" s="19" t="str">
        <f>IF(C3="حتى","&lt;="&amp;E3,E3)</f>
        <v>&lt;=201803</v>
      </c>
    </row>
    <row r="6" spans="1:9" x14ac:dyDescent="0.3">
      <c r="A6" t="s">
        <v>6</v>
      </c>
      <c r="B6" t="s">
        <v>86</v>
      </c>
      <c r="C6" t="s">
        <v>87</v>
      </c>
      <c r="D6" t="s">
        <v>90</v>
      </c>
      <c r="E6" t="s">
        <v>91</v>
      </c>
      <c r="F6" t="s">
        <v>92</v>
      </c>
      <c r="G6" t="s">
        <v>93</v>
      </c>
      <c r="H6" t="s">
        <v>94</v>
      </c>
      <c r="I6" t="s">
        <v>95</v>
      </c>
    </row>
    <row r="7" spans="1:9" x14ac:dyDescent="0.3">
      <c r="A7" t="str">
        <f>Table1[[#This Row],[الصندوق]]</f>
        <v>الشركة</v>
      </c>
      <c r="B7" s="17">
        <f>SUMIFS(الحركات[القيمة / خطة],الحركات[إلى صندوق],Table4[[#This Row],[الصندوق]],الحركات[مدفوع من شهر],$F$3)</f>
        <v>0</v>
      </c>
      <c r="C7" s="17">
        <f>SUMIFS(الحركات[القيمة الفعلية],الحركات[إلى صندوق],Table4[[#This Row],[الصندوق]],الحركات[مدفوع من شهر],$F$3)</f>
        <v>0</v>
      </c>
      <c r="D7" s="16">
        <f>IFERROR(Table4[[#This Row],[المدخلات الفعلية]]/Table4[[#This Row],[المدخلات حسب الخطة]],1)</f>
        <v>1</v>
      </c>
      <c r="E7" s="18">
        <f>SUMIFS(الحركات[القيمة / خطة],الحركات[من صندوق],Table4[[#This Row],[الصندوق]],الحركات[مدفوع من شهر],'الوضع في شهر'!$F$3)</f>
        <v>30000</v>
      </c>
      <c r="F7" s="18">
        <f>SUMIFS(الحركات[القيمة الفعلية],الحركات[من صندوق],Table4[[#This Row],[الصندوق]],الحركات[مدفوع من شهر],$F$3)</f>
        <v>0</v>
      </c>
      <c r="G7" s="16">
        <f>IFERROR(Table4[[#This Row],[المصروفات الفعلية]]/Table4[[#This Row],[المصروفات حسب الخطة]],1)</f>
        <v>0</v>
      </c>
      <c r="H7" s="1">
        <f>Table4[[#This Row],[المدخلات حسب الخطة]]-Table4[[#This Row],[المصروفات حسب الخطة]]</f>
        <v>-30000</v>
      </c>
      <c r="I7" s="1">
        <f>Table4[[#This Row],[المدخلات الفعلية]]-Table4[[#This Row],[المصروفات الفعلية]]</f>
        <v>0</v>
      </c>
    </row>
    <row r="8" spans="1:9" x14ac:dyDescent="0.3">
      <c r="A8" t="str">
        <f>Table1[[#This Row],[الصندوق]]</f>
        <v>صرف</v>
      </c>
      <c r="B8" s="17">
        <f>SUMIFS(الحركات[القيمة / خطة],الحركات[إلى صندوق],Table4[[#This Row],[الصندوق]],الحركات[مدفوع من شهر],$F$3)</f>
        <v>23750</v>
      </c>
      <c r="C8" s="17">
        <f>SUMIFS(الحركات[القيمة الفعلية],الحركات[إلى صندوق],Table4[[#This Row],[الصندوق]],الحركات[مدفوع من شهر],$F$3)</f>
        <v>0</v>
      </c>
      <c r="D8" s="16">
        <f>IFERROR(Table4[[#This Row],[المدخلات الفعلية]]/Table4[[#This Row],[المدخلات حسب الخطة]],1)</f>
        <v>0</v>
      </c>
      <c r="E8" s="18">
        <f>SUMIFS(الحركات[القيمة / خطة],الحركات[من صندوق],Table4[[#This Row],[الصندوق]],الحركات[مدفوع من شهر],'الوضع في شهر'!$F$3)</f>
        <v>0</v>
      </c>
      <c r="F8" s="18">
        <f>SUMIFS(الحركات[القيمة الفعلية],الحركات[من صندوق],Table4[[#This Row],[الصندوق]],الحركات[مدفوع من شهر],$F$3)</f>
        <v>0</v>
      </c>
      <c r="G8" s="16">
        <f>IFERROR(Table4[[#This Row],[المصروفات الفعلية]]/Table4[[#This Row],[المصروفات حسب الخطة]],1)</f>
        <v>1</v>
      </c>
      <c r="H8" s="1">
        <f>Table4[[#This Row],[المدخلات حسب الخطة]]-Table4[[#This Row],[المصروفات حسب الخطة]]</f>
        <v>23750</v>
      </c>
      <c r="I8" s="1">
        <f>Table4[[#This Row],[المدخلات الفعلية]]-Table4[[#This Row],[المصروفات الفعلية]]</f>
        <v>0</v>
      </c>
    </row>
    <row r="9" spans="1:9" x14ac:dyDescent="0.3">
      <c r="A9" t="str">
        <f>Table1[[#This Row],[الصندوق]]</f>
        <v>الراتب</v>
      </c>
      <c r="B9" s="17">
        <f>SUMIFS(الحركات[القيمة / خطة],الحركات[إلى صندوق],Table4[[#This Row],[الصندوق]],الحركات[مدفوع من شهر],$F$3)</f>
        <v>30000</v>
      </c>
      <c r="C9" s="17">
        <f>SUMIFS(الحركات[القيمة الفعلية],الحركات[إلى صندوق],Table4[[#This Row],[الصندوق]],الحركات[مدفوع من شهر],$F$3)</f>
        <v>0</v>
      </c>
      <c r="D9" s="16">
        <f>IFERROR(Table4[[#This Row],[المدخلات الفعلية]]/Table4[[#This Row],[المدخلات حسب الخطة]],1)</f>
        <v>0</v>
      </c>
      <c r="E9" s="18">
        <f>SUMIFS(الحركات[القيمة / خطة],الحركات[من صندوق],Table4[[#This Row],[الصندوق]],الحركات[مدفوع من شهر],'الوضع في شهر'!$F$3)</f>
        <v>30000</v>
      </c>
      <c r="F9" s="18">
        <f>SUMIFS(الحركات[القيمة الفعلية],الحركات[من صندوق],Table4[[#This Row],[الصندوق]],الحركات[مدفوع من شهر],$F$3)</f>
        <v>0</v>
      </c>
      <c r="G9" s="16">
        <f>IFERROR(Table4[[#This Row],[المصروفات الفعلية]]/Table4[[#This Row],[المصروفات حسب الخطة]],1)</f>
        <v>0</v>
      </c>
      <c r="H9" s="1">
        <f>Table4[[#This Row],[المدخلات حسب الخطة]]-Table4[[#This Row],[المصروفات حسب الخطة]]</f>
        <v>0</v>
      </c>
      <c r="I9" s="1">
        <f>Table4[[#This Row],[المدخلات الفعلية]]-Table4[[#This Row],[المصروفات الفعلية]]</f>
        <v>0</v>
      </c>
    </row>
    <row r="10" spans="1:9" x14ac:dyDescent="0.3">
      <c r="A10" t="str">
        <f>Table1[[#This Row],[الصندوق]]</f>
        <v>فواتير</v>
      </c>
      <c r="B10" s="17">
        <f>SUMIFS(الحركات[القيمة / خطة],الحركات[إلى صندوق],Table4[[#This Row],[الصندوق]],الحركات[مدفوع من شهر],$F$3)</f>
        <v>750</v>
      </c>
      <c r="C10" s="17">
        <f>SUMIFS(الحركات[القيمة الفعلية],الحركات[إلى صندوق],Table4[[#This Row],[الصندوق]],الحركات[مدفوع من شهر],$F$3)</f>
        <v>0</v>
      </c>
      <c r="D10" s="16">
        <f>IFERROR(Table4[[#This Row],[المدخلات الفعلية]]/Table4[[#This Row],[المدخلات حسب الخطة]],1)</f>
        <v>0</v>
      </c>
      <c r="E10" s="18">
        <f>SUMIFS(الحركات[القيمة / خطة],الحركات[من صندوق],Table4[[#This Row],[الصندوق]],الحركات[مدفوع من شهر],'الوضع في شهر'!$F$3)</f>
        <v>750</v>
      </c>
      <c r="F10" s="18">
        <f>SUMIFS(الحركات[القيمة الفعلية],الحركات[من صندوق],Table4[[#This Row],[الصندوق]],الحركات[مدفوع من شهر],$F$3)</f>
        <v>0</v>
      </c>
      <c r="G10" s="16">
        <f>IFERROR(Table4[[#This Row],[المصروفات الفعلية]]/Table4[[#This Row],[المصروفات حسب الخطة]],1)</f>
        <v>0</v>
      </c>
      <c r="H10" s="1">
        <f>Table4[[#This Row],[المدخلات حسب الخطة]]-Table4[[#This Row],[المصروفات حسب الخطة]]</f>
        <v>0</v>
      </c>
      <c r="I10" s="1">
        <f>Table4[[#This Row],[المدخلات الفعلية]]-Table4[[#This Row],[المصروفات الفعلية]]</f>
        <v>0</v>
      </c>
    </row>
    <row r="11" spans="1:9" x14ac:dyDescent="0.3">
      <c r="A11" t="str">
        <f>Table1[[#This Row],[الصندوق]]</f>
        <v>مصاريف شهرية</v>
      </c>
      <c r="B11" s="17">
        <f>SUMIFS(الحركات[القيمة / خطة],الحركات[إلى صندوق],Table4[[#This Row],[الصندوق]],الحركات[مدفوع من شهر],$F$3)</f>
        <v>12000</v>
      </c>
      <c r="C11" s="17">
        <f>SUMIFS(الحركات[القيمة الفعلية],الحركات[إلى صندوق],Table4[[#This Row],[الصندوق]],الحركات[مدفوع من شهر],$F$3)</f>
        <v>0</v>
      </c>
      <c r="D11" s="16">
        <f>IFERROR(Table4[[#This Row],[المدخلات الفعلية]]/Table4[[#This Row],[المدخلات حسب الخطة]],1)</f>
        <v>0</v>
      </c>
      <c r="E11" s="18">
        <f>SUMIFS(الحركات[القيمة / خطة],الحركات[من صندوق],Table4[[#This Row],[الصندوق]],الحركات[مدفوع من شهر],'الوضع في شهر'!$F$3)</f>
        <v>12000</v>
      </c>
      <c r="F11" s="18">
        <f>SUMIFS(الحركات[القيمة الفعلية],الحركات[من صندوق],Table4[[#This Row],[الصندوق]],الحركات[مدفوع من شهر],$F$3)</f>
        <v>0</v>
      </c>
      <c r="G11" s="16">
        <f>IFERROR(Table4[[#This Row],[المصروفات الفعلية]]/Table4[[#This Row],[المصروفات حسب الخطة]],1)</f>
        <v>0</v>
      </c>
      <c r="H11" s="1">
        <f>Table4[[#This Row],[المدخلات حسب الخطة]]-Table4[[#This Row],[المصروفات حسب الخطة]]</f>
        <v>0</v>
      </c>
      <c r="I11" s="1">
        <f>Table4[[#This Row],[المدخلات الفعلية]]-Table4[[#This Row],[المصروفات الفعلية]]</f>
        <v>0</v>
      </c>
    </row>
    <row r="12" spans="1:9" x14ac:dyDescent="0.3">
      <c r="A12" t="str">
        <f>Table1[[#This Row],[الصندوق]]</f>
        <v>مدارس</v>
      </c>
      <c r="B12" s="17">
        <f>SUMIFS(الحركات[القيمة / خطة],الحركات[إلى صندوق],Table4[[#This Row],[الصندوق]],الحركات[مدفوع من شهر],$F$3)</f>
        <v>6000</v>
      </c>
      <c r="C12" s="17">
        <f>SUMIFS(الحركات[القيمة الفعلية],الحركات[إلى صندوق],Table4[[#This Row],[الصندوق]],الحركات[مدفوع من شهر],$F$3)</f>
        <v>0</v>
      </c>
      <c r="D12" s="16">
        <f>IFERROR(Table4[[#This Row],[المدخلات الفعلية]]/Table4[[#This Row],[المدخلات حسب الخطة]],1)</f>
        <v>0</v>
      </c>
      <c r="E12" s="18">
        <f>SUMIFS(الحركات[القيمة / خطة],الحركات[من صندوق],Table4[[#This Row],[الصندوق]],الحركات[مدفوع من شهر],'الوضع في شهر'!$F$3)</f>
        <v>8000</v>
      </c>
      <c r="F12" s="18">
        <f>SUMIFS(الحركات[القيمة الفعلية],الحركات[من صندوق],Table4[[#This Row],[الصندوق]],الحركات[مدفوع من شهر],$F$3)</f>
        <v>0</v>
      </c>
      <c r="G12" s="16">
        <f>IFERROR(Table4[[#This Row],[المصروفات الفعلية]]/Table4[[#This Row],[المصروفات حسب الخطة]],1)</f>
        <v>0</v>
      </c>
      <c r="H12" s="1">
        <f>Table4[[#This Row],[المدخلات حسب الخطة]]-Table4[[#This Row],[المصروفات حسب الخطة]]</f>
        <v>-2000</v>
      </c>
      <c r="I12" s="1">
        <f>Table4[[#This Row],[المدخلات الفعلية]]-Table4[[#This Row],[المصروفات الفعلية]]</f>
        <v>0</v>
      </c>
    </row>
    <row r="13" spans="1:9" x14ac:dyDescent="0.3">
      <c r="A13" t="str">
        <f>Table1[[#This Row],[الصندوق]]</f>
        <v>ايجار المنزل</v>
      </c>
      <c r="B13" s="17">
        <f>SUMIFS(الحركات[القيمة / خطة],الحركات[إلى صندوق],Table4[[#This Row],[الصندوق]],الحركات[مدفوع من شهر],$F$3)</f>
        <v>4500</v>
      </c>
      <c r="C13" s="17">
        <f>SUMIFS(الحركات[القيمة الفعلية],الحركات[إلى صندوق],Table4[[#This Row],[الصندوق]],الحركات[مدفوع من شهر],$F$3)</f>
        <v>0</v>
      </c>
      <c r="D13" s="16">
        <f>IFERROR(Table4[[#This Row],[المدخلات الفعلية]]/Table4[[#This Row],[المدخلات حسب الخطة]],1)</f>
        <v>0</v>
      </c>
      <c r="E13" s="18">
        <f>SUMIFS(الحركات[القيمة / خطة],الحركات[من صندوق],Table4[[#This Row],[الصندوق]],الحركات[مدفوع من شهر],'الوضع في شهر'!$F$3)</f>
        <v>0</v>
      </c>
      <c r="F13" s="18">
        <f>SUMIFS(الحركات[القيمة الفعلية],الحركات[من صندوق],Table4[[#This Row],[الصندوق]],الحركات[مدفوع من شهر],$F$3)</f>
        <v>0</v>
      </c>
      <c r="G13" s="16">
        <f>IFERROR(Table4[[#This Row],[المصروفات الفعلية]]/Table4[[#This Row],[المصروفات حسب الخطة]],1)</f>
        <v>1</v>
      </c>
      <c r="H13" s="1">
        <f>Table4[[#This Row],[المدخلات حسب الخطة]]-Table4[[#This Row],[المصروفات حسب الخطة]]</f>
        <v>4500</v>
      </c>
      <c r="I13" s="1">
        <f>Table4[[#This Row],[المدخلات الفعلية]]-Table4[[#This Row],[المصروفات الفعلية]]</f>
        <v>0</v>
      </c>
    </row>
    <row r="14" spans="1:9" x14ac:dyDescent="0.3">
      <c r="A14" t="str">
        <f>Table1[[#This Row],[الصندوق]]</f>
        <v>توفير</v>
      </c>
      <c r="B14" s="17">
        <f>SUMIFS(الحركات[القيمة / خطة],الحركات[إلى صندوق],Table4[[#This Row],[الصندوق]],الحركات[مدفوع من شهر],$F$3)</f>
        <v>1500</v>
      </c>
      <c r="C14" s="17">
        <f>SUMIFS(الحركات[القيمة الفعلية],الحركات[إلى صندوق],Table4[[#This Row],[الصندوق]],الحركات[مدفوع من شهر],$F$3)</f>
        <v>0</v>
      </c>
      <c r="D14" s="16">
        <f>IFERROR(Table4[[#This Row],[المدخلات الفعلية]]/Table4[[#This Row],[المدخلات حسب الخطة]],1)</f>
        <v>0</v>
      </c>
      <c r="E14" s="18">
        <f>SUMIFS(الحركات[القيمة / خطة],الحركات[من صندوق],Table4[[#This Row],[الصندوق]],الحركات[مدفوع من شهر],'الوضع في شهر'!$F$3)</f>
        <v>1500</v>
      </c>
      <c r="F14" s="18">
        <f>SUMIFS(الحركات[القيمة الفعلية],الحركات[من صندوق],Table4[[#This Row],[الصندوق]],الحركات[مدفوع من شهر],$F$3)</f>
        <v>0</v>
      </c>
      <c r="G14" s="16">
        <f>IFERROR(Table4[[#This Row],[المصروفات الفعلية]]/Table4[[#This Row],[المصروفات حسب الخطة]],1)</f>
        <v>0</v>
      </c>
      <c r="H14" s="1">
        <f>Table4[[#This Row],[المدخلات حسب الخطة]]-Table4[[#This Row],[المصروفات حسب الخطة]]</f>
        <v>0</v>
      </c>
      <c r="I14" s="1">
        <f>Table4[[#This Row],[المدخلات الفعلية]]-Table4[[#This Row],[المصروفات الفعلية]]</f>
        <v>0</v>
      </c>
    </row>
    <row r="15" spans="1:9" x14ac:dyDescent="0.3">
      <c r="A15" t="str">
        <f>Table1[[#This Row],[الصندوق]]</f>
        <v>اجازات</v>
      </c>
      <c r="B15" s="17">
        <f>SUMIFS(الحركات[القيمة / خطة],الحركات[إلى صندوق],Table4[[#This Row],[الصندوق]],الحركات[مدفوع من شهر],$F$3)</f>
        <v>1200</v>
      </c>
      <c r="C15" s="17">
        <f>SUMIFS(الحركات[القيمة الفعلية],الحركات[إلى صندوق],Table4[[#This Row],[الصندوق]],الحركات[مدفوع من شهر],$F$3)</f>
        <v>0</v>
      </c>
      <c r="D15" s="16">
        <f>IFERROR(Table4[[#This Row],[المدخلات الفعلية]]/Table4[[#This Row],[المدخلات حسب الخطة]],1)</f>
        <v>0</v>
      </c>
      <c r="E15" s="18">
        <f>SUMIFS(الحركات[القيمة / خطة],الحركات[من صندوق],Table4[[#This Row],[الصندوق]],الحركات[مدفوع من شهر],'الوضع في شهر'!$F$3)</f>
        <v>0</v>
      </c>
      <c r="F15" s="18">
        <f>SUMIFS(الحركات[القيمة الفعلية],الحركات[من صندوق],Table4[[#This Row],[الصندوق]],الحركات[مدفوع من شهر],$F$3)</f>
        <v>0</v>
      </c>
      <c r="G15" s="16">
        <f>IFERROR(Table4[[#This Row],[المصروفات الفعلية]]/Table4[[#This Row],[المصروفات حسب الخطة]],1)</f>
        <v>1</v>
      </c>
      <c r="H15" s="1">
        <f>Table4[[#This Row],[المدخلات حسب الخطة]]-Table4[[#This Row],[المصروفات حسب الخطة]]</f>
        <v>1200</v>
      </c>
      <c r="I15" s="1">
        <f>Table4[[#This Row],[المدخلات الفعلية]]-Table4[[#This Row],[المصروفات الفعلية]]</f>
        <v>0</v>
      </c>
    </row>
    <row r="16" spans="1:9" x14ac:dyDescent="0.3">
      <c r="A16" t="str">
        <f>Table1[[#This Row],[الصندوق]]</f>
        <v>دورات</v>
      </c>
      <c r="B16" s="17">
        <f>SUMIFS(الحركات[القيمة / خطة],الحركات[إلى صندوق],Table4[[#This Row],[الصندوق]],الحركات[مدفوع من شهر],$F$3)</f>
        <v>600</v>
      </c>
      <c r="C16" s="17">
        <f>SUMIFS(الحركات[القيمة الفعلية],الحركات[إلى صندوق],Table4[[#This Row],[الصندوق]],الحركات[مدفوع من شهر],$F$3)</f>
        <v>0</v>
      </c>
      <c r="D16" s="16">
        <f>IFERROR(Table4[[#This Row],[المدخلات الفعلية]]/Table4[[#This Row],[المدخلات حسب الخطة]],1)</f>
        <v>0</v>
      </c>
      <c r="E16" s="18">
        <f>SUMIFS(الحركات[القيمة / خطة],الحركات[من صندوق],Table4[[#This Row],[الصندوق]],الحركات[مدفوع من شهر],'الوضع في شهر'!$F$3)</f>
        <v>0</v>
      </c>
      <c r="F16" s="18">
        <f>SUMIFS(الحركات[القيمة الفعلية],الحركات[من صندوق],Table4[[#This Row],[الصندوق]],الحركات[مدفوع من شهر],$F$3)</f>
        <v>0</v>
      </c>
      <c r="G16" s="16">
        <f>IFERROR(Table4[[#This Row],[المصروفات الفعلية]]/Table4[[#This Row],[المصروفات حسب الخطة]],1)</f>
        <v>1</v>
      </c>
      <c r="H16" s="1">
        <f>Table4[[#This Row],[المدخلات حسب الخطة]]-Table4[[#This Row],[المصروفات حسب الخطة]]</f>
        <v>600</v>
      </c>
      <c r="I16" s="1">
        <f>Table4[[#This Row],[المدخلات الفعلية]]-Table4[[#This Row],[المصروفات الفعلية]]</f>
        <v>0</v>
      </c>
    </row>
    <row r="17" spans="1:9" x14ac:dyDescent="0.3">
      <c r="A17" t="str">
        <f>Table1[[#This Row],[الصندوق]]</f>
        <v>زكاة</v>
      </c>
      <c r="B17" s="17">
        <f>SUMIFS(الحركات[القيمة / خطة],الحركات[إلى صندوق],Table4[[#This Row],[الصندوق]],الحركات[مدفوع من شهر],$F$3)</f>
        <v>600</v>
      </c>
      <c r="C17" s="17">
        <f>SUMIFS(الحركات[القيمة الفعلية],الحركات[إلى صندوق],Table4[[#This Row],[الصندوق]],الحركات[مدفوع من شهر],$F$3)</f>
        <v>0</v>
      </c>
      <c r="D17" s="16">
        <f>IFERROR(Table4[[#This Row],[المدخلات الفعلية]]/Table4[[#This Row],[المدخلات حسب الخطة]],1)</f>
        <v>0</v>
      </c>
      <c r="E17" s="18">
        <f>SUMIFS(الحركات[القيمة / خطة],الحركات[من صندوق],Table4[[#This Row],[الصندوق]],الحركات[مدفوع من شهر],'الوضع في شهر'!$F$3)</f>
        <v>0</v>
      </c>
      <c r="F17" s="18">
        <f>SUMIFS(الحركات[القيمة الفعلية],الحركات[من صندوق],Table4[[#This Row],[الصندوق]],الحركات[مدفوع من شهر],$F$3)</f>
        <v>0</v>
      </c>
      <c r="G17" s="16">
        <f>IFERROR(Table4[[#This Row],[المصروفات الفعلية]]/Table4[[#This Row],[المصروفات حسب الخطة]],1)</f>
        <v>1</v>
      </c>
      <c r="H17" s="1">
        <f>Table4[[#This Row],[المدخلات حسب الخطة]]-Table4[[#This Row],[المصروفات حسب الخطة]]</f>
        <v>600</v>
      </c>
      <c r="I17" s="1">
        <f>Table4[[#This Row],[المدخلات الفعلية]]-Table4[[#This Row],[المصروفات الفعلية]]</f>
        <v>0</v>
      </c>
    </row>
    <row r="18" spans="1:9" x14ac:dyDescent="0.3">
      <c r="A18" t="str">
        <f>Table1[[#This Row],[الصندوق]]</f>
        <v>صيانة السيارة</v>
      </c>
      <c r="B18" s="17">
        <f>SUMIFS(الحركات[القيمة / خطة],الحركات[إلى صندوق],Table4[[#This Row],[الصندوق]],الحركات[مدفوع من شهر],$F$3)</f>
        <v>750</v>
      </c>
      <c r="C18" s="17">
        <f>SUMIFS(الحركات[القيمة الفعلية],الحركات[إلى صندوق],Table4[[#This Row],[الصندوق]],الحركات[مدفوع من شهر],$F$3)</f>
        <v>0</v>
      </c>
      <c r="D18" s="16">
        <f>IFERROR(Table4[[#This Row],[المدخلات الفعلية]]/Table4[[#This Row],[المدخلات حسب الخطة]],1)</f>
        <v>0</v>
      </c>
      <c r="E18" s="18">
        <f>SUMIFS(الحركات[القيمة / خطة],الحركات[من صندوق],Table4[[#This Row],[الصندوق]],الحركات[مدفوع من شهر],'الوضع في شهر'!$F$3)</f>
        <v>0</v>
      </c>
      <c r="F18" s="18">
        <f>SUMIFS(الحركات[القيمة الفعلية],الحركات[من صندوق],Table4[[#This Row],[الصندوق]],الحركات[مدفوع من شهر],$F$3)</f>
        <v>0</v>
      </c>
      <c r="G18" s="16">
        <f>IFERROR(Table4[[#This Row],[المصروفات الفعلية]]/Table4[[#This Row],[المصروفات حسب الخطة]],1)</f>
        <v>1</v>
      </c>
      <c r="H18" s="1">
        <f>Table4[[#This Row],[المدخلات حسب الخطة]]-Table4[[#This Row],[المصروفات حسب الخطة]]</f>
        <v>750</v>
      </c>
      <c r="I18" s="1">
        <f>Table4[[#This Row],[المدخلات الفعلية]]-Table4[[#This Row],[المصروفات الفعلية]]</f>
        <v>0</v>
      </c>
    </row>
    <row r="19" spans="1:9" x14ac:dyDescent="0.3">
      <c r="A19" t="str">
        <f>Table1[[#This Row],[الصندوق]]</f>
        <v>ملابس</v>
      </c>
      <c r="B19" s="17">
        <f>SUMIFS(الحركات[القيمة / خطة],الحركات[إلى صندوق],Table4[[#This Row],[الصندوق]],الحركات[مدفوع من شهر],$F$3)</f>
        <v>900</v>
      </c>
      <c r="C19" s="17">
        <f>SUMIFS(الحركات[القيمة الفعلية],الحركات[إلى صندوق],Table4[[#This Row],[الصندوق]],الحركات[مدفوع من شهر],$F$3)</f>
        <v>0</v>
      </c>
      <c r="D19" s="16">
        <f>IFERROR(Table4[[#This Row],[المدخلات الفعلية]]/Table4[[#This Row],[المدخلات حسب الخطة]],1)</f>
        <v>0</v>
      </c>
      <c r="E19" s="18">
        <f>SUMIFS(الحركات[القيمة / خطة],الحركات[من صندوق],Table4[[#This Row],[الصندوق]],الحركات[مدفوع من شهر],'الوضع في شهر'!$F$3)</f>
        <v>900</v>
      </c>
      <c r="F19" s="18">
        <f>SUMIFS(الحركات[القيمة الفعلية],الحركات[من صندوق],Table4[[#This Row],[الصندوق]],الحركات[مدفوع من شهر],$F$3)</f>
        <v>0</v>
      </c>
      <c r="G19" s="16">
        <f>IFERROR(Table4[[#This Row],[المصروفات الفعلية]]/Table4[[#This Row],[المصروفات حسب الخطة]],1)</f>
        <v>0</v>
      </c>
      <c r="H19" s="1">
        <f>Table4[[#This Row],[المدخلات حسب الخطة]]-Table4[[#This Row],[المصروفات حسب الخطة]]</f>
        <v>0</v>
      </c>
      <c r="I19" s="1">
        <f>Table4[[#This Row],[المدخلات الفعلية]]-Table4[[#This Row],[المصروفات الفعلية]]</f>
        <v>0</v>
      </c>
    </row>
    <row r="20" spans="1:9" x14ac:dyDescent="0.3">
      <c r="A20" t="str">
        <f>Table1[[#This Row],[الصندوق]]</f>
        <v>هدايا</v>
      </c>
      <c r="B20" s="17">
        <f>SUMIFS(الحركات[القيمة / خطة],الحركات[إلى صندوق],Table4[[#This Row],[الصندوق]],الحركات[مدفوع من شهر],$F$3)</f>
        <v>600</v>
      </c>
      <c r="C20" s="17">
        <f>SUMIFS(الحركات[القيمة الفعلية],الحركات[إلى صندوق],Table4[[#This Row],[الصندوق]],الحركات[مدفوع من شهر],$F$3)</f>
        <v>0</v>
      </c>
      <c r="D20" s="16">
        <f>IFERROR(Table4[[#This Row],[المدخلات الفعلية]]/Table4[[#This Row],[المدخلات حسب الخطة]],1)</f>
        <v>0</v>
      </c>
      <c r="E20" s="18">
        <f>SUMIFS(الحركات[القيمة / خطة],الحركات[من صندوق],Table4[[#This Row],[الصندوق]],الحركات[مدفوع من شهر],'الوضع في شهر'!$F$3)</f>
        <v>600</v>
      </c>
      <c r="F20" s="18">
        <f>SUMIFS(الحركات[القيمة الفعلية],الحركات[من صندوق],Table4[[#This Row],[الصندوق]],الحركات[مدفوع من شهر],$F$3)</f>
        <v>0</v>
      </c>
      <c r="G20" s="16">
        <f>IFERROR(Table4[[#This Row],[المصروفات الفعلية]]/Table4[[#This Row],[المصروفات حسب الخطة]],1)</f>
        <v>0</v>
      </c>
      <c r="H20" s="1">
        <f>Table4[[#This Row],[المدخلات حسب الخطة]]-Table4[[#This Row],[المصروفات حسب الخطة]]</f>
        <v>0</v>
      </c>
      <c r="I20" s="1">
        <f>Table4[[#This Row],[المدخلات الفعلية]]-Table4[[#This Row],[المصروفات الفعلية]]</f>
        <v>0</v>
      </c>
    </row>
    <row r="21" spans="1:9" x14ac:dyDescent="0.3">
      <c r="A21" t="str">
        <f>Table1[[#This Row],[الصندوق]]</f>
        <v>طوارئ</v>
      </c>
      <c r="B21" s="17">
        <f>SUMIFS(الحركات[القيمة / خطة],الحركات[إلى صندوق],Table4[[#This Row],[الصندوق]],الحركات[مدفوع من شهر],$F$3)</f>
        <v>600</v>
      </c>
      <c r="C21" s="17">
        <f>SUMIFS(الحركات[القيمة الفعلية],الحركات[إلى صندوق],Table4[[#This Row],[الصندوق]],الحركات[مدفوع من شهر],$F$3)</f>
        <v>0</v>
      </c>
      <c r="D21" s="16">
        <f>IFERROR(Table4[[#This Row],[المدخلات الفعلية]]/Table4[[#This Row],[المدخلات حسب الخطة]],1)</f>
        <v>0</v>
      </c>
      <c r="E21" s="18">
        <f>SUMIFS(الحركات[القيمة / خطة],الحركات[من صندوق],Table4[[#This Row],[الصندوق]],الحركات[مدفوع من شهر],'الوضع في شهر'!$F$3)</f>
        <v>0</v>
      </c>
      <c r="F21" s="18">
        <f>SUMIFS(الحركات[القيمة الفعلية],الحركات[من صندوق],Table4[[#This Row],[الصندوق]],الحركات[مدفوع من شهر],$F$3)</f>
        <v>0</v>
      </c>
      <c r="G21" s="16">
        <f>IFERROR(Table4[[#This Row],[المصروفات الفعلية]]/Table4[[#This Row],[المصروفات حسب الخطة]],1)</f>
        <v>1</v>
      </c>
      <c r="H21" s="1">
        <f>Table4[[#This Row],[المدخلات حسب الخطة]]-Table4[[#This Row],[المصروفات حسب الخطة]]</f>
        <v>600</v>
      </c>
      <c r="I21" s="1">
        <f>Table4[[#This Row],[المدخلات الفعلية]]-Table4[[#This Row],[المصروفات الفعلية]]</f>
        <v>0</v>
      </c>
    </row>
  </sheetData>
  <conditionalFormatting sqref="H7:I21">
    <cfRule type="cellIs" dxfId="15" priority="3" operator="greaterThan">
      <formula>0</formula>
    </cfRule>
    <cfRule type="cellIs" dxfId="14" priority="2" operator="lessThan">
      <formula>0</formula>
    </cfRule>
    <cfRule type="cellIs" dxfId="13" priority="1" operator="equal">
      <formula>0</formula>
    </cfRule>
  </conditionalFormatting>
  <dataValidations count="1">
    <dataValidation type="list" allowBlank="1" showInputMessage="1" showErrorMessage="1" sqref="C3">
      <formula1>"حتى,في"</formula1>
    </dataValidation>
  </dataValidations>
  <pageMargins left="0.7" right="0.7" top="0.75" bottom="0.75" header="0.3" footer="0.3"/>
  <pageSetup paperSize="9" orientation="portrait" verticalDpi="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الإعدادات!$A$2:$A$13</xm:f>
          </x14:formula1>
          <xm:sqref>E3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21"/>
  <sheetViews>
    <sheetView showGridLines="0" rightToLeft="1" topLeftCell="A5" zoomScale="170" zoomScaleNormal="170" workbookViewId="0">
      <selection activeCell="D15" sqref="D15"/>
    </sheetView>
  </sheetViews>
  <sheetFormatPr defaultRowHeight="14.4" x14ac:dyDescent="0.3"/>
  <cols>
    <col min="1" max="1" width="11.109375" bestFit="1" customWidth="1"/>
    <col min="2" max="2" width="6.5546875" bestFit="1" customWidth="1"/>
    <col min="3" max="3" width="17.33203125" bestFit="1" customWidth="1"/>
    <col min="4" max="4" width="17.77734375" bestFit="1" customWidth="1"/>
    <col min="5" max="5" width="12.44140625" bestFit="1" customWidth="1"/>
  </cols>
  <sheetData>
    <row r="6" spans="1:6" x14ac:dyDescent="0.3">
      <c r="A6" t="s">
        <v>6</v>
      </c>
      <c r="B6" t="s">
        <v>19</v>
      </c>
      <c r="C6" t="s">
        <v>97</v>
      </c>
      <c r="D6" t="s">
        <v>98</v>
      </c>
      <c r="E6" t="s">
        <v>95</v>
      </c>
      <c r="F6" t="s">
        <v>99</v>
      </c>
    </row>
    <row r="7" spans="1:6" x14ac:dyDescent="0.3">
      <c r="A7" t="str">
        <f>Table1[[#This Row],[الصندوق]]</f>
        <v>الشركة</v>
      </c>
      <c r="B7" t="str">
        <f>Table1[[#This Row],[نوعه]]</f>
        <v>خارجي</v>
      </c>
      <c r="C7">
        <f>SUMIFS(الحركات[القيمة الفعلية],الحركات[إلى صندوق],Table5[[#This Row],[الصندوق]])</f>
        <v>0</v>
      </c>
      <c r="D7">
        <f>SUMIFS(الحركات[القيمة الفعلية],الحركات[من صندوق],Table5[[#This Row],[الصندوق]])</f>
        <v>0</v>
      </c>
      <c r="E7">
        <f>Table5[[#This Row],[مجموع الدخل الفعلي]]-Table5[[#This Row],[مجموع الصرف الفعلي]]</f>
        <v>0</v>
      </c>
      <c r="F7" s="1" t="b">
        <f>Table5[[#This Row],[الرصيد الفعلي]]=0</f>
        <v>1</v>
      </c>
    </row>
    <row r="8" spans="1:6" x14ac:dyDescent="0.3">
      <c r="A8" t="str">
        <f>Table1[[#This Row],[الصندوق]]</f>
        <v>صرف</v>
      </c>
      <c r="B8" t="str">
        <f>Table1[[#This Row],[نوعه]]</f>
        <v>خارجي</v>
      </c>
      <c r="C8">
        <f>SUMIFS(الحركات[القيمة الفعلية],الحركات[إلى صندوق],Table5[[#This Row],[الصندوق]])</f>
        <v>0</v>
      </c>
      <c r="D8">
        <f>SUMIFS(الحركات[القيمة الفعلية],الحركات[من صندوق],Table5[[#This Row],[الصندوق]])</f>
        <v>0</v>
      </c>
      <c r="E8">
        <f>Table5[[#This Row],[مجموع الدخل الفعلي]]-Table5[[#This Row],[مجموع الصرف الفعلي]]</f>
        <v>0</v>
      </c>
      <c r="F8" s="1" t="b">
        <f>Table5[[#This Row],[الرصيد الفعلي]]=0</f>
        <v>1</v>
      </c>
    </row>
    <row r="9" spans="1:6" x14ac:dyDescent="0.3">
      <c r="A9" t="str">
        <f>Table1[[#This Row],[الصندوق]]</f>
        <v>الراتب</v>
      </c>
      <c r="B9" t="str">
        <f>Table1[[#This Row],[نوعه]]</f>
        <v>دخل</v>
      </c>
      <c r="C9">
        <f>SUMIFS(الحركات[القيمة الفعلية],الحركات[إلى صندوق],Table5[[#This Row],[الصندوق]])</f>
        <v>0</v>
      </c>
      <c r="D9">
        <f>SUMIFS(الحركات[القيمة الفعلية],الحركات[من صندوق],Table5[[#This Row],[الصندوق]])</f>
        <v>0</v>
      </c>
      <c r="E9">
        <f>Table5[[#This Row],[مجموع الدخل الفعلي]]-Table5[[#This Row],[مجموع الصرف الفعلي]]</f>
        <v>0</v>
      </c>
      <c r="F9" s="1" t="b">
        <f>Table5[[#This Row],[الرصيد الفعلي]]=0</f>
        <v>1</v>
      </c>
    </row>
    <row r="10" spans="1:6" x14ac:dyDescent="0.3">
      <c r="A10" t="str">
        <f>Table1[[#This Row],[الصندوق]]</f>
        <v>فواتير</v>
      </c>
      <c r="B10" t="str">
        <f>Table1[[#This Row],[نوعه]]</f>
        <v>صرف</v>
      </c>
      <c r="C10">
        <f>SUMIFS(الحركات[القيمة الفعلية],الحركات[إلى صندوق],Table5[[#This Row],[الصندوق]])</f>
        <v>0</v>
      </c>
      <c r="D10">
        <f>SUMIFS(الحركات[القيمة الفعلية],الحركات[من صندوق],Table5[[#This Row],[الصندوق]])</f>
        <v>0</v>
      </c>
      <c r="E10">
        <f>Table5[[#This Row],[مجموع الدخل الفعلي]]-Table5[[#This Row],[مجموع الصرف الفعلي]]</f>
        <v>0</v>
      </c>
      <c r="F10" s="1" t="b">
        <f>Table5[[#This Row],[الرصيد الفعلي]]=0</f>
        <v>1</v>
      </c>
    </row>
    <row r="11" spans="1:6" x14ac:dyDescent="0.3">
      <c r="A11" t="str">
        <f>Table1[[#This Row],[الصندوق]]</f>
        <v>مصاريف شهرية</v>
      </c>
      <c r="B11" t="str">
        <f>Table1[[#This Row],[نوعه]]</f>
        <v>صرف</v>
      </c>
      <c r="C11">
        <f>SUMIFS(الحركات[القيمة الفعلية],الحركات[إلى صندوق],Table5[[#This Row],[الصندوق]])</f>
        <v>0</v>
      </c>
      <c r="D11">
        <f>SUMIFS(الحركات[القيمة الفعلية],الحركات[من صندوق],Table5[[#This Row],[الصندوق]])</f>
        <v>0</v>
      </c>
      <c r="E11">
        <f>Table5[[#This Row],[مجموع الدخل الفعلي]]-Table5[[#This Row],[مجموع الصرف الفعلي]]</f>
        <v>0</v>
      </c>
      <c r="F11" s="1" t="b">
        <f>Table5[[#This Row],[الرصيد الفعلي]]=0</f>
        <v>1</v>
      </c>
    </row>
    <row r="12" spans="1:6" x14ac:dyDescent="0.3">
      <c r="A12" t="str">
        <f>Table1[[#This Row],[الصندوق]]</f>
        <v>مدارس</v>
      </c>
      <c r="B12" t="str">
        <f>Table1[[#This Row],[نوعه]]</f>
        <v>صرف</v>
      </c>
      <c r="C12">
        <f>SUMIFS(الحركات[القيمة الفعلية],الحركات[إلى صندوق],Table5[[#This Row],[الصندوق]])</f>
        <v>0</v>
      </c>
      <c r="D12">
        <f>SUMIFS(الحركات[القيمة الفعلية],الحركات[من صندوق],Table5[[#This Row],[الصندوق]])</f>
        <v>0</v>
      </c>
      <c r="E12">
        <f>Table5[[#This Row],[مجموع الدخل الفعلي]]-Table5[[#This Row],[مجموع الصرف الفعلي]]</f>
        <v>0</v>
      </c>
      <c r="F12" s="1" t="b">
        <f>Table5[[#This Row],[الرصيد الفعلي]]=0</f>
        <v>1</v>
      </c>
    </row>
    <row r="13" spans="1:6" x14ac:dyDescent="0.3">
      <c r="A13" t="str">
        <f>Table1[[#This Row],[الصندوق]]</f>
        <v>ايجار المنزل</v>
      </c>
      <c r="B13" t="str">
        <f>Table1[[#This Row],[نوعه]]</f>
        <v>صرف</v>
      </c>
      <c r="C13">
        <f>SUMIFS(الحركات[القيمة الفعلية],الحركات[إلى صندوق],Table5[[#This Row],[الصندوق]])</f>
        <v>0</v>
      </c>
      <c r="D13">
        <f>SUMIFS(الحركات[القيمة الفعلية],الحركات[من صندوق],Table5[[#This Row],[الصندوق]])</f>
        <v>0</v>
      </c>
      <c r="E13">
        <f>Table5[[#This Row],[مجموع الدخل الفعلي]]-Table5[[#This Row],[مجموع الصرف الفعلي]]</f>
        <v>0</v>
      </c>
      <c r="F13" s="1" t="b">
        <f>Table5[[#This Row],[الرصيد الفعلي]]=0</f>
        <v>1</v>
      </c>
    </row>
    <row r="14" spans="1:6" x14ac:dyDescent="0.3">
      <c r="A14" t="str">
        <f>Table1[[#This Row],[الصندوق]]</f>
        <v>توفير</v>
      </c>
      <c r="B14" t="str">
        <f>Table1[[#This Row],[نوعه]]</f>
        <v>صرف</v>
      </c>
      <c r="C14">
        <f>SUMIFS(الحركات[القيمة الفعلية],الحركات[إلى صندوق],Table5[[#This Row],[الصندوق]])</f>
        <v>0</v>
      </c>
      <c r="D14">
        <f>SUMIFS(الحركات[القيمة الفعلية],الحركات[من صندوق],Table5[[#This Row],[الصندوق]])</f>
        <v>0</v>
      </c>
      <c r="E14">
        <f>Table5[[#This Row],[مجموع الدخل الفعلي]]-Table5[[#This Row],[مجموع الصرف الفعلي]]</f>
        <v>0</v>
      </c>
      <c r="F14" s="1" t="b">
        <f>Table5[[#This Row],[الرصيد الفعلي]]=0</f>
        <v>1</v>
      </c>
    </row>
    <row r="15" spans="1:6" x14ac:dyDescent="0.3">
      <c r="A15" t="str">
        <f>Table1[[#This Row],[الصندوق]]</f>
        <v>اجازات</v>
      </c>
      <c r="B15" t="str">
        <f>Table1[[#This Row],[نوعه]]</f>
        <v>صرف</v>
      </c>
      <c r="C15">
        <f>SUMIFS(الحركات[القيمة الفعلية],الحركات[إلى صندوق],Table5[[#This Row],[الصندوق]])</f>
        <v>0</v>
      </c>
      <c r="D15">
        <f>SUMIFS(الحركات[القيمة الفعلية],الحركات[من صندوق],Table5[[#This Row],[الصندوق]])</f>
        <v>0</v>
      </c>
      <c r="E15">
        <f>Table5[[#This Row],[مجموع الدخل الفعلي]]-Table5[[#This Row],[مجموع الصرف الفعلي]]</f>
        <v>0</v>
      </c>
      <c r="F15" s="1" t="b">
        <f>Table5[[#This Row],[الرصيد الفعلي]]=0</f>
        <v>1</v>
      </c>
    </row>
    <row r="16" spans="1:6" x14ac:dyDescent="0.3">
      <c r="A16" t="str">
        <f>Table1[[#This Row],[الصندوق]]</f>
        <v>دورات</v>
      </c>
      <c r="B16" t="str">
        <f>Table1[[#This Row],[نوعه]]</f>
        <v>صرف</v>
      </c>
      <c r="C16">
        <f>SUMIFS(الحركات[القيمة الفعلية],الحركات[إلى صندوق],Table5[[#This Row],[الصندوق]])</f>
        <v>0</v>
      </c>
      <c r="D16">
        <f>SUMIFS(الحركات[القيمة الفعلية],الحركات[من صندوق],Table5[[#This Row],[الصندوق]])</f>
        <v>0</v>
      </c>
      <c r="E16">
        <f>Table5[[#This Row],[مجموع الدخل الفعلي]]-Table5[[#This Row],[مجموع الصرف الفعلي]]</f>
        <v>0</v>
      </c>
      <c r="F16" s="1" t="b">
        <f>Table5[[#This Row],[الرصيد الفعلي]]=0</f>
        <v>1</v>
      </c>
    </row>
    <row r="17" spans="1:6" x14ac:dyDescent="0.3">
      <c r="A17" t="str">
        <f>Table1[[#This Row],[الصندوق]]</f>
        <v>زكاة</v>
      </c>
      <c r="B17" t="str">
        <f>Table1[[#This Row],[نوعه]]</f>
        <v>صرف</v>
      </c>
      <c r="C17">
        <f>SUMIFS(الحركات[القيمة الفعلية],الحركات[إلى صندوق],Table5[[#This Row],[الصندوق]])</f>
        <v>0</v>
      </c>
      <c r="D17">
        <f>SUMIFS(الحركات[القيمة الفعلية],الحركات[من صندوق],Table5[[#This Row],[الصندوق]])</f>
        <v>0</v>
      </c>
      <c r="E17">
        <f>Table5[[#This Row],[مجموع الدخل الفعلي]]-Table5[[#This Row],[مجموع الصرف الفعلي]]</f>
        <v>0</v>
      </c>
      <c r="F17" s="1" t="b">
        <f>Table5[[#This Row],[الرصيد الفعلي]]=0</f>
        <v>1</v>
      </c>
    </row>
    <row r="18" spans="1:6" x14ac:dyDescent="0.3">
      <c r="A18" t="str">
        <f>Table1[[#This Row],[الصندوق]]</f>
        <v>صيانة السيارة</v>
      </c>
      <c r="B18" t="str">
        <f>Table1[[#This Row],[نوعه]]</f>
        <v>صرف</v>
      </c>
      <c r="C18">
        <f>SUMIFS(الحركات[القيمة الفعلية],الحركات[إلى صندوق],Table5[[#This Row],[الصندوق]])</f>
        <v>0</v>
      </c>
      <c r="D18">
        <f>SUMIFS(الحركات[القيمة الفعلية],الحركات[من صندوق],Table5[[#This Row],[الصندوق]])</f>
        <v>0</v>
      </c>
      <c r="E18">
        <f>Table5[[#This Row],[مجموع الدخل الفعلي]]-Table5[[#This Row],[مجموع الصرف الفعلي]]</f>
        <v>0</v>
      </c>
      <c r="F18" s="1" t="b">
        <f>Table5[[#This Row],[الرصيد الفعلي]]=0</f>
        <v>1</v>
      </c>
    </row>
    <row r="19" spans="1:6" x14ac:dyDescent="0.3">
      <c r="A19" t="str">
        <f>Table1[[#This Row],[الصندوق]]</f>
        <v>ملابس</v>
      </c>
      <c r="B19" t="str">
        <f>Table1[[#This Row],[نوعه]]</f>
        <v>صرف</v>
      </c>
      <c r="C19">
        <f>SUMIFS(الحركات[القيمة الفعلية],الحركات[إلى صندوق],Table5[[#This Row],[الصندوق]])</f>
        <v>0</v>
      </c>
      <c r="D19">
        <f>SUMIFS(الحركات[القيمة الفعلية],الحركات[من صندوق],Table5[[#This Row],[الصندوق]])</f>
        <v>0</v>
      </c>
      <c r="E19">
        <f>Table5[[#This Row],[مجموع الدخل الفعلي]]-Table5[[#This Row],[مجموع الصرف الفعلي]]</f>
        <v>0</v>
      </c>
      <c r="F19" s="1" t="b">
        <f>Table5[[#This Row],[الرصيد الفعلي]]=0</f>
        <v>1</v>
      </c>
    </row>
    <row r="20" spans="1:6" x14ac:dyDescent="0.3">
      <c r="A20" t="str">
        <f>Table1[[#This Row],[الصندوق]]</f>
        <v>هدايا</v>
      </c>
      <c r="B20" t="str">
        <f>Table1[[#This Row],[نوعه]]</f>
        <v>صرف</v>
      </c>
      <c r="C20">
        <f>SUMIFS(الحركات[القيمة الفعلية],الحركات[إلى صندوق],Table5[[#This Row],[الصندوق]])</f>
        <v>0</v>
      </c>
      <c r="D20">
        <f>SUMIFS(الحركات[القيمة الفعلية],الحركات[من صندوق],Table5[[#This Row],[الصندوق]])</f>
        <v>0</v>
      </c>
      <c r="E20">
        <f>Table5[[#This Row],[مجموع الدخل الفعلي]]-Table5[[#This Row],[مجموع الصرف الفعلي]]</f>
        <v>0</v>
      </c>
      <c r="F20" s="1" t="b">
        <f>Table5[[#This Row],[الرصيد الفعلي]]=0</f>
        <v>1</v>
      </c>
    </row>
    <row r="21" spans="1:6" x14ac:dyDescent="0.3">
      <c r="A21" t="str">
        <f>Table1[[#This Row],[الصندوق]]</f>
        <v>طوارئ</v>
      </c>
      <c r="B21" t="str">
        <f>Table1[[#This Row],[نوعه]]</f>
        <v>صرف</v>
      </c>
      <c r="C21">
        <f>SUMIFS(الحركات[القيمة الفعلية],الحركات[إلى صندوق],Table5[[#This Row],[الصندوق]])</f>
        <v>0</v>
      </c>
      <c r="D21">
        <f>SUMIFS(الحركات[القيمة الفعلية],الحركات[من صندوق],Table5[[#This Row],[الصندوق]])</f>
        <v>0</v>
      </c>
      <c r="E21">
        <f>Table5[[#This Row],[مجموع الدخل الفعلي]]-Table5[[#This Row],[مجموع الصرف الفعلي]]</f>
        <v>0</v>
      </c>
      <c r="F21" s="1" t="b">
        <f>Table5[[#This Row],[الرصيد الفعلي]]=0</f>
        <v>1</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rightToLeft="1" workbookViewId="0">
      <selection activeCell="C7" sqref="C7"/>
    </sheetView>
  </sheetViews>
  <sheetFormatPr defaultRowHeight="14.4" x14ac:dyDescent="0.3"/>
  <sheetData>
    <row r="1" spans="1:3" x14ac:dyDescent="0.3">
      <c r="A1" t="s">
        <v>44</v>
      </c>
      <c r="C1" t="s">
        <v>35</v>
      </c>
    </row>
    <row r="2" spans="1:3" x14ac:dyDescent="0.3">
      <c r="A2">
        <v>201801</v>
      </c>
      <c r="C2" t="s">
        <v>45</v>
      </c>
    </row>
    <row r="3" spans="1:3" x14ac:dyDescent="0.3">
      <c r="A3">
        <v>201802</v>
      </c>
      <c r="C3" t="s">
        <v>46</v>
      </c>
    </row>
    <row r="4" spans="1:3" x14ac:dyDescent="0.3">
      <c r="A4">
        <v>201803</v>
      </c>
    </row>
    <row r="5" spans="1:3" x14ac:dyDescent="0.3">
      <c r="A5">
        <v>201804</v>
      </c>
    </row>
    <row r="6" spans="1:3" x14ac:dyDescent="0.3">
      <c r="A6">
        <v>201805</v>
      </c>
    </row>
    <row r="7" spans="1:3" x14ac:dyDescent="0.3">
      <c r="A7">
        <v>201806</v>
      </c>
    </row>
    <row r="8" spans="1:3" x14ac:dyDescent="0.3">
      <c r="A8">
        <v>201807</v>
      </c>
    </row>
    <row r="9" spans="1:3" x14ac:dyDescent="0.3">
      <c r="A9">
        <v>201808</v>
      </c>
    </row>
    <row r="10" spans="1:3" x14ac:dyDescent="0.3">
      <c r="A10">
        <v>201809</v>
      </c>
    </row>
    <row r="11" spans="1:3" x14ac:dyDescent="0.3">
      <c r="A11">
        <v>201810</v>
      </c>
    </row>
    <row r="12" spans="1:3" x14ac:dyDescent="0.3">
      <c r="A12">
        <v>201811</v>
      </c>
    </row>
    <row r="13" spans="1:3" x14ac:dyDescent="0.3">
      <c r="A13">
        <v>201812</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إعدادات الصناديق</vt:lpstr>
      <vt:lpstr>الحركات</vt:lpstr>
      <vt:lpstr>12 شهرا</vt:lpstr>
      <vt:lpstr>الوضع في شهر</vt:lpstr>
      <vt:lpstr>الارصدة الفعلية</vt:lpstr>
      <vt:lpstr>الإعدادات</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Akram Abwa</dc:creator>
  <cp:lastModifiedBy>akram</cp:lastModifiedBy>
  <dcterms:created xsi:type="dcterms:W3CDTF">2014-12-31T10:43:22Z</dcterms:created>
  <dcterms:modified xsi:type="dcterms:W3CDTF">2018-05-21T06:17:50Z</dcterms:modified>
</cp:coreProperties>
</file>