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งานระบบไฟฟ้า!$A$1:$M$69</definedName>
    <definedName name="_xlnm.Print_Area" localSheetId="4">งานระบบประปา!$A$1:$M$93</definedName>
    <definedName name="_xlnm.Print_Area" localSheetId="2">'งานสถาปัตยกรรม '!$A$1:$M$163</definedName>
    <definedName name="_xlnm.Print_Area" localSheetId="1">หมวดงานโครงสร้าง!$A$1:$M$71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D14" i="1" l="1"/>
  <c r="D12" i="1"/>
  <c r="K92" i="6"/>
  <c r="L83" i="6"/>
  <c r="K83" i="6"/>
  <c r="I83" i="6"/>
  <c r="L82" i="6"/>
  <c r="K82" i="6"/>
  <c r="I82" i="6"/>
  <c r="L81" i="6"/>
  <c r="K81" i="6"/>
  <c r="I81" i="6"/>
  <c r="K80" i="6"/>
  <c r="I80" i="6"/>
  <c r="L80" i="6" s="1"/>
  <c r="H80" i="6"/>
  <c r="K79" i="6"/>
  <c r="I79" i="6"/>
  <c r="I92" i="6" s="1"/>
  <c r="H79" i="6"/>
  <c r="L78" i="6"/>
  <c r="K78" i="6"/>
  <c r="I78" i="6"/>
  <c r="I76" i="6"/>
  <c r="L73" i="6"/>
  <c r="K73" i="6"/>
  <c r="J73" i="6"/>
  <c r="I73" i="6"/>
  <c r="K72" i="6"/>
  <c r="L72" i="6" s="1"/>
  <c r="L76" i="6" s="1"/>
  <c r="L12" i="6" s="1"/>
  <c r="I72" i="6"/>
  <c r="C72" i="6"/>
  <c r="H61" i="6"/>
  <c r="J61" i="6" s="1"/>
  <c r="K61" i="6" s="1"/>
  <c r="K60" i="6"/>
  <c r="L60" i="6" s="1"/>
  <c r="I60" i="6"/>
  <c r="C60" i="6"/>
  <c r="L56" i="6"/>
  <c r="K56" i="6"/>
  <c r="I56" i="6"/>
  <c r="C56" i="6"/>
  <c r="L55" i="6"/>
  <c r="K55" i="6"/>
  <c r="I55" i="6"/>
  <c r="C55" i="6"/>
  <c r="L54" i="6"/>
  <c r="K54" i="6"/>
  <c r="I54" i="6"/>
  <c r="K53" i="6"/>
  <c r="I53" i="6"/>
  <c r="L53" i="6" s="1"/>
  <c r="C53" i="6"/>
  <c r="L52" i="6"/>
  <c r="K52" i="6"/>
  <c r="L51" i="6"/>
  <c r="K51" i="6"/>
  <c r="I51" i="6"/>
  <c r="L50" i="6"/>
  <c r="K50" i="6"/>
  <c r="I50" i="6"/>
  <c r="H50" i="6"/>
  <c r="L48" i="6"/>
  <c r="K48" i="6"/>
  <c r="I48" i="6"/>
  <c r="L47" i="6"/>
  <c r="K47" i="6"/>
  <c r="J47" i="6"/>
  <c r="I47" i="6"/>
  <c r="L45" i="6"/>
  <c r="K45" i="6"/>
  <c r="I45" i="6"/>
  <c r="H45" i="6"/>
  <c r="C45" i="6"/>
  <c r="K44" i="6"/>
  <c r="I44" i="6"/>
  <c r="L44" i="6" s="1"/>
  <c r="H44" i="6"/>
  <c r="C44" i="6"/>
  <c r="K38" i="6"/>
  <c r="I38" i="6"/>
  <c r="L38" i="6" s="1"/>
  <c r="C38" i="6"/>
  <c r="K37" i="6"/>
  <c r="I37" i="6"/>
  <c r="L37" i="6" s="1"/>
  <c r="C37" i="6"/>
  <c r="L36" i="6"/>
  <c r="K36" i="6"/>
  <c r="I36" i="6"/>
  <c r="L35" i="6"/>
  <c r="K35" i="6"/>
  <c r="I35" i="6"/>
  <c r="C35" i="6"/>
  <c r="L34" i="6"/>
  <c r="K34" i="6"/>
  <c r="I34" i="6"/>
  <c r="K33" i="6"/>
  <c r="I33" i="6"/>
  <c r="L33" i="6" s="1"/>
  <c r="H33" i="6"/>
  <c r="L32" i="6"/>
  <c r="K32" i="6"/>
  <c r="I32" i="6"/>
  <c r="J31" i="6"/>
  <c r="K31" i="6" s="1"/>
  <c r="H31" i="6"/>
  <c r="I31" i="6" s="1"/>
  <c r="L30" i="6"/>
  <c r="K30" i="6"/>
  <c r="J30" i="6"/>
  <c r="I30" i="6"/>
  <c r="L29" i="6"/>
  <c r="K29" i="6"/>
  <c r="J29" i="6"/>
  <c r="I29" i="6"/>
  <c r="L28" i="6"/>
  <c r="K28" i="6"/>
  <c r="I28" i="6"/>
  <c r="L27" i="6"/>
  <c r="K27" i="6"/>
  <c r="I27" i="6"/>
  <c r="L26" i="6"/>
  <c r="K26" i="6"/>
  <c r="I26" i="6"/>
  <c r="L25" i="6"/>
  <c r="K25" i="6"/>
  <c r="I25" i="6"/>
  <c r="L22" i="6"/>
  <c r="K22" i="6"/>
  <c r="I22" i="6"/>
  <c r="H22" i="6"/>
  <c r="C22" i="6"/>
  <c r="K21" i="6"/>
  <c r="I21" i="6"/>
  <c r="L21" i="6" s="1"/>
  <c r="H21" i="6"/>
  <c r="C21" i="6"/>
  <c r="K20" i="6"/>
  <c r="I20" i="6"/>
  <c r="H20" i="6"/>
  <c r="C20" i="6"/>
  <c r="K13" i="6"/>
  <c r="B13" i="6"/>
  <c r="A13" i="6"/>
  <c r="I12" i="6"/>
  <c r="B12" i="6"/>
  <c r="A12" i="6"/>
  <c r="B11" i="6"/>
  <c r="A11" i="6"/>
  <c r="B10" i="6"/>
  <c r="A10" i="6"/>
  <c r="B9" i="6"/>
  <c r="A9" i="6"/>
  <c r="K67" i="5"/>
  <c r="K68" i="5" s="1"/>
  <c r="I67" i="5"/>
  <c r="I68" i="5" s="1"/>
  <c r="K64" i="5"/>
  <c r="I64" i="5"/>
  <c r="L64" i="5" s="1"/>
  <c r="L63" i="5"/>
  <c r="K63" i="5"/>
  <c r="I63" i="5"/>
  <c r="K62" i="5"/>
  <c r="L62" i="5" s="1"/>
  <c r="I62" i="5"/>
  <c r="K61" i="5"/>
  <c r="I61" i="5"/>
  <c r="L61" i="5" s="1"/>
  <c r="K60" i="5"/>
  <c r="I60" i="5"/>
  <c r="L60" i="5" s="1"/>
  <c r="L59" i="5"/>
  <c r="K59" i="5"/>
  <c r="I59" i="5"/>
  <c r="K58" i="5"/>
  <c r="K65" i="5" s="1"/>
  <c r="I58" i="5"/>
  <c r="K55" i="5"/>
  <c r="I55" i="5"/>
  <c r="L55" i="5" s="1"/>
  <c r="L54" i="5"/>
  <c r="K54" i="5"/>
  <c r="I54" i="5"/>
  <c r="K53" i="5"/>
  <c r="L53" i="5" s="1"/>
  <c r="I53" i="5"/>
  <c r="K52" i="5"/>
  <c r="I52" i="5"/>
  <c r="L52" i="5" s="1"/>
  <c r="K51" i="5"/>
  <c r="I51" i="5"/>
  <c r="L51" i="5" s="1"/>
  <c r="L50" i="5"/>
  <c r="K50" i="5"/>
  <c r="I50" i="5"/>
  <c r="K49" i="5"/>
  <c r="L49" i="5" s="1"/>
  <c r="I49" i="5"/>
  <c r="K48" i="5"/>
  <c r="I48" i="5"/>
  <c r="L48" i="5" s="1"/>
  <c r="G47" i="5"/>
  <c r="I47" i="5" s="1"/>
  <c r="G46" i="5"/>
  <c r="I46" i="5" s="1"/>
  <c r="G43" i="5"/>
  <c r="K43" i="5" s="1"/>
  <c r="G42" i="5"/>
  <c r="K42" i="5" s="1"/>
  <c r="L41" i="5"/>
  <c r="K41" i="5"/>
  <c r="I41" i="5"/>
  <c r="K40" i="5"/>
  <c r="L40" i="5" s="1"/>
  <c r="I40" i="5"/>
  <c r="K39" i="5"/>
  <c r="I39" i="5"/>
  <c r="L39" i="5" s="1"/>
  <c r="K38" i="5"/>
  <c r="I38" i="5"/>
  <c r="L38" i="5" s="1"/>
  <c r="L37" i="5"/>
  <c r="K37" i="5"/>
  <c r="K44" i="5" s="1"/>
  <c r="I37" i="5"/>
  <c r="K33" i="5"/>
  <c r="G33" i="5"/>
  <c r="I33" i="5" s="1"/>
  <c r="L33" i="5" s="1"/>
  <c r="K32" i="5"/>
  <c r="G32" i="5"/>
  <c r="I32" i="5" s="1"/>
  <c r="L32" i="5" s="1"/>
  <c r="K31" i="5"/>
  <c r="G31" i="5"/>
  <c r="I31" i="5" s="1"/>
  <c r="L31" i="5" s="1"/>
  <c r="K30" i="5"/>
  <c r="G30" i="5"/>
  <c r="I30" i="5" s="1"/>
  <c r="L30" i="5" s="1"/>
  <c r="K29" i="5"/>
  <c r="G29" i="5"/>
  <c r="I29" i="5" s="1"/>
  <c r="L29" i="5" s="1"/>
  <c r="K28" i="5"/>
  <c r="G28" i="5"/>
  <c r="I28" i="5" s="1"/>
  <c r="L28" i="5" s="1"/>
  <c r="K27" i="5"/>
  <c r="G27" i="5"/>
  <c r="I27" i="5" s="1"/>
  <c r="L27" i="5" s="1"/>
  <c r="K26" i="5"/>
  <c r="G26" i="5"/>
  <c r="I26" i="5" s="1"/>
  <c r="L26" i="5" s="1"/>
  <c r="K25" i="5"/>
  <c r="G25" i="5"/>
  <c r="I25" i="5" s="1"/>
  <c r="L25" i="5" s="1"/>
  <c r="K24" i="5"/>
  <c r="G24" i="5"/>
  <c r="I24" i="5" s="1"/>
  <c r="L24" i="5" s="1"/>
  <c r="K23" i="5"/>
  <c r="G23" i="5"/>
  <c r="I23" i="5" s="1"/>
  <c r="L23" i="5" s="1"/>
  <c r="K22" i="5"/>
  <c r="G22" i="5"/>
  <c r="I22" i="5" s="1"/>
  <c r="L22" i="5" s="1"/>
  <c r="K21" i="5"/>
  <c r="G21" i="5"/>
  <c r="I21" i="5" s="1"/>
  <c r="L21" i="5" s="1"/>
  <c r="K20" i="5"/>
  <c r="G20" i="5"/>
  <c r="I20" i="5" s="1"/>
  <c r="L20" i="5" s="1"/>
  <c r="K19" i="5"/>
  <c r="K35" i="5" s="1"/>
  <c r="I19" i="5"/>
  <c r="I35" i="5" s="1"/>
  <c r="K16" i="5"/>
  <c r="I16" i="5"/>
  <c r="L16" i="5" s="1"/>
  <c r="L15" i="5"/>
  <c r="K15" i="5"/>
  <c r="I15" i="5"/>
  <c r="K14" i="5"/>
  <c r="L14" i="5" s="1"/>
  <c r="I14" i="5"/>
  <c r="K13" i="5"/>
  <c r="I13" i="5"/>
  <c r="I17" i="5" s="1"/>
  <c r="K12" i="5"/>
  <c r="I12" i="5"/>
  <c r="L12" i="5" s="1"/>
  <c r="L11" i="5"/>
  <c r="K11" i="5"/>
  <c r="I11" i="5"/>
  <c r="K10" i="5"/>
  <c r="K17" i="5" s="1"/>
  <c r="I10" i="5"/>
  <c r="D10" i="1"/>
  <c r="D8" i="1"/>
  <c r="K69" i="7"/>
  <c r="I69" i="7"/>
  <c r="L69" i="7" s="1"/>
  <c r="K68" i="7"/>
  <c r="I68" i="7"/>
  <c r="L68" i="7" s="1"/>
  <c r="K67" i="7"/>
  <c r="L67" i="7" s="1"/>
  <c r="I67" i="7"/>
  <c r="L66" i="7"/>
  <c r="K66" i="7"/>
  <c r="I66" i="7"/>
  <c r="E66" i="7"/>
  <c r="L65" i="7"/>
  <c r="K65" i="7"/>
  <c r="I65" i="7"/>
  <c r="E65" i="7"/>
  <c r="L64" i="7"/>
  <c r="K64" i="7"/>
  <c r="I64" i="7"/>
  <c r="K63" i="7"/>
  <c r="I63" i="7"/>
  <c r="L63" i="7" s="1"/>
  <c r="K62" i="7"/>
  <c r="I62" i="7"/>
  <c r="L62" i="7" s="1"/>
  <c r="K59" i="7"/>
  <c r="I59" i="7"/>
  <c r="L59" i="7" s="1"/>
  <c r="L58" i="7"/>
  <c r="K58" i="7"/>
  <c r="I58" i="7"/>
  <c r="K57" i="7"/>
  <c r="I57" i="7"/>
  <c r="L57" i="7" s="1"/>
  <c r="K56" i="7"/>
  <c r="I56" i="7"/>
  <c r="L56" i="7" s="1"/>
  <c r="G54" i="7"/>
  <c r="K54" i="7" s="1"/>
  <c r="K53" i="7"/>
  <c r="I53" i="7"/>
  <c r="L53" i="7" s="1"/>
  <c r="L52" i="7"/>
  <c r="K52" i="7"/>
  <c r="I52" i="7"/>
  <c r="K51" i="7"/>
  <c r="I51" i="7"/>
  <c r="L51" i="7" s="1"/>
  <c r="K47" i="7"/>
  <c r="I47" i="7"/>
  <c r="L47" i="7" s="1"/>
  <c r="K46" i="7"/>
  <c r="I46" i="7"/>
  <c r="L46" i="7" s="1"/>
  <c r="L45" i="7"/>
  <c r="K45" i="7"/>
  <c r="I45" i="7"/>
  <c r="K44" i="7"/>
  <c r="I44" i="7"/>
  <c r="L44" i="7" s="1"/>
  <c r="E44" i="7"/>
  <c r="K43" i="7"/>
  <c r="I43" i="7"/>
  <c r="L43" i="7" s="1"/>
  <c r="K41" i="7"/>
  <c r="I41" i="7"/>
  <c r="L41" i="7" s="1"/>
  <c r="K40" i="7"/>
  <c r="I40" i="7"/>
  <c r="L40" i="7" s="1"/>
  <c r="L39" i="7"/>
  <c r="K39" i="7"/>
  <c r="I39" i="7"/>
  <c r="K38" i="7"/>
  <c r="I38" i="7"/>
  <c r="L38" i="7" s="1"/>
  <c r="K37" i="7"/>
  <c r="I37" i="7"/>
  <c r="L37" i="7" s="1"/>
  <c r="G35" i="7"/>
  <c r="K35" i="7" s="1"/>
  <c r="K34" i="7"/>
  <c r="I34" i="7"/>
  <c r="L34" i="7" s="1"/>
  <c r="L33" i="7"/>
  <c r="K33" i="7"/>
  <c r="I33" i="7"/>
  <c r="K32" i="7"/>
  <c r="I32" i="7"/>
  <c r="L32" i="7" s="1"/>
  <c r="K31" i="7"/>
  <c r="I31" i="7"/>
  <c r="L31" i="7" s="1"/>
  <c r="K30" i="7"/>
  <c r="I30" i="7"/>
  <c r="L30" i="7" s="1"/>
  <c r="L29" i="7"/>
  <c r="K29" i="7"/>
  <c r="I29" i="7"/>
  <c r="K28" i="7"/>
  <c r="I28" i="7"/>
  <c r="L28" i="7" s="1"/>
  <c r="K24" i="7"/>
  <c r="I24" i="7"/>
  <c r="L24" i="7" s="1"/>
  <c r="K23" i="7"/>
  <c r="I23" i="7"/>
  <c r="L23" i="7" s="1"/>
  <c r="K22" i="7"/>
  <c r="I22" i="7"/>
  <c r="L22" i="7" s="1"/>
  <c r="K20" i="7"/>
  <c r="G20" i="7"/>
  <c r="I20" i="7" s="1"/>
  <c r="L20" i="7" s="1"/>
  <c r="K19" i="7"/>
  <c r="I19" i="7"/>
  <c r="L19" i="7" s="1"/>
  <c r="K18" i="7"/>
  <c r="I18" i="7"/>
  <c r="L18" i="7" s="1"/>
  <c r="K17" i="7"/>
  <c r="I17" i="7"/>
  <c r="L17" i="7" s="1"/>
  <c r="L16" i="7"/>
  <c r="K16" i="7"/>
  <c r="I16" i="7"/>
  <c r="K15" i="7"/>
  <c r="I15" i="7"/>
  <c r="L15" i="7" s="1"/>
  <c r="K14" i="7"/>
  <c r="I14" i="7"/>
  <c r="L14" i="7" s="1"/>
  <c r="K13" i="7"/>
  <c r="I13" i="7"/>
  <c r="L13" i="7" s="1"/>
  <c r="P12" i="7"/>
  <c r="K12" i="7"/>
  <c r="I12" i="7"/>
  <c r="L12" i="7" s="1"/>
  <c r="P11" i="7"/>
  <c r="K11" i="7"/>
  <c r="I11" i="7"/>
  <c r="L11" i="7" s="1"/>
  <c r="L10" i="7"/>
  <c r="K10" i="7"/>
  <c r="K71" i="7" s="1"/>
  <c r="I10" i="7"/>
  <c r="A5" i="7"/>
  <c r="A4" i="7"/>
  <c r="M3" i="7"/>
  <c r="A3" i="7"/>
  <c r="I41" i="3"/>
  <c r="L41" i="3" s="1"/>
  <c r="I40" i="3"/>
  <c r="L40" i="3" s="1"/>
  <c r="I39" i="3"/>
  <c r="L39" i="3" s="1"/>
  <c r="I38" i="3"/>
  <c r="L38" i="3" s="1"/>
  <c r="I37" i="3"/>
  <c r="L37" i="3" s="1"/>
  <c r="I36" i="3"/>
  <c r="F35" i="3"/>
  <c r="E35" i="3"/>
  <c r="A4" i="6"/>
  <c r="M3" i="6"/>
  <c r="A3" i="6"/>
  <c r="A4" i="5"/>
  <c r="M3" i="5"/>
  <c r="A3" i="5"/>
  <c r="A4" i="3"/>
  <c r="M3" i="3"/>
  <c r="A3" i="3"/>
  <c r="I160" i="3"/>
  <c r="L160" i="3" s="1"/>
  <c r="E160" i="3"/>
  <c r="I159" i="3"/>
  <c r="L159" i="3" s="1"/>
  <c r="L158" i="3"/>
  <c r="I158" i="3"/>
  <c r="I157" i="3"/>
  <c r="L157" i="3" s="1"/>
  <c r="I156" i="3"/>
  <c r="L156" i="3" s="1"/>
  <c r="I155" i="3"/>
  <c r="L155" i="3" s="1"/>
  <c r="L154" i="3"/>
  <c r="I154" i="3"/>
  <c r="I153" i="3"/>
  <c r="L153" i="3" s="1"/>
  <c r="I152" i="3"/>
  <c r="L152" i="3" s="1"/>
  <c r="I151" i="3"/>
  <c r="L151" i="3" s="1"/>
  <c r="L150" i="3"/>
  <c r="I150" i="3"/>
  <c r="I149" i="3"/>
  <c r="I145" i="3"/>
  <c r="L145" i="3" s="1"/>
  <c r="E145" i="3"/>
  <c r="I144" i="3"/>
  <c r="L144" i="3" s="1"/>
  <c r="I143" i="3"/>
  <c r="L143" i="3" s="1"/>
  <c r="I142" i="3"/>
  <c r="L142" i="3" s="1"/>
  <c r="I141" i="3"/>
  <c r="L141" i="3" s="1"/>
  <c r="E141" i="3"/>
  <c r="I140" i="3"/>
  <c r="L140" i="3" s="1"/>
  <c r="E140" i="3"/>
  <c r="I139" i="3"/>
  <c r="E139" i="3"/>
  <c r="I133" i="3"/>
  <c r="I136" i="3" s="1"/>
  <c r="I127" i="3"/>
  <c r="L127" i="3" s="1"/>
  <c r="I126" i="3"/>
  <c r="L126" i="3" s="1"/>
  <c r="L125" i="3"/>
  <c r="I124" i="3"/>
  <c r="L124" i="3" s="1"/>
  <c r="I123" i="3"/>
  <c r="L123" i="3" s="1"/>
  <c r="I122" i="3"/>
  <c r="L122" i="3" s="1"/>
  <c r="I121" i="3"/>
  <c r="L121" i="3" s="1"/>
  <c r="I120" i="3"/>
  <c r="L120" i="3" s="1"/>
  <c r="I119" i="3"/>
  <c r="L119" i="3" s="1"/>
  <c r="I118" i="3"/>
  <c r="L118" i="3" s="1"/>
  <c r="I117" i="3"/>
  <c r="L117" i="3" s="1"/>
  <c r="I116" i="3"/>
  <c r="L116" i="3" s="1"/>
  <c r="I115" i="3"/>
  <c r="L115" i="3" s="1"/>
  <c r="I114" i="3"/>
  <c r="L114" i="3" s="1"/>
  <c r="I113" i="3"/>
  <c r="L113" i="3" s="1"/>
  <c r="I112" i="3"/>
  <c r="L112" i="3" s="1"/>
  <c r="I111" i="3"/>
  <c r="L111" i="3" s="1"/>
  <c r="I107" i="3"/>
  <c r="L107" i="3" s="1"/>
  <c r="L106" i="3"/>
  <c r="I106" i="3"/>
  <c r="L105" i="3"/>
  <c r="I104" i="3"/>
  <c r="L104" i="3" s="1"/>
  <c r="I103" i="3"/>
  <c r="L103" i="3" s="1"/>
  <c r="I102" i="3"/>
  <c r="L102" i="3" s="1"/>
  <c r="I101" i="3"/>
  <c r="L101" i="3" s="1"/>
  <c r="I100" i="3"/>
  <c r="L100" i="3" s="1"/>
  <c r="I99" i="3"/>
  <c r="L99" i="3" s="1"/>
  <c r="I98" i="3"/>
  <c r="L98" i="3" s="1"/>
  <c r="I97" i="3"/>
  <c r="L97" i="3" s="1"/>
  <c r="I96" i="3"/>
  <c r="L96" i="3" s="1"/>
  <c r="I95" i="3"/>
  <c r="L95" i="3" s="1"/>
  <c r="I94" i="3"/>
  <c r="L94" i="3" s="1"/>
  <c r="I93" i="3"/>
  <c r="L93" i="3" s="1"/>
  <c r="I92" i="3"/>
  <c r="L92" i="3" s="1"/>
  <c r="I91" i="3"/>
  <c r="L91" i="3" s="1"/>
  <c r="I88" i="3"/>
  <c r="L88" i="3" s="1"/>
  <c r="I87" i="3"/>
  <c r="L87" i="3" s="1"/>
  <c r="L86" i="3"/>
  <c r="L85" i="3"/>
  <c r="I85" i="3"/>
  <c r="I84" i="3"/>
  <c r="L84" i="3" s="1"/>
  <c r="I83" i="3"/>
  <c r="L83" i="3" s="1"/>
  <c r="I82" i="3"/>
  <c r="L82" i="3" s="1"/>
  <c r="I81" i="3"/>
  <c r="L81" i="3" s="1"/>
  <c r="I80" i="3"/>
  <c r="L80" i="3" s="1"/>
  <c r="I79" i="3"/>
  <c r="L79" i="3" s="1"/>
  <c r="I78" i="3"/>
  <c r="L78" i="3" s="1"/>
  <c r="I77" i="3"/>
  <c r="L77" i="3" s="1"/>
  <c r="I76" i="3"/>
  <c r="L76" i="3" s="1"/>
  <c r="I75" i="3"/>
  <c r="L75" i="3" s="1"/>
  <c r="I74" i="3"/>
  <c r="L74" i="3" s="1"/>
  <c r="I73" i="3"/>
  <c r="L73" i="3" s="1"/>
  <c r="I72" i="3"/>
  <c r="L72" i="3" s="1"/>
  <c r="I68" i="3"/>
  <c r="L68" i="3" s="1"/>
  <c r="I67" i="3"/>
  <c r="L67" i="3" s="1"/>
  <c r="I66" i="3"/>
  <c r="L66" i="3" s="1"/>
  <c r="I65" i="3"/>
  <c r="L65" i="3" s="1"/>
  <c r="I62" i="3"/>
  <c r="L62" i="3" s="1"/>
  <c r="E62" i="3"/>
  <c r="L61" i="3"/>
  <c r="I61" i="3"/>
  <c r="I60" i="3"/>
  <c r="L60" i="3" s="1"/>
  <c r="I59" i="3"/>
  <c r="L59" i="3" s="1"/>
  <c r="I58" i="3"/>
  <c r="L58" i="3" s="1"/>
  <c r="I57" i="3"/>
  <c r="L57" i="3" s="1"/>
  <c r="I56" i="3"/>
  <c r="L56" i="3" s="1"/>
  <c r="K51" i="3"/>
  <c r="L51" i="3" s="1"/>
  <c r="I51" i="3"/>
  <c r="E51" i="3"/>
  <c r="K50" i="3"/>
  <c r="I50" i="3"/>
  <c r="E50" i="3"/>
  <c r="K49" i="3"/>
  <c r="I49" i="3"/>
  <c r="E49" i="3"/>
  <c r="K47" i="3"/>
  <c r="I47" i="3"/>
  <c r="E47" i="3"/>
  <c r="K46" i="3"/>
  <c r="L46" i="3" s="1"/>
  <c r="I46" i="3"/>
  <c r="E46" i="3"/>
  <c r="K45" i="3"/>
  <c r="I45" i="3"/>
  <c r="K44" i="3"/>
  <c r="I44" i="3"/>
  <c r="I53" i="3" s="1"/>
  <c r="K31" i="3"/>
  <c r="I31" i="3"/>
  <c r="K30" i="3"/>
  <c r="I30" i="3"/>
  <c r="K28" i="3"/>
  <c r="I28" i="3"/>
  <c r="K27" i="3"/>
  <c r="I27" i="3"/>
  <c r="K26" i="3"/>
  <c r="I26" i="3"/>
  <c r="E26" i="3"/>
  <c r="K25" i="3"/>
  <c r="I25" i="3"/>
  <c r="E25" i="3"/>
  <c r="K24" i="3"/>
  <c r="I24" i="3"/>
  <c r="E24" i="3"/>
  <c r="K23" i="3"/>
  <c r="I23" i="3"/>
  <c r="E23" i="3"/>
  <c r="K22" i="3"/>
  <c r="I22" i="3"/>
  <c r="E22" i="3"/>
  <c r="K21" i="3"/>
  <c r="I21" i="3"/>
  <c r="E21" i="3"/>
  <c r="E45" i="3" s="1"/>
  <c r="F20" i="3"/>
  <c r="K18" i="3"/>
  <c r="I18" i="3"/>
  <c r="K17" i="3"/>
  <c r="I17" i="3"/>
  <c r="K16" i="3"/>
  <c r="I16" i="3"/>
  <c r="E16" i="3"/>
  <c r="E18" i="3" s="1"/>
  <c r="K15" i="3"/>
  <c r="I15" i="3"/>
  <c r="E15" i="3"/>
  <c r="E17" i="3" s="1"/>
  <c r="K14" i="3"/>
  <c r="I14" i="3"/>
  <c r="K13" i="3"/>
  <c r="I13" i="3"/>
  <c r="K12" i="3"/>
  <c r="L12" i="3" s="1"/>
  <c r="I12" i="3"/>
  <c r="K11" i="3"/>
  <c r="I11" i="3"/>
  <c r="K10" i="3"/>
  <c r="I10" i="3"/>
  <c r="F9" i="3"/>
  <c r="I13" i="6" l="1"/>
  <c r="L31" i="6"/>
  <c r="H23" i="6"/>
  <c r="H46" i="6"/>
  <c r="I61" i="6"/>
  <c r="L61" i="6" s="1"/>
  <c r="L69" i="6" s="1"/>
  <c r="L11" i="6" s="1"/>
  <c r="K76" i="6"/>
  <c r="K12" i="6" s="1"/>
  <c r="L79" i="6"/>
  <c r="L92" i="6" s="1"/>
  <c r="L20" i="6"/>
  <c r="K69" i="6"/>
  <c r="K11" i="6" s="1"/>
  <c r="I56" i="5"/>
  <c r="L47" i="5"/>
  <c r="I65" i="5"/>
  <c r="L10" i="5"/>
  <c r="L19" i="5"/>
  <c r="L58" i="5"/>
  <c r="L65" i="5" s="1"/>
  <c r="L13" i="5"/>
  <c r="L34" i="5"/>
  <c r="I42" i="5"/>
  <c r="L42" i="5" s="1"/>
  <c r="L44" i="5" s="1"/>
  <c r="I43" i="5"/>
  <c r="L43" i="5" s="1"/>
  <c r="K46" i="5"/>
  <c r="K47" i="5"/>
  <c r="L67" i="5"/>
  <c r="L68" i="5" s="1"/>
  <c r="I35" i="7"/>
  <c r="L35" i="7" s="1"/>
  <c r="L71" i="7" s="1"/>
  <c r="I54" i="7"/>
  <c r="L54" i="7" s="1"/>
  <c r="L11" i="3"/>
  <c r="L45" i="3"/>
  <c r="L50" i="3"/>
  <c r="L15" i="3"/>
  <c r="L23" i="3"/>
  <c r="L27" i="3"/>
  <c r="L30" i="3"/>
  <c r="L44" i="3"/>
  <c r="L47" i="3"/>
  <c r="I162" i="3"/>
  <c r="I42" i="3"/>
  <c r="L14" i="3"/>
  <c r="L49" i="3"/>
  <c r="L149" i="3"/>
  <c r="L162" i="3" s="1"/>
  <c r="I19" i="3"/>
  <c r="L13" i="3"/>
  <c r="L21" i="3"/>
  <c r="L25" i="3"/>
  <c r="L28" i="3"/>
  <c r="L36" i="3"/>
  <c r="L42" i="3" s="1"/>
  <c r="L69" i="3"/>
  <c r="K19" i="3"/>
  <c r="K163" i="3" s="1"/>
  <c r="L16" i="3"/>
  <c r="L18" i="3"/>
  <c r="L24" i="3"/>
  <c r="L133" i="3"/>
  <c r="L136" i="3" s="1"/>
  <c r="L17" i="3"/>
  <c r="L22" i="3"/>
  <c r="L26" i="3"/>
  <c r="K53" i="3"/>
  <c r="I147" i="3"/>
  <c r="K33" i="3"/>
  <c r="I69" i="3"/>
  <c r="L31" i="3"/>
  <c r="I33" i="3"/>
  <c r="E9" i="3"/>
  <c r="L10" i="3"/>
  <c r="E20" i="3"/>
  <c r="E44" i="3"/>
  <c r="L139" i="3"/>
  <c r="L147" i="3" s="1"/>
  <c r="L13" i="6" l="1"/>
  <c r="J46" i="6"/>
  <c r="K46" i="6" s="1"/>
  <c r="I46" i="6"/>
  <c r="I57" i="6" s="1"/>
  <c r="I10" i="6" s="1"/>
  <c r="J23" i="6"/>
  <c r="K23" i="6" s="1"/>
  <c r="K41" i="6" s="1"/>
  <c r="K9" i="6" s="1"/>
  <c r="I23" i="6"/>
  <c r="I69" i="6"/>
  <c r="I44" i="5"/>
  <c r="I69" i="5" s="1"/>
  <c r="K56" i="5"/>
  <c r="K69" i="5" s="1"/>
  <c r="L17" i="5"/>
  <c r="L35" i="5"/>
  <c r="L46" i="5"/>
  <c r="L56" i="5" s="1"/>
  <c r="I71" i="7"/>
  <c r="L53" i="3"/>
  <c r="I163" i="3"/>
  <c r="L33" i="3"/>
  <c r="L19" i="3"/>
  <c r="I11" i="6" l="1"/>
  <c r="K57" i="6"/>
  <c r="L46" i="6"/>
  <c r="L57" i="6" s="1"/>
  <c r="L23" i="6"/>
  <c r="L41" i="6" s="1"/>
  <c r="L9" i="6" s="1"/>
  <c r="I41" i="6"/>
  <c r="I9" i="6" s="1"/>
  <c r="I17" i="6" s="1"/>
  <c r="L69" i="5"/>
  <c r="L163" i="3"/>
  <c r="L10" i="6" l="1"/>
  <c r="L93" i="6"/>
  <c r="K10" i="6"/>
  <c r="K17" i="6" s="1"/>
  <c r="K93" i="6"/>
  <c r="I93" i="6"/>
  <c r="L17" i="6"/>
  <c r="D16" i="1"/>
  <c r="D18" i="1" l="1"/>
  <c r="D19" i="1" l="1"/>
  <c r="D20" i="1" s="1"/>
  <c r="D21" i="1" s="1"/>
</calcChain>
</file>

<file path=xl/sharedStrings.xml><?xml version="1.0" encoding="utf-8"?>
<sst xmlns="http://schemas.openxmlformats.org/spreadsheetml/2006/main" count="890" uniqueCount="459">
  <si>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</si>
  <si>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</si>
  <si>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</si>
  <si>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</si>
  <si>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</si>
  <si>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</si>
  <si>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</si>
  <si>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</si>
  <si>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</si>
  <si>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</si>
  <si>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</si>
  <si>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</si>
  <si>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</si>
  <si>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</si>
  <si>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</si>
  <si>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</si>
  <si>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</si>
  <si>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</si>
  <si>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</si>
  <si>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</si>
  <si>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</si>
  <si>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</si>
  <si>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</si>
  <si>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</si>
  <si>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</si>
  <si>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</si>
  <si>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</si>
  <si>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</si>
  <si>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</si>
  <si>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</si>
  <si>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</si>
  <si>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</si>
  <si>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</si>
  <si>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</si>
  <si>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</si>
  <si>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</si>
  <si>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</si>
  <si>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</si>
  <si>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</si>
  <si>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</si>
  <si>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</si>
  <si>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</si>
  <si>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</si>
  <si>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</si>
  <si>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</si>
  <si>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</si>
  <si>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</si>
  <si>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</si>
  <si>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</si>
  <si>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</si>
  <si>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</si>
  <si>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</si>
  <si>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</si>
  <si>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</si>
  <si>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</si>
  <si>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</si>
  <si>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</si>
  <si>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</si>
  <si>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</si>
  <si>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</si>
  <si>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</si>
  <si>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</si>
  <si>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</si>
  <si>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</si>
  <si>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</si>
  <si>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</si>
  <si>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</si>
  <si>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</si>
  <si>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</si>
  <si>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</si>
  <si>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</si>
  <si>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</si>
  <si>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</si>
  <si>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</si>
  <si>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</si>
  <si>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</si>
  <si>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</si>
  <si>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</si>
  <si>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</si>
  <si>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</si>
  <si>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</si>
  <si>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</si>
  <si>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</si>
  <si>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</si>
  <si>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</si>
  <si>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</si>
  <si>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</si>
  <si>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</si>
  <si>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</si>
  <si>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</si>
  <si>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</si>
  <si>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</si>
  <si>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</si>
  <si>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</si>
  <si>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</si>
  <si>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</si>
  <si>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</si>
  <si>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</si>
  <si>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</si>
  <si>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</si>
  <si>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</si>
  <si>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</si>
  <si>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</si>
  <si>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</si>
  <si>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</si>
  <si>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</si>
  <si>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</si>
  <si>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</si>
  <si>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</si>
  <si>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</si>
  <si>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</si>
  <si>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</si>
  <si>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</si>
  <si>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</si>
  <si>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</si>
  <si>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</si>
  <si>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</si>
  <si>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</si>
  <si>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</si>
  <si>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</si>
  <si>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</si>
  <si>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</si>
  <si>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</si>
  <si>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</si>
  <si>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</si>
  <si>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</si>
  <si>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</si>
  <si>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</si>
  <si>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</si>
  <si>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</si>
  <si>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</si>
  <si>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</si>
  <si>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</si>
  <si>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</si>
  <si>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</si>
  <si>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</si>
  <si>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</si>
  <si>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</si>
  <si>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</si>
  <si>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</si>
  <si>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</si>
  <si>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</si>
  <si>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</si>
  <si>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</si>
  <si>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</si>
  <si>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</si>
  <si>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</si>
  <si>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</si>
  <si>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</si>
  <si>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</si>
  <si>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</si>
  <si>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</si>
  <si>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</si>
  <si>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</si>
  <si>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</si>
  <si>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</si>
  <si>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</si>
  <si>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</si>
  <si>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</si>
  <si>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</si>
  <si>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</si>
  <si>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</si>
  <si>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</si>
  <si>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</si>
  <si>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</si>
  <si>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</si>
  <si>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</si>
  <si>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</si>
  <si>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</si>
  <si>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</si>
  <si>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</si>
  <si>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</si>
  <si>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</si>
  <si>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</si>
  <si>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</si>
  <si>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</si>
  <si>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</si>
  <si>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</si>
  <si>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</si>
  <si>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</si>
  <si>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</si>
  <si>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</si>
  <si>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</si>
  <si>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</si>
  <si>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</si>
  <si>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</si>
  <si>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</si>
  <si>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</si>
  <si>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</si>
  <si>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</si>
  <si>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</si>
  <si>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</si>
  <si>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</si>
  <si>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</si>
  <si>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</si>
  <si>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</si>
  <si>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</si>
  <si>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</si>
  <si>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</si>
  <si>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</si>
  <si>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</si>
  <si>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</si>
  <si>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</si>
  <si>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น1</t>
  </si>
  <si>
    <t>น2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</si>
  <si>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</si>
  <si>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</si>
  <si>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</si>
  <si>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</si>
  <si>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>เลิอน</t>
  </si>
  <si>
    <t>เปิด</t>
  </si>
  <si>
    <t>ทุ้ง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</si>
  <si>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</si>
  <si>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</si>
  <si>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</si>
  <si>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</si>
  <si>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</si>
  <si>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</si>
  <si>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</si>
  <si>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</si>
  <si>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</si>
  <si>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</si>
  <si>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</si>
  <si>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</si>
  <si>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</si>
  <si>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</si>
  <si>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</si>
  <si>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</si>
  <si>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</si>
  <si>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</si>
  <si>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</si>
  <si>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</si>
  <si>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</si>
  <si>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</si>
  <si>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</si>
  <si>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</si>
  <si>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</si>
  <si>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</si>
  <si>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</si>
  <si>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</si>
  <si>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</si>
  <si>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</si>
  <si>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</si>
  <si>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</si>
  <si>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</si>
  <si>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</si>
  <si>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</si>
  <si>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</si>
  <si>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</si>
  <si>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</si>
  <si>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แผงบังแดด 3</t>
  </si>
  <si>
    <t>แผงบังแดด 4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</si>
  <si>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</si>
  <si>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</si>
  <si>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</si>
  <si>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</si>
  <si>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</si>
  <si>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</si>
  <si>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</si>
  <si>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</si>
  <si>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ตู้ไฟฟ้า CONSUMER UNIT (CU) 14 วงจร</t>
  </si>
  <si>
    <t xml:space="preserve">  -  Molded Case Circuit Breaker (MCCB) 2P,100AT/100AF ,Ics 10 KA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</si>
  <si>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</si>
  <si>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</si>
  <si>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</si>
  <si>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</si>
  <si>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</si>
  <si>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</si>
  <si>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 -  IEC01 (THW) 35 SQ.MM. (MAIN FEEDER)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</si>
  <si>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</si>
  <si>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</si>
  <si>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</si>
  <si>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</si>
  <si>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</si>
  <si>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</si>
  <si>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</si>
  <si>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</si>
  <si>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</si>
  <si>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</si>
  <si>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</si>
  <si>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</si>
  <si>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2 นิ้ว uPVC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</si>
  <si>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</si>
  <si>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</si>
  <si>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</si>
  <si>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</si>
  <si>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</si>
  <si>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</si>
  <si>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</si>
  <si>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</si>
  <si>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</si>
  <si>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</si>
  <si>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</si>
  <si>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</si>
  <si>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</si>
  <si>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</si>
  <si>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</si>
  <si>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</si>
  <si>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</si>
  <si>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</si>
  <si>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</si>
  <si>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</si>
  <si>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</si>
  <si>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</si>
  <si>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</si>
  <si>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</si>
  <si>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</si>
  <si>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</si>
  <si>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</si>
  <si>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</si>
  <si>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</si>
  <si>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</si>
  <si>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</si>
  <si>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</si>
  <si>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</si>
  <si>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</si>
  <si>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</si>
  <si>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</si>
  <si>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</si>
  <si>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</si>
  <si>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</si>
  <si>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</si>
  <si>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</si>
  <si>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</si>
  <si>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</si>
  <si>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</si>
  <si>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</si>
  <si>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</si>
  <si>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</si>
  <si>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</si>
  <si>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</si>
  <si>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</si>
  <si>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</si>
  <si>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</si>
  <si>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</si>
  <si>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</si>
  <si>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</si>
  <si>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</si>
  <si>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</si>
  <si>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</si>
  <si>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</si>
  <si>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</si>
  <si>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</si>
  <si>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</si>
  <si>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</si>
  <si>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</si>
  <si>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</si>
  <si>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</si>
  <si>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</si>
  <si>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</si>
  <si>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</si>
  <si>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</si>
  <si>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</si>
  <si>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</si>
  <si>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</si>
  <si>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</si>
  <si>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</si>
  <si>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</si>
  <si>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</si>
  <si>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 xml:space="preserve">  -  สวิตช์ไฟฟ้า 2 ทาง</t>
  </si>
  <si>
    <t xml:space="preserve"> งานบันได</t>
  </si>
  <si>
    <t>ST1 (บันไดหลัก)</t>
  </si>
  <si>
    <t xml:space="preserve"> - ลูกนอนบันได </t>
  </si>
  <si>
    <t>(ชิ้น)</t>
  </si>
  <si>
    <t xml:space="preserve"> - ชานพักบันได</t>
  </si>
  <si>
    <t xml:space="preserve">    - บัวเชิงผนังไม้สำเร็จรูป 1/2"x4"</t>
  </si>
  <si>
    <t xml:space="preserve">  - ค่าแรงติดตั้งไม้บันได</t>
  </si>
  <si>
    <t xml:space="preserve">     - งานเก็บงานปูนฉาบและสีใต้บันได</t>
  </si>
  <si>
    <t xml:space="preserve">     - ปรับปูนทรายขั้นบันได</t>
  </si>
  <si>
    <t xml:space="preserve">  - ราวบันได</t>
  </si>
  <si>
    <t>B-9</t>
  </si>
  <si>
    <t>B-9.1</t>
  </si>
  <si>
    <t>B-9.2</t>
  </si>
  <si>
    <t>ราวระเบียง 1</t>
  </si>
  <si>
    <t>รวมหมวดงาน B-9</t>
  </si>
  <si>
    <t xml:space="preserve">F2 - พื้น คสล. ผิวลามิเนต </t>
  </si>
  <si>
    <t xml:space="preserve">     - ขัดมันเรียบพื้นลามิเนต</t>
  </si>
  <si>
    <t>B-1.7</t>
  </si>
  <si>
    <t>ซีเมนต์ขัดมันเรียบผสมน้ำยากันซึม (กันสาด)</t>
  </si>
  <si>
    <t>B-1.8</t>
  </si>
  <si>
    <t>ผนังอิฐมวลเบา 2 ชั้น</t>
  </si>
  <si>
    <t>B-2.9</t>
  </si>
  <si>
    <t>B-2.10</t>
  </si>
  <si>
    <t>B-4.8</t>
  </si>
  <si>
    <t>B-5.2.3</t>
  </si>
  <si>
    <t>น3</t>
  </si>
  <si>
    <t>ห้องน้ำ 1 (ค่าแรงอยู่ในงานสุขาภิบาลแล้ว)</t>
  </si>
  <si>
    <t>B-6.1.13</t>
  </si>
  <si>
    <t>B-6.1.14</t>
  </si>
  <si>
    <t>B-6.1.15</t>
  </si>
  <si>
    <t>ห้องน้ำ 2  (ค่าแรงอยู่ในงานสุขาภิบาลแล้ว)</t>
  </si>
  <si>
    <t xml:space="preserve"> รวมหมวดงาน B-6</t>
  </si>
  <si>
    <t>(ชูด)</t>
  </si>
  <si>
    <t>B-9.3</t>
  </si>
  <si>
    <t>B-9.4</t>
  </si>
  <si>
    <t>B-952</t>
  </si>
  <si>
    <t>แผงบังแดด 5</t>
  </si>
  <si>
    <t>B-9.6</t>
  </si>
  <si>
    <t>แผงบังแดด 6</t>
  </si>
  <si>
    <t>B-9.7</t>
  </si>
  <si>
    <t>แผงบังแดด 7</t>
  </si>
  <si>
    <t>B-9.8</t>
  </si>
  <si>
    <t>แผงบังแดด 8</t>
  </si>
  <si>
    <t>B-9.9</t>
  </si>
  <si>
    <t>แผงบังแดด 9</t>
  </si>
  <si>
    <t>B-9.10</t>
  </si>
  <si>
    <t>แผงบังแดด 10</t>
  </si>
  <si>
    <t>B-9.11</t>
  </si>
  <si>
    <t>แผงบังแดด 11</t>
  </si>
  <si>
    <t>B-2.11</t>
  </si>
  <si>
    <t>B-3.4</t>
  </si>
  <si>
    <t>B-5.1.7</t>
  </si>
  <si>
    <t>ป7</t>
  </si>
  <si>
    <t>ห้องน้ำ 3  (ค่าแรงอยู่ในงานสุขาภิบาลแล้ว)</t>
  </si>
  <si>
    <t>B-9.15</t>
  </si>
  <si>
    <t>ผนังปิดผิวด้วยแผ่นสมาร์ทบอร์ด รุ่นเซาะร่อง 4 นิ้ว</t>
  </si>
  <si>
    <t>B-5.2.4</t>
  </si>
  <si>
    <t>น4</t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</si>
  <si>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</t>
    </r>
  </si>
  <si>
    <t>แบบบ้าน  :  บ้านดีดีรักษ์ฟ้า 4</t>
  </si>
  <si>
    <t>C4 - ฉาบปูนเรียบทาสีใต้ท้องพื้น</t>
  </si>
  <si>
    <t>B-3.5</t>
  </si>
  <si>
    <t>C5 - ฝ้าเพดานยิบซั่มบอร์ด หนา 9 มม. ชนิดธรรมดา โครงเคร่าเหล็กชุบสังกะสี  @ 0.60x0.60m.</t>
  </si>
  <si>
    <t>B-3.6</t>
  </si>
  <si>
    <t xml:space="preserve">C6 - ฝ้าเพดานยิปซั่มบอร์ดทนความชื้น หนา 9 มม. ฉาบเรียบโครงเคร่าเหล็กชุบสังกะสี @ 0.60x0.60m. </t>
  </si>
  <si>
    <t>บัวเชิงไม้เนื้อแข็ง 1/2"x4" (ชั้นบน)</t>
  </si>
  <si>
    <t>ค่าแรงประกอบไม้แบบ</t>
  </si>
  <si>
    <t>ไม้คร่าวยึดแบบหล่อ ขนาด 1.5 x 3 นิ้ว</t>
  </si>
  <si>
    <t>งานโครงสร้าง คสล. (คาน,เสา,พื้น+บันได+หนวดกุ้ง)</t>
  </si>
  <si>
    <t>คอนกรีตหยาบ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</si>
  <si>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</si>
  <si>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</si>
  <si>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</si>
  <si>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</si>
  <si>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</si>
  <si>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Square Tube 100 x 100 x 3.2 mm.</t>
  </si>
  <si>
    <t xml:space="preserve">    Rectangular Tube 150 x 50 x 3.2 mm.</t>
  </si>
  <si>
    <t xml:space="preserve">    Rectangular Tube 125 x 50 x 3.2 mm.</t>
  </si>
  <si>
    <t xml:space="preserve">    Rectangular Tube 100 x 50 x 3.2 mm.</t>
  </si>
  <si>
    <t xml:space="preserve">    Rectangular Tube 75 x 38 x 3.2 mm.</t>
  </si>
  <si>
    <t>Light Lip Channel 150 x 50 x 20 x 3.2 mm.</t>
  </si>
  <si>
    <t>Plate 10 mm. thk.</t>
  </si>
  <si>
    <t>สีกันสนิม ของ TOA หรือเทียบเท่า</t>
  </si>
  <si>
    <t xml:space="preserve">  -  FITTING &amp; ACCESSORIES งานติดตั้งสายไฟและงานเดินท่อ(10%)</t>
  </si>
  <si>
    <t xml:space="preserve">  -  โคมไฟเพดานหลอด T8 FLUORESCENT 18W/ชนิดขั้วหลอด G13  (กันแมลง)</t>
  </si>
  <si>
    <t xml:space="preserve">  -  ค่าขอมิเตอร์ไฟฟ้าขนาด 1P-30(100A)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</si>
  <si>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</si>
  <si>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</si>
  <si>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</si>
  <si>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</si>
  <si>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</si>
  <si>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</si>
  <si>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</si>
  <si>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</si>
  <si>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</si>
  <si>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</si>
  <si>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</si>
  <si>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>RD</t>
  </si>
  <si>
    <t>ถังดักไขมันสำเร็จรูป ชนิดติดตั้งใต้อ่างล้างจาน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</si>
</sst>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37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sz val="10"/>
      <color indexed="8"/>
      <name val="Arial Narrow"/>
      <family val="2"/>
    </font>
    <font>
      <sz val="10"/>
      <name val="Arial"/>
      <charset val="22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</cellStyleXfs>
  <cellXfs count="601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vertical="center"/>
    </xf>
    <xf numFmtId="0" fontId="11" fillId="24" borderId="0" xfId="0" applyFont="1" applyFill="1" applyBorder="1" applyAlignment="1">
      <alignment vertical="center"/>
    </xf>
    <xf numFmtId="0" fontId="11" fillId="24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30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1" xfId="52" applyFont="1" applyFill="1" applyBorder="1" applyAlignment="1" applyProtection="1">
      <alignment vertical="center"/>
      <protection locked="0"/>
    </xf>
    <xf numFmtId="43" fontId="10" fillId="27" borderId="32" xfId="0" applyNumberFormat="1" applyFont="1" applyFill="1" applyBorder="1" applyAlignment="1" applyProtection="1">
      <alignment vertical="center"/>
      <protection locked="0"/>
    </xf>
    <xf numFmtId="0" fontId="10" fillId="27" borderId="25" xfId="0" applyFont="1" applyFill="1" applyBorder="1" applyAlignment="1">
      <alignment horizontal="center" vertical="center"/>
    </xf>
    <xf numFmtId="0" fontId="10" fillId="27" borderId="26" xfId="0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  <protection locked="0"/>
    </xf>
    <xf numFmtId="164" fontId="10" fillId="27" borderId="26" xfId="52" applyFont="1" applyFill="1" applyBorder="1" applyAlignment="1" applyProtection="1">
      <alignment vertical="center"/>
      <protection locked="0"/>
    </xf>
    <xf numFmtId="43" fontId="10" fillId="27" borderId="27" xfId="0" applyNumberFormat="1" applyFont="1" applyFill="1" applyBorder="1" applyAlignment="1" applyProtection="1">
      <alignment vertical="center"/>
      <protection locked="0"/>
    </xf>
    <xf numFmtId="0" fontId="10" fillId="27" borderId="33" xfId="0" applyFont="1" applyFill="1" applyBorder="1" applyAlignment="1" applyProtection="1">
      <alignment horizontal="center" vertical="center"/>
      <protection locked="0"/>
    </xf>
    <xf numFmtId="0" fontId="10" fillId="27" borderId="31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0" fontId="10" fillId="27" borderId="26" xfId="0" applyFont="1" applyFill="1" applyBorder="1" applyAlignment="1" applyProtection="1">
      <alignment horizontal="center" vertical="center"/>
      <protection locked="0"/>
    </xf>
    <xf numFmtId="0" fontId="11" fillId="27" borderId="31" xfId="0" applyFont="1" applyFill="1" applyBorder="1" applyAlignment="1" applyProtection="1">
      <alignment horizontal="center" vertical="center"/>
      <protection locked="0"/>
    </xf>
    <xf numFmtId="10" fontId="14" fillId="27" borderId="31" xfId="54" applyNumberFormat="1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vertical="center"/>
      <protection locked="0"/>
    </xf>
    <xf numFmtId="0" fontId="11" fillId="27" borderId="33" xfId="0" applyFont="1" applyFill="1" applyBorder="1" applyAlignment="1" applyProtection="1">
      <alignment horizontal="center" vertical="center"/>
      <protection locked="0"/>
    </xf>
    <xf numFmtId="0" fontId="10" fillId="27" borderId="34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5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6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7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8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9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0" fillId="26" borderId="43" xfId="0" applyFont="1" applyFill="1" applyBorder="1" applyAlignment="1">
      <alignment horizontal="center" vertical="center"/>
    </xf>
    <xf numFmtId="0" fontId="11" fillId="26" borderId="36" xfId="0" applyFont="1" applyFill="1" applyBorder="1" applyAlignment="1">
      <alignment horizontal="center" vertical="center"/>
    </xf>
    <xf numFmtId="164" fontId="10" fillId="26" borderId="37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 applyProtection="1">
      <alignment horizontal="center" vertical="center"/>
    </xf>
    <xf numFmtId="10" fontId="13" fillId="25" borderId="44" xfId="54" applyNumberFormat="1" applyFont="1" applyFill="1" applyBorder="1" applyAlignment="1" applyProtection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  <protection locked="0"/>
    </xf>
    <xf numFmtId="164" fontId="10" fillId="25" borderId="44" xfId="52" applyFont="1" applyFill="1" applyBorder="1" applyAlignment="1" applyProtection="1">
      <alignment vertical="center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6" xfId="0" applyNumberFormat="1" applyFont="1" applyFill="1" applyBorder="1" applyAlignment="1" applyProtection="1">
      <alignment vertical="center"/>
      <protection locked="0"/>
    </xf>
    <xf numFmtId="0" fontId="10" fillId="25" borderId="47" xfId="0" applyFont="1" applyFill="1" applyBorder="1" applyAlignment="1">
      <alignment horizontal="center" vertical="center"/>
    </xf>
    <xf numFmtId="0" fontId="12" fillId="25" borderId="48" xfId="0" applyFont="1" applyFill="1" applyBorder="1" applyAlignment="1" applyProtection="1">
      <alignment horizontal="left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0" fontId="10" fillId="0" borderId="49" xfId="0" applyFont="1" applyFill="1" applyBorder="1" applyAlignment="1" applyProtection="1">
      <alignment horizontal="left" vertical="center"/>
    </xf>
    <xf numFmtId="0" fontId="11" fillId="0" borderId="49" xfId="0" applyFont="1" applyFill="1" applyBorder="1" applyAlignment="1" applyProtection="1">
      <alignment horizontal="center" vertical="center"/>
    </xf>
    <xf numFmtId="43" fontId="10" fillId="25" borderId="37" xfId="0" applyNumberFormat="1" applyFont="1" applyFill="1" applyBorder="1" applyAlignment="1" applyProtection="1">
      <alignment vertical="center"/>
      <protection locked="0"/>
    </xf>
    <xf numFmtId="43" fontId="10" fillId="25" borderId="51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>
      <alignment horizontal="center" vertical="center"/>
    </xf>
    <xf numFmtId="0" fontId="10" fillId="25" borderId="44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52" xfId="0" applyNumberFormat="1" applyFont="1" applyFill="1" applyBorder="1" applyAlignment="1" applyProtection="1">
      <alignment vertical="center"/>
      <protection locked="0"/>
    </xf>
    <xf numFmtId="165" fontId="11" fillId="25" borderId="53" xfId="0" applyNumberFormat="1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center" vertical="center"/>
    </xf>
    <xf numFmtId="10" fontId="14" fillId="25" borderId="49" xfId="54" applyNumberFormat="1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  <protection locked="0"/>
    </xf>
    <xf numFmtId="164" fontId="11" fillId="25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vertical="center"/>
    </xf>
    <xf numFmtId="43" fontId="11" fillId="25" borderId="46" xfId="0" applyNumberFormat="1" applyFont="1" applyFill="1" applyBorder="1" applyAlignment="1" applyProtection="1">
      <alignment vertical="center"/>
      <protection locked="0"/>
    </xf>
    <xf numFmtId="0" fontId="11" fillId="25" borderId="54" xfId="0" applyFont="1" applyFill="1" applyBorder="1" applyAlignment="1" applyProtection="1">
      <alignment horizontal="left" vertical="center"/>
    </xf>
    <xf numFmtId="0" fontId="11" fillId="25" borderId="54" xfId="0" applyFont="1" applyFill="1" applyBorder="1" applyAlignment="1" applyProtection="1">
      <alignment horizontal="center" vertical="center"/>
    </xf>
    <xf numFmtId="10" fontId="14" fillId="25" borderId="54" xfId="54" applyNumberFormat="1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 applyProtection="1">
      <alignment vertical="center"/>
      <protection locked="0"/>
    </xf>
    <xf numFmtId="164" fontId="11" fillId="25" borderId="54" xfId="52" applyFont="1" applyFill="1" applyBorder="1" applyAlignment="1" applyProtection="1">
      <alignment vertical="center"/>
    </xf>
    <xf numFmtId="43" fontId="11" fillId="25" borderId="55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1" fillId="25" borderId="56" xfId="52" applyFont="1" applyFill="1" applyBorder="1" applyAlignment="1" applyProtection="1">
      <alignment horizontal="center" vertical="center"/>
      <protection locked="0"/>
    </xf>
    <xf numFmtId="43" fontId="10" fillId="25" borderId="52" xfId="0" applyNumberFormat="1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6" xfId="0" applyNumberFormat="1" applyFont="1" applyFill="1" applyBorder="1" applyAlignment="1">
      <alignment horizontal="left" vertical="center"/>
    </xf>
    <xf numFmtId="164" fontId="11" fillId="25" borderId="36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7" xfId="0" applyFont="1" applyFill="1" applyBorder="1" applyAlignment="1">
      <alignment vertical="center"/>
    </xf>
    <xf numFmtId="0" fontId="10" fillId="25" borderId="58" xfId="0" applyFont="1" applyFill="1" applyBorder="1" applyAlignment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</xf>
    <xf numFmtId="0" fontId="11" fillId="25" borderId="59" xfId="0" applyFont="1" applyFill="1" applyBorder="1" applyAlignment="1">
      <alignment vertical="center"/>
    </xf>
    <xf numFmtId="0" fontId="10" fillId="25" borderId="60" xfId="0" applyFont="1" applyFill="1" applyBorder="1" applyAlignment="1">
      <alignment horizontal="center" vertical="center"/>
    </xf>
    <xf numFmtId="0" fontId="12" fillId="25" borderId="61" xfId="0" applyFont="1" applyFill="1" applyBorder="1" applyAlignment="1" applyProtection="1">
      <alignment vertical="center"/>
    </xf>
    <xf numFmtId="0" fontId="10" fillId="25" borderId="61" xfId="0" applyFont="1" applyFill="1" applyBorder="1" applyAlignment="1" applyProtection="1">
      <alignment horizontal="center" vertical="center"/>
    </xf>
    <xf numFmtId="0" fontId="10" fillId="25" borderId="62" xfId="0" applyFont="1" applyFill="1" applyBorder="1" applyAlignment="1" applyProtection="1">
      <alignment vertical="center"/>
      <protection locked="0"/>
    </xf>
    <xf numFmtId="0" fontId="10" fillId="25" borderId="53" xfId="0" applyFont="1" applyFill="1" applyBorder="1" applyAlignment="1">
      <alignment horizontal="center" vertical="center"/>
    </xf>
    <xf numFmtId="0" fontId="12" fillId="25" borderId="49" xfId="0" applyFont="1" applyFill="1" applyBorder="1" applyAlignment="1" applyProtection="1">
      <alignment vertical="center"/>
    </xf>
    <xf numFmtId="0" fontId="10" fillId="25" borderId="49" xfId="0" applyFont="1" applyFill="1" applyBorder="1" applyAlignment="1" applyProtection="1">
      <alignment horizontal="center" vertical="center"/>
    </xf>
    <xf numFmtId="10" fontId="13" fillId="25" borderId="49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  <protection locked="0"/>
    </xf>
    <xf numFmtId="164" fontId="10" fillId="25" borderId="49" xfId="52" applyFont="1" applyFill="1" applyBorder="1" applyAlignment="1" applyProtection="1">
      <alignment vertical="center"/>
    </xf>
    <xf numFmtId="0" fontId="10" fillId="25" borderId="46" xfId="0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horizontal="center" vertical="center"/>
    </xf>
    <xf numFmtId="0" fontId="12" fillId="25" borderId="49" xfId="0" applyFont="1" applyFill="1" applyBorder="1" applyAlignment="1" applyProtection="1">
      <alignment horizontal="left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2" fillId="25" borderId="44" xfId="0" applyFont="1" applyFill="1" applyBorder="1" applyAlignment="1" applyProtection="1">
      <alignment horizontal="left" vertical="center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4" xfId="0" applyFont="1" applyFill="1" applyBorder="1" applyAlignment="1" applyProtection="1">
      <alignment horizontal="center" vertical="center"/>
      <protection locked="0"/>
    </xf>
    <xf numFmtId="10" fontId="13" fillId="25" borderId="14" xfId="54" applyNumberFormat="1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5" xfId="0" applyNumberFormat="1" applyFont="1" applyFill="1" applyBorder="1" applyAlignment="1" applyProtection="1">
      <alignment vertical="center"/>
      <protection locked="0"/>
    </xf>
    <xf numFmtId="0" fontId="10" fillId="25" borderId="63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4" xfId="52" applyFont="1" applyFill="1" applyBorder="1" applyAlignment="1" applyProtection="1">
      <alignment horizontal="left" vertical="center"/>
      <protection locked="0"/>
    </xf>
    <xf numFmtId="43" fontId="10" fillId="25" borderId="45" xfId="0" applyNumberFormat="1" applyFont="1" applyFill="1" applyBorder="1" applyAlignment="1" applyProtection="1">
      <alignment horizontal="left" vertical="center"/>
      <protection locked="0"/>
    </xf>
    <xf numFmtId="0" fontId="11" fillId="25" borderId="53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horizontal="left" vertical="center" wrapText="1" shrinkToFit="1"/>
    </xf>
    <xf numFmtId="0" fontId="11" fillId="25" borderId="49" xfId="0" applyFont="1" applyFill="1" applyBorder="1" applyAlignment="1" applyProtection="1">
      <alignment horizontal="left" vertical="center"/>
    </xf>
    <xf numFmtId="0" fontId="11" fillId="25" borderId="49" xfId="0" applyFont="1" applyFill="1" applyBorder="1" applyAlignment="1" applyProtection="1">
      <alignment vertical="center"/>
    </xf>
    <xf numFmtId="0" fontId="11" fillId="25" borderId="53" xfId="0" applyFont="1" applyFill="1" applyBorder="1" applyAlignment="1">
      <alignment horizontal="right" vertical="center"/>
    </xf>
    <xf numFmtId="2" fontId="11" fillId="25" borderId="64" xfId="0" applyNumberFormat="1" applyFont="1" applyFill="1" applyBorder="1" applyAlignment="1">
      <alignment horizontal="center" vertical="center"/>
    </xf>
    <xf numFmtId="0" fontId="11" fillId="25" borderId="54" xfId="0" applyFont="1" applyFill="1" applyBorder="1" applyAlignment="1" applyProtection="1">
      <alignment vertical="center"/>
    </xf>
    <xf numFmtId="0" fontId="11" fillId="25" borderId="49" xfId="0" applyFont="1" applyFill="1" applyBorder="1" applyAlignment="1" applyProtection="1">
      <alignment horizontal="left" vertical="center" wrapText="1" indent="2" shrinkToFit="1"/>
    </xf>
    <xf numFmtId="0" fontId="11" fillId="25" borderId="49" xfId="0" applyFont="1" applyFill="1" applyBorder="1" applyAlignment="1" applyProtection="1">
      <alignment horizontal="left" vertical="center" indent="2"/>
    </xf>
    <xf numFmtId="0" fontId="11" fillId="25" borderId="56" xfId="0" applyFont="1" applyFill="1" applyBorder="1" applyAlignment="1" applyProtection="1">
      <alignment vertical="center"/>
    </xf>
    <xf numFmtId="0" fontId="11" fillId="25" borderId="56" xfId="0" applyFont="1" applyFill="1" applyBorder="1" applyAlignment="1" applyProtection="1">
      <alignment horizontal="center" vertical="center"/>
    </xf>
    <xf numFmtId="43" fontId="11" fillId="25" borderId="65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right" vertical="center"/>
    </xf>
    <xf numFmtId="0" fontId="11" fillId="25" borderId="67" xfId="0" applyFont="1" applyFill="1" applyBorder="1" applyAlignment="1" applyProtection="1">
      <alignment vertical="center"/>
    </xf>
    <xf numFmtId="0" fontId="11" fillId="25" borderId="67" xfId="0" applyFont="1" applyFill="1" applyBorder="1" applyAlignment="1" applyProtection="1">
      <alignment horizontal="center" vertical="center"/>
    </xf>
    <xf numFmtId="10" fontId="14" fillId="25" borderId="67" xfId="54" applyNumberFormat="1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  <protection locked="0"/>
    </xf>
    <xf numFmtId="164" fontId="11" fillId="25" borderId="67" xfId="52" applyFont="1" applyFill="1" applyBorder="1" applyAlignment="1" applyProtection="1">
      <alignment vertical="center"/>
      <protection locked="0"/>
    </xf>
    <xf numFmtId="164" fontId="11" fillId="25" borderId="67" xfId="52" applyFont="1" applyFill="1" applyBorder="1" applyAlignment="1" applyProtection="1">
      <alignment vertical="center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0" fontId="10" fillId="25" borderId="49" xfId="0" applyFont="1" applyFill="1" applyBorder="1" applyAlignment="1" applyProtection="1">
      <alignment vertical="center"/>
    </xf>
    <xf numFmtId="0" fontId="11" fillId="25" borderId="49" xfId="0" applyFont="1" applyFill="1" applyBorder="1" applyAlignment="1" applyProtection="1">
      <alignment horizontal="left" vertical="center" wrapText="1" indent="1" shrinkToFit="1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10" fontId="13" fillId="25" borderId="68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</xf>
    <xf numFmtId="0" fontId="10" fillId="25" borderId="69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9" xfId="0" applyFont="1" applyFill="1" applyBorder="1" applyAlignment="1" applyProtection="1">
      <alignment vertical="center" wrapText="1" shrinkToFit="1"/>
    </xf>
    <xf numFmtId="0" fontId="11" fillId="25" borderId="70" xfId="0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horizontal="center" vertical="center"/>
    </xf>
    <xf numFmtId="10" fontId="14" fillId="25" borderId="71" xfId="54" applyNumberFormat="1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  <protection locked="0"/>
    </xf>
    <xf numFmtId="164" fontId="11" fillId="25" borderId="71" xfId="52" applyFont="1" applyFill="1" applyBorder="1" applyAlignment="1" applyProtection="1">
      <alignment vertical="center"/>
      <protection locked="0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vertical="center" wrapText="1" shrinkToFit="1"/>
      <protection locked="0"/>
    </xf>
    <xf numFmtId="0" fontId="11" fillId="25" borderId="64" xfId="0" applyFont="1" applyFill="1" applyBorder="1" applyAlignment="1">
      <alignment horizontal="center" vertical="center"/>
    </xf>
    <xf numFmtId="0" fontId="11" fillId="25" borderId="47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>
      <alignment vertical="center"/>
    </xf>
    <xf numFmtId="0" fontId="11" fillId="25" borderId="72" xfId="0" applyFont="1" applyFill="1" applyBorder="1" applyAlignment="1">
      <alignment horizontal="center" vertical="center"/>
    </xf>
    <xf numFmtId="0" fontId="10" fillId="25" borderId="47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0" fontId="11" fillId="25" borderId="53" xfId="0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horizontal="center" vertical="center"/>
      <protection locked="0"/>
    </xf>
    <xf numFmtId="10" fontId="14" fillId="25" borderId="49" xfId="54" applyNumberFormat="1" applyFont="1" applyFill="1" applyBorder="1" applyAlignment="1" applyProtection="1">
      <alignment horizontal="center" vertical="center"/>
      <protection locked="0"/>
    </xf>
    <xf numFmtId="43" fontId="33" fillId="25" borderId="46" xfId="0" applyNumberFormat="1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7" xfId="0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 wrapText="1" shrinkToFit="1"/>
    </xf>
    <xf numFmtId="43" fontId="11" fillId="0" borderId="46" xfId="0" applyNumberFormat="1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>
      <alignment horizontal="center" vertical="center"/>
    </xf>
    <xf numFmtId="0" fontId="11" fillId="27" borderId="31" xfId="0" applyFont="1" applyFill="1" applyBorder="1" applyAlignment="1">
      <alignment vertical="center"/>
    </xf>
    <xf numFmtId="0" fontId="11" fillId="25" borderId="43" xfId="0" applyFont="1" applyFill="1" applyBorder="1" applyAlignment="1">
      <alignment horizontal="center" vertical="center"/>
    </xf>
    <xf numFmtId="0" fontId="11" fillId="25" borderId="36" xfId="0" applyFont="1" applyFill="1" applyBorder="1" applyAlignment="1" applyProtection="1">
      <alignment horizontal="center" vertical="center"/>
    </xf>
    <xf numFmtId="10" fontId="14" fillId="25" borderId="36" xfId="54" applyNumberFormat="1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  <protection locked="0"/>
    </xf>
    <xf numFmtId="164" fontId="11" fillId="25" borderId="36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64" fontId="10" fillId="25" borderId="49" xfId="52" applyFont="1" applyFill="1" applyBorder="1" applyAlignment="1" applyProtection="1">
      <alignment horizontal="left" vertical="center"/>
      <protection locked="0"/>
    </xf>
    <xf numFmtId="165" fontId="11" fillId="25" borderId="70" xfId="0" applyNumberFormat="1" applyFont="1" applyFill="1" applyBorder="1" applyAlignment="1" applyProtection="1">
      <alignment horizontal="center" vertical="center"/>
      <protection locked="0"/>
    </xf>
    <xf numFmtId="0" fontId="11" fillId="25" borderId="71" xfId="0" applyFont="1" applyFill="1" applyBorder="1" applyAlignment="1" applyProtection="1">
      <alignment vertical="center"/>
      <protection locked="0"/>
    </xf>
    <xf numFmtId="165" fontId="11" fillId="25" borderId="43" xfId="0" applyNumberFormat="1" applyFont="1" applyFill="1" applyBorder="1" applyAlignment="1" applyProtection="1">
      <alignment horizontal="center" vertical="center"/>
      <protection locked="0"/>
    </xf>
    <xf numFmtId="0" fontId="11" fillId="25" borderId="36" xfId="0" applyFont="1" applyFill="1" applyBorder="1" applyAlignment="1" applyProtection="1">
      <alignment vertical="center"/>
      <protection locked="0"/>
    </xf>
    <xf numFmtId="165" fontId="10" fillId="25" borderId="47" xfId="0" applyNumberFormat="1" applyFont="1" applyFill="1" applyBorder="1" applyAlignment="1" applyProtection="1">
      <alignment horizontal="center" vertical="center"/>
      <protection locked="0"/>
    </xf>
    <xf numFmtId="164" fontId="34" fillId="25" borderId="49" xfId="52" applyFont="1" applyFill="1" applyBorder="1" applyAlignment="1">
      <alignment horizontal="left" vertical="center"/>
    </xf>
    <xf numFmtId="164" fontId="11" fillId="25" borderId="36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0" fillId="27" borderId="74" xfId="0" applyFont="1" applyFill="1" applyBorder="1" applyAlignment="1" applyProtection="1">
      <alignment horizontal="center" vertical="center"/>
      <protection locked="0"/>
    </xf>
    <xf numFmtId="0" fontId="11" fillId="27" borderId="74" xfId="0" applyFont="1" applyFill="1" applyBorder="1" applyAlignment="1" applyProtection="1">
      <alignment horizontal="center" vertical="center"/>
      <protection locked="0"/>
    </xf>
    <xf numFmtId="10" fontId="14" fillId="27" borderId="74" xfId="54" applyNumberFormat="1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vertical="center"/>
      <protection locked="0"/>
    </xf>
    <xf numFmtId="164" fontId="10" fillId="27" borderId="74" xfId="52" applyFont="1" applyFill="1" applyBorder="1" applyAlignment="1" applyProtection="1">
      <alignment vertical="center"/>
      <protection locked="0"/>
    </xf>
    <xf numFmtId="43" fontId="10" fillId="27" borderId="75" xfId="0" applyNumberFormat="1" applyFont="1" applyFill="1" applyBorder="1" applyAlignment="1" applyProtection="1">
      <alignment vertical="center"/>
      <protection locked="0"/>
    </xf>
    <xf numFmtId="0" fontId="11" fillId="25" borderId="56" xfId="0" applyFont="1" applyFill="1" applyBorder="1" applyAlignment="1" applyProtection="1">
      <alignment horizontal="center"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/>
    <xf numFmtId="0" fontId="13" fillId="25" borderId="67" xfId="0" applyFont="1" applyFill="1" applyBorder="1" applyAlignment="1">
      <alignment vertical="center" wrapText="1"/>
    </xf>
    <xf numFmtId="0" fontId="35" fillId="29" borderId="0" xfId="0" applyFont="1" applyFill="1" applyAlignment="1">
      <alignment horizontal="center" vertical="center"/>
    </xf>
    <xf numFmtId="166" fontId="35" fillId="29" borderId="0" xfId="52" applyNumberFormat="1" applyFont="1" applyFill="1" applyBorder="1" applyAlignment="1">
      <alignment horizontal="center" vertical="center"/>
    </xf>
    <xf numFmtId="0" fontId="9" fillId="0" borderId="0" xfId="0" applyFont="1"/>
    <xf numFmtId="170" fontId="34" fillId="25" borderId="76" xfId="52" applyNumberFormat="1" applyFont="1" applyFill="1" applyBorder="1" applyAlignment="1">
      <alignment horizontal="right" vertical="center"/>
    </xf>
    <xf numFmtId="0" fontId="11" fillId="25" borderId="56" xfId="0" applyFont="1" applyFill="1" applyBorder="1" applyAlignment="1" applyProtection="1">
      <alignment vertical="center"/>
      <protection locked="0"/>
    </xf>
    <xf numFmtId="0" fontId="11" fillId="0" borderId="77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0" fontId="11" fillId="0" borderId="79" xfId="0" applyFont="1" applyFill="1" applyBorder="1" applyAlignment="1">
      <alignment vertical="center"/>
    </xf>
    <xf numFmtId="0" fontId="11" fillId="0" borderId="80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11" fillId="0" borderId="67" xfId="0" applyFont="1" applyFill="1" applyBorder="1" applyAlignment="1">
      <alignment vertical="center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0" fontId="11" fillId="0" borderId="0" xfId="0" applyFont="1" applyBorder="1"/>
    <xf numFmtId="0" fontId="10" fillId="0" borderId="49" xfId="0" applyFont="1" applyFill="1" applyBorder="1" applyAlignment="1">
      <alignment horizontal="center" vertical="center"/>
    </xf>
    <xf numFmtId="43" fontId="10" fillId="25" borderId="46" xfId="0" applyNumberFormat="1" applyFont="1" applyFill="1" applyBorder="1" applyAlignment="1" applyProtection="1">
      <alignment horizontal="center" vertical="center"/>
      <protection locked="0"/>
    </xf>
    <xf numFmtId="0" fontId="11" fillId="31" borderId="26" xfId="0" applyFont="1" applyFill="1" applyBorder="1" applyAlignment="1">
      <alignment vertical="center"/>
    </xf>
    <xf numFmtId="0" fontId="10" fillId="31" borderId="26" xfId="0" applyFont="1" applyFill="1" applyBorder="1" applyAlignment="1" applyProtection="1">
      <alignment horizontal="center" vertical="center"/>
      <protection locked="0"/>
    </xf>
    <xf numFmtId="43" fontId="10" fillId="31" borderId="27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49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8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19" xfId="0" applyFont="1" applyFill="1" applyBorder="1" applyAlignment="1">
      <alignment horizontal="center" vertical="center"/>
    </xf>
    <xf numFmtId="43" fontId="10" fillId="25" borderId="24" xfId="0" applyNumberFormat="1" applyFont="1" applyFill="1" applyBorder="1" applyAlignment="1" applyProtection="1">
      <alignment vertical="center"/>
      <protection locked="0"/>
    </xf>
    <xf numFmtId="0" fontId="11" fillId="26" borderId="78" xfId="0" applyFont="1" applyFill="1" applyBorder="1" applyAlignment="1">
      <alignment vertical="center"/>
    </xf>
    <xf numFmtId="0" fontId="11" fillId="26" borderId="36" xfId="0" applyFont="1" applyFill="1" applyBorder="1" applyAlignment="1">
      <alignment vertical="center"/>
    </xf>
    <xf numFmtId="0" fontId="11" fillId="26" borderId="37" xfId="0" applyFont="1" applyFill="1" applyBorder="1" applyAlignment="1" applyProtection="1">
      <alignment vertical="center"/>
      <protection locked="0"/>
    </xf>
    <xf numFmtId="0" fontId="11" fillId="26" borderId="43" xfId="0" applyFont="1" applyFill="1" applyBorder="1" applyAlignment="1">
      <alignment horizontal="center" vertical="center"/>
    </xf>
    <xf numFmtId="0" fontId="10" fillId="27" borderId="28" xfId="0" applyFont="1" applyFill="1" applyBorder="1" applyAlignment="1">
      <alignment horizontal="center" vertical="center"/>
    </xf>
    <xf numFmtId="0" fontId="10" fillId="27" borderId="90" xfId="0" applyFont="1" applyFill="1" applyBorder="1" applyAlignment="1">
      <alignment horizontal="center" vertical="center"/>
    </xf>
    <xf numFmtId="164" fontId="10" fillId="27" borderId="90" xfId="52" applyFont="1" applyFill="1" applyBorder="1" applyAlignment="1">
      <alignment horizontal="center" vertical="center"/>
    </xf>
    <xf numFmtId="164" fontId="10" fillId="27" borderId="29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>
      <alignment horizontal="center" vertical="center"/>
    </xf>
    <xf numFmtId="164" fontId="11" fillId="25" borderId="77" xfId="52" applyFont="1" applyFill="1" applyBorder="1" applyAlignment="1" applyProtection="1">
      <alignment vertical="center"/>
    </xf>
    <xf numFmtId="164" fontId="11" fillId="25" borderId="77" xfId="52" applyFont="1" applyFill="1" applyBorder="1" applyAlignment="1">
      <alignment horizontal="center" vertical="center"/>
    </xf>
    <xf numFmtId="168" fontId="16" fillId="25" borderId="77" xfId="52" applyNumberFormat="1" applyFont="1" applyFill="1" applyBorder="1" applyAlignment="1" applyProtection="1">
      <alignment vertical="center"/>
      <protection locked="0"/>
    </xf>
    <xf numFmtId="43" fontId="11" fillId="25" borderId="92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82" xfId="0" applyFont="1" applyFill="1" applyBorder="1" applyAlignment="1">
      <alignment horizontal="left" vertical="center"/>
    </xf>
    <xf numFmtId="43" fontId="11" fillId="25" borderId="81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3" xfId="0" applyNumberFormat="1" applyFont="1" applyFill="1" applyBorder="1" applyAlignment="1" applyProtection="1">
      <alignment vertical="center"/>
      <protection locked="0"/>
    </xf>
    <xf numFmtId="0" fontId="11" fillId="25" borderId="43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89" xfId="0" applyFont="1" applyFill="1" applyBorder="1" applyAlignment="1" applyProtection="1">
      <alignment vertical="center"/>
      <protection locked="0"/>
    </xf>
    <xf numFmtId="164" fontId="10" fillId="25" borderId="36" xfId="52" applyFont="1" applyFill="1" applyBorder="1" applyAlignment="1">
      <alignment horizontal="center" vertical="center"/>
    </xf>
    <xf numFmtId="0" fontId="10" fillId="25" borderId="34" xfId="0" applyFont="1" applyFill="1" applyBorder="1" applyAlignment="1" applyProtection="1">
      <alignment horizontal="center" vertical="center"/>
      <protection locked="0"/>
    </xf>
    <xf numFmtId="0" fontId="12" fillId="25" borderId="13" xfId="0" applyFont="1" applyFill="1" applyBorder="1" applyAlignment="1" applyProtection="1">
      <alignment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164" fontId="10" fillId="25" borderId="23" xfId="52" applyFont="1" applyFill="1" applyBorder="1" applyAlignment="1" applyProtection="1">
      <alignment vertical="center"/>
      <protection locked="0"/>
    </xf>
    <xf numFmtId="164" fontId="10" fillId="25" borderId="23" xfId="52" applyFont="1" applyFill="1" applyBorder="1" applyAlignment="1" applyProtection="1">
      <alignment vertical="center"/>
    </xf>
    <xf numFmtId="0" fontId="11" fillId="25" borderId="71" xfId="0" applyFont="1" applyFill="1" applyBorder="1" applyAlignment="1" applyProtection="1">
      <alignment vertical="center" wrapText="1" shrinkToFit="1"/>
    </xf>
    <xf numFmtId="0" fontId="11" fillId="25" borderId="67" xfId="0" applyFont="1" applyFill="1" applyBorder="1" applyAlignment="1" applyProtection="1">
      <alignment vertical="center" wrapText="1" shrinkToFit="1"/>
    </xf>
    <xf numFmtId="43" fontId="11" fillId="25" borderId="37" xfId="0" applyNumberFormat="1" applyFont="1" applyFill="1" applyBorder="1" applyAlignment="1" applyProtection="1">
      <alignment vertical="center"/>
      <protection locked="0"/>
    </xf>
    <xf numFmtId="0" fontId="10" fillId="25" borderId="34" xfId="0" applyFont="1" applyFill="1" applyBorder="1" applyAlignment="1">
      <alignment horizontal="center" vertical="center"/>
    </xf>
    <xf numFmtId="0" fontId="10" fillId="25" borderId="13" xfId="0" applyFont="1" applyFill="1" applyBorder="1" applyAlignment="1" applyProtection="1">
      <alignment horizontal="left" vertical="center"/>
    </xf>
    <xf numFmtId="0" fontId="10" fillId="25" borderId="13" xfId="0" applyFont="1" applyFill="1" applyBorder="1" applyAlignment="1" applyProtection="1">
      <alignment horizontal="center" vertical="center"/>
    </xf>
    <xf numFmtId="10" fontId="13" fillId="25" borderId="13" xfId="54" applyNumberFormat="1" applyFont="1" applyFill="1" applyBorder="1" applyAlignment="1" applyProtection="1">
      <alignment horizontal="center" vertical="center"/>
    </xf>
    <xf numFmtId="0" fontId="11" fillId="25" borderId="71" xfId="0" applyFont="1" applyFill="1" applyBorder="1" applyAlignment="1" applyProtection="1">
      <alignment horizontal="left" vertical="center" wrapText="1"/>
    </xf>
    <xf numFmtId="4" fontId="34" fillId="25" borderId="94" xfId="0" applyNumberFormat="1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vertical="center"/>
      <protection locked="0"/>
    </xf>
    <xf numFmtId="164" fontId="11" fillId="25" borderId="18" xfId="0" applyNumberFormat="1" applyFont="1" applyFill="1" applyBorder="1" applyAlignment="1" applyProtection="1">
      <alignment horizontal="center" vertical="center"/>
    </xf>
    <xf numFmtId="0" fontId="11" fillId="0" borderId="23" xfId="0" applyFont="1" applyFill="1" applyBorder="1" applyAlignment="1">
      <alignment vertical="center"/>
    </xf>
    <xf numFmtId="0" fontId="11" fillId="25" borderId="14" xfId="0" applyFont="1" applyFill="1" applyBorder="1" applyAlignment="1">
      <alignment vertical="center"/>
    </xf>
    <xf numFmtId="164" fontId="11" fillId="25" borderId="14" xfId="52" applyFont="1" applyFill="1" applyBorder="1" applyAlignment="1" applyProtection="1">
      <alignment horizontal="left" vertical="center"/>
      <protection locked="0"/>
    </xf>
    <xf numFmtId="0" fontId="10" fillId="25" borderId="49" xfId="0" applyFont="1" applyFill="1" applyBorder="1" applyAlignment="1" applyProtection="1">
      <alignment horizontal="left" vertical="center"/>
    </xf>
    <xf numFmtId="165" fontId="10" fillId="25" borderId="53" xfId="0" applyNumberFormat="1" applyFont="1" applyFill="1" applyBorder="1" applyAlignment="1" applyProtection="1">
      <alignment horizontal="center" vertical="center"/>
      <protection locked="0"/>
    </xf>
    <xf numFmtId="0" fontId="10" fillId="0" borderId="95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2" fontId="11" fillId="25" borderId="64" xfId="0" applyNumberFormat="1" applyFont="1" applyFill="1" applyBorder="1" applyAlignment="1" applyProtection="1">
      <alignment horizontal="center" vertical="center"/>
      <protection locked="0"/>
    </xf>
    <xf numFmtId="43" fontId="11" fillId="25" borderId="54" xfId="52" applyNumberFormat="1" applyFont="1" applyFill="1" applyBorder="1" applyAlignment="1" applyProtection="1">
      <alignment horizontal="center" vertical="center"/>
      <protection locked="0"/>
    </xf>
    <xf numFmtId="164" fontId="11" fillId="25" borderId="96" xfId="52" applyFont="1" applyFill="1" applyBorder="1" applyAlignment="1" applyProtection="1">
      <alignment horizontal="center" vertical="center"/>
      <protection locked="0"/>
    </xf>
    <xf numFmtId="164" fontId="11" fillId="25" borderId="96" xfId="52" applyFont="1" applyFill="1" applyBorder="1" applyAlignment="1" applyProtection="1">
      <alignment vertical="center"/>
      <protection locked="0"/>
    </xf>
    <xf numFmtId="0" fontId="11" fillId="25" borderId="64" xfId="0" applyFont="1" applyFill="1" applyBorder="1" applyAlignment="1" applyProtection="1">
      <alignment horizontal="center" vertical="center"/>
      <protection locked="0"/>
    </xf>
    <xf numFmtId="0" fontId="11" fillId="25" borderId="54" xfId="0" applyFont="1" applyFill="1" applyBorder="1" applyAlignment="1" applyProtection="1">
      <alignment vertical="center" wrapText="1" shrinkToFit="1"/>
    </xf>
    <xf numFmtId="0" fontId="11" fillId="25" borderId="54" xfId="0" applyFont="1" applyFill="1" applyBorder="1" applyAlignment="1" applyProtection="1">
      <alignment horizontal="center" vertical="center"/>
      <protection locked="0"/>
    </xf>
    <xf numFmtId="10" fontId="13" fillId="27" borderId="26" xfId="54" applyNumberFormat="1" applyFont="1" applyFill="1" applyBorder="1" applyAlignment="1" applyProtection="1">
      <alignment horizontal="center" vertical="center"/>
      <protection locked="0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164" fontId="11" fillId="25" borderId="68" xfId="52" applyFont="1" applyFill="1" applyBorder="1" applyAlignment="1" applyProtection="1">
      <alignment horizontal="centerContinuous" vertical="center"/>
    </xf>
    <xf numFmtId="164" fontId="11" fillId="25" borderId="0" xfId="52" applyFont="1" applyFill="1" applyBorder="1" applyAlignment="1" applyProtection="1">
      <alignment horizontal="centerContinuous" vertical="center"/>
    </xf>
    <xf numFmtId="164" fontId="11" fillId="25" borderId="0" xfId="52" applyFont="1" applyFill="1" applyBorder="1" applyAlignment="1" applyProtection="1">
      <alignment horizontal="right" vertical="center"/>
    </xf>
    <xf numFmtId="164" fontId="11" fillId="26" borderId="17" xfId="52" applyFont="1" applyFill="1" applyBorder="1" applyAlignment="1" applyProtection="1">
      <alignment horizontal="center" vertical="center"/>
      <protection locked="0"/>
    </xf>
    <xf numFmtId="164" fontId="11" fillId="25" borderId="13" xfId="52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left" vertical="center"/>
      <protection locked="0"/>
    </xf>
    <xf numFmtId="164" fontId="11" fillId="25" borderId="48" xfId="52" applyFont="1" applyFill="1" applyBorder="1" applyAlignment="1" applyProtection="1">
      <alignment horizontal="left" vertical="center"/>
      <protection locked="0"/>
    </xf>
    <xf numFmtId="164" fontId="11" fillId="25" borderId="49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0" fontId="11" fillId="0" borderId="13" xfId="0" applyFont="1" applyFill="1" applyBorder="1" applyAlignment="1">
      <alignment vertical="center"/>
    </xf>
    <xf numFmtId="164" fontId="11" fillId="27" borderId="26" xfId="52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1" fillId="0" borderId="24" xfId="0" applyFont="1" applyFill="1" applyBorder="1" applyAlignment="1">
      <alignment vertical="center"/>
    </xf>
    <xf numFmtId="0" fontId="11" fillId="25" borderId="20" xfId="0" applyFont="1" applyFill="1" applyBorder="1" applyAlignment="1">
      <alignment horizontal="center" vertical="center"/>
    </xf>
    <xf numFmtId="43" fontId="11" fillId="25" borderId="21" xfId="0" applyNumberFormat="1" applyFont="1" applyFill="1" applyBorder="1" applyAlignment="1" applyProtection="1">
      <alignment vertical="center"/>
      <protection locked="0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34" xfId="0" applyFont="1" applyFill="1" applyBorder="1" applyAlignment="1">
      <alignment vertical="center"/>
    </xf>
    <xf numFmtId="43" fontId="33" fillId="25" borderId="97" xfId="0" applyNumberFormat="1" applyFont="1" applyFill="1" applyBorder="1" applyAlignment="1" applyProtection="1">
      <alignment horizontal="center" vertical="center"/>
      <protection locked="0"/>
    </xf>
    <xf numFmtId="164" fontId="10" fillId="30" borderId="74" xfId="52" applyFont="1" applyFill="1" applyBorder="1" applyAlignment="1" applyProtection="1">
      <alignment vertical="center"/>
      <protection locked="0"/>
    </xf>
    <xf numFmtId="164" fontId="11" fillId="30" borderId="74" xfId="52" applyFont="1" applyFill="1" applyBorder="1" applyAlignment="1" applyProtection="1">
      <alignment vertical="center"/>
      <protection locked="0"/>
    </xf>
    <xf numFmtId="43" fontId="11" fillId="25" borderId="98" xfId="0" applyNumberFormat="1" applyFont="1" applyFill="1" applyBorder="1" applyAlignment="1" applyProtection="1">
      <alignment vertical="center"/>
      <protection locked="0"/>
    </xf>
    <xf numFmtId="0" fontId="10" fillId="25" borderId="23" xfId="0" applyFont="1" applyFill="1" applyBorder="1" applyAlignment="1" applyProtection="1">
      <alignment horizontal="left" vertical="center"/>
    </xf>
    <xf numFmtId="164" fontId="10" fillId="25" borderId="23" xfId="52" applyFont="1" applyFill="1" applyBorder="1" applyAlignment="1" applyProtection="1">
      <alignment horizontal="left" vertical="center"/>
      <protection locked="0"/>
    </xf>
    <xf numFmtId="43" fontId="10" fillId="25" borderId="24" xfId="0" applyNumberFormat="1" applyFont="1" applyFill="1" applyBorder="1" applyAlignment="1" applyProtection="1">
      <alignment horizontal="left" vertical="center"/>
      <protection locked="0"/>
    </xf>
    <xf numFmtId="0" fontId="11" fillId="25" borderId="99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100" xfId="0" applyFont="1" applyFill="1" applyBorder="1" applyAlignment="1" applyProtection="1">
      <alignment horizontal="center" vertical="center"/>
    </xf>
    <xf numFmtId="164" fontId="11" fillId="25" borderId="101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 applyProtection="1">
      <alignment vertical="center"/>
      <protection locked="0"/>
    </xf>
    <xf numFmtId="164" fontId="11" fillId="25" borderId="102" xfId="52" applyFont="1" applyFill="1" applyBorder="1" applyAlignment="1" applyProtection="1">
      <alignment vertical="center"/>
    </xf>
    <xf numFmtId="43" fontId="11" fillId="25" borderId="23" xfId="0" applyNumberFormat="1" applyFont="1" applyFill="1" applyBorder="1" applyAlignment="1" applyProtection="1">
      <alignment vertical="center"/>
      <protection locked="0"/>
    </xf>
    <xf numFmtId="0" fontId="11" fillId="25" borderId="103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/>
    </xf>
    <xf numFmtId="0" fontId="11" fillId="25" borderId="96" xfId="0" applyFont="1" applyFill="1" applyBorder="1" applyAlignment="1" applyProtection="1">
      <alignment horizontal="center" vertical="center"/>
    </xf>
    <xf numFmtId="164" fontId="11" fillId="25" borderId="77" xfId="52" applyFont="1" applyFill="1" applyBorder="1" applyAlignment="1" applyProtection="1">
      <alignment vertical="center"/>
      <protection locked="0"/>
    </xf>
    <xf numFmtId="43" fontId="11" fillId="25" borderId="36" xfId="0" applyNumberFormat="1" applyFont="1" applyFill="1" applyBorder="1" applyAlignment="1" applyProtection="1">
      <alignment vertical="center" wrapText="1" shrinkToFit="1"/>
      <protection locked="0"/>
    </xf>
    <xf numFmtId="43" fontId="11" fillId="25" borderId="36" xfId="0" applyNumberFormat="1" applyFont="1" applyFill="1" applyBorder="1" applyAlignment="1" applyProtection="1">
      <alignment vertical="center"/>
      <protection locked="0"/>
    </xf>
    <xf numFmtId="43" fontId="11" fillId="25" borderId="77" xfId="52" applyNumberFormat="1" applyFont="1" applyFill="1" applyBorder="1" applyAlignment="1" applyProtection="1">
      <alignment horizontal="left" vertical="center"/>
      <protection locked="0"/>
    </xf>
    <xf numFmtId="43" fontId="11" fillId="25" borderId="36" xfId="52" applyNumberFormat="1" applyFont="1" applyFill="1" applyBorder="1" applyAlignment="1" applyProtection="1">
      <alignment horizontal="left" vertical="center"/>
      <protection locked="0"/>
    </xf>
    <xf numFmtId="0" fontId="11" fillId="25" borderId="104" xfId="0" applyFont="1" applyFill="1" applyBorder="1" applyAlignment="1" applyProtection="1">
      <alignment horizontal="center" vertical="center"/>
    </xf>
    <xf numFmtId="164" fontId="11" fillId="25" borderId="105" xfId="52" applyFont="1" applyFill="1" applyBorder="1" applyAlignment="1" applyProtection="1">
      <alignment vertical="center"/>
      <protection locked="0"/>
    </xf>
    <xf numFmtId="164" fontId="11" fillId="25" borderId="106" xfId="52" applyFont="1" applyFill="1" applyBorder="1" applyAlignment="1" applyProtection="1">
      <alignment vertical="center"/>
      <protection locked="0"/>
    </xf>
    <xf numFmtId="164" fontId="11" fillId="25" borderId="74" xfId="52" applyFont="1" applyFill="1" applyBorder="1" applyAlignment="1" applyProtection="1">
      <alignment vertical="center"/>
      <protection locked="0"/>
    </xf>
    <xf numFmtId="164" fontId="11" fillId="25" borderId="107" xfId="52" applyFont="1" applyFill="1" applyBorder="1" applyAlignment="1" applyProtection="1">
      <alignment vertical="center"/>
    </xf>
    <xf numFmtId="43" fontId="11" fillId="25" borderId="18" xfId="0" applyNumberFormat="1" applyFont="1" applyFill="1" applyBorder="1" applyAlignment="1" applyProtection="1">
      <alignment vertical="center" wrapText="1" shrinkToFit="1"/>
      <protection locked="0"/>
    </xf>
    <xf numFmtId="170" fontId="34" fillId="25" borderId="108" xfId="52" applyNumberFormat="1" applyFont="1" applyFill="1" applyBorder="1" applyAlignment="1">
      <alignment horizontal="right" vertical="center"/>
    </xf>
    <xf numFmtId="164" fontId="10" fillId="25" borderId="54" xfId="52" applyFont="1" applyFill="1" applyBorder="1" applyAlignment="1" applyProtection="1">
      <alignment horizontal="left" vertical="center"/>
      <protection locked="0"/>
    </xf>
    <xf numFmtId="0" fontId="8" fillId="25" borderId="63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0" fontId="8" fillId="25" borderId="69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0" fontId="10" fillId="25" borderId="63" xfId="0" applyFont="1" applyFill="1" applyBorder="1" applyAlignment="1">
      <alignment horizontal="center" vertical="center"/>
    </xf>
    <xf numFmtId="0" fontId="10" fillId="25" borderId="68" xfId="0" applyFont="1" applyFill="1" applyBorder="1" applyAlignment="1">
      <alignment horizontal="center" vertical="center"/>
    </xf>
    <xf numFmtId="0" fontId="10" fillId="25" borderId="69" xfId="0" applyFont="1" applyFill="1" applyBorder="1" applyAlignment="1">
      <alignment horizontal="center" vertical="center"/>
    </xf>
    <xf numFmtId="0" fontId="10" fillId="25" borderId="11" xfId="0" applyFont="1" applyFill="1" applyBorder="1" applyAlignment="1">
      <alignment horizontal="center" vertical="center"/>
    </xf>
    <xf numFmtId="0" fontId="10" fillId="25" borderId="0" xfId="0" applyFont="1" applyFill="1" applyBorder="1" applyAlignment="1">
      <alignment horizontal="center" vertical="center"/>
    </xf>
    <xf numFmtId="0" fontId="10" fillId="25" borderId="12" xfId="0" applyFont="1" applyFill="1" applyBorder="1" applyAlignment="1">
      <alignment horizontal="center" vertical="center"/>
    </xf>
    <xf numFmtId="0" fontId="10" fillId="28" borderId="60" xfId="0" applyFont="1" applyFill="1" applyBorder="1" applyAlignment="1">
      <alignment horizontal="center" vertical="center"/>
    </xf>
    <xf numFmtId="0" fontId="10" fillId="28" borderId="83" xfId="0" applyFont="1" applyFill="1" applyBorder="1" applyAlignment="1">
      <alignment horizontal="center" vertical="center"/>
    </xf>
    <xf numFmtId="0" fontId="10" fillId="28" borderId="61" xfId="0" applyFont="1" applyFill="1" applyBorder="1" applyAlignment="1">
      <alignment horizontal="center" vertical="center"/>
    </xf>
    <xf numFmtId="0" fontId="10" fillId="28" borderId="84" xfId="0" applyFont="1" applyFill="1" applyBorder="1" applyAlignment="1">
      <alignment horizontal="center" vertical="center"/>
    </xf>
    <xf numFmtId="4" fontId="10" fillId="28" borderId="85" xfId="0" applyNumberFormat="1" applyFont="1" applyFill="1" applyBorder="1" applyAlignment="1" applyProtection="1">
      <alignment horizontal="center" vertical="center"/>
      <protection locked="0"/>
    </xf>
    <xf numFmtId="4" fontId="10" fillId="28" borderId="86" xfId="0" applyNumberFormat="1" applyFont="1" applyFill="1" applyBorder="1" applyAlignment="1" applyProtection="1">
      <alignment horizontal="center" vertical="center"/>
      <protection locked="0"/>
    </xf>
    <xf numFmtId="0" fontId="10" fillId="28" borderId="87" xfId="0" applyFont="1" applyFill="1" applyBorder="1" applyAlignment="1" applyProtection="1">
      <alignment horizontal="center" vertical="center"/>
    </xf>
    <xf numFmtId="0" fontId="10" fillId="28" borderId="88" xfId="0" applyFont="1" applyFill="1" applyBorder="1" applyAlignment="1" applyProtection="1">
      <alignment horizontal="center" vertical="center"/>
    </xf>
    <xf numFmtId="0" fontId="10" fillId="26" borderId="87" xfId="0" applyFont="1" applyFill="1" applyBorder="1" applyAlignment="1" applyProtection="1">
      <alignment horizontal="center" vertical="center"/>
    </xf>
    <xf numFmtId="0" fontId="10" fillId="26" borderId="88" xfId="0" applyFont="1" applyFill="1" applyBorder="1" applyAlignment="1" applyProtection="1">
      <alignment horizontal="center" vertical="center"/>
    </xf>
    <xf numFmtId="4" fontId="10" fillId="26" borderId="85" xfId="0" applyNumberFormat="1" applyFont="1" applyFill="1" applyBorder="1" applyAlignment="1" applyProtection="1">
      <alignment horizontal="center" vertical="center"/>
      <protection locked="0"/>
    </xf>
    <xf numFmtId="4" fontId="10" fillId="26" borderId="86" xfId="0" applyNumberFormat="1" applyFont="1" applyFill="1" applyBorder="1" applyAlignment="1" applyProtection="1">
      <alignment horizontal="center" vertical="center"/>
      <protection locked="0"/>
    </xf>
    <xf numFmtId="164" fontId="10" fillId="26" borderId="85" xfId="52" applyFont="1" applyFill="1" applyBorder="1" applyAlignment="1" applyProtection="1">
      <alignment horizontal="center" vertical="center"/>
      <protection locked="0"/>
    </xf>
    <xf numFmtId="164" fontId="10" fillId="26" borderId="86" xfId="52" applyFont="1" applyFill="1" applyBorder="1" applyAlignment="1" applyProtection="1">
      <alignment horizontal="center" vertical="center"/>
      <protection locked="0"/>
    </xf>
    <xf numFmtId="0" fontId="10" fillId="26" borderId="60" xfId="0" applyFont="1" applyFill="1" applyBorder="1" applyAlignment="1">
      <alignment horizontal="center" vertical="center"/>
    </xf>
    <xf numFmtId="0" fontId="10" fillId="26" borderId="83" xfId="0" applyFont="1" applyFill="1" applyBorder="1" applyAlignment="1">
      <alignment horizontal="center" vertical="center"/>
    </xf>
    <xf numFmtId="0" fontId="10" fillId="26" borderId="61" xfId="0" applyFont="1" applyFill="1" applyBorder="1" applyAlignment="1">
      <alignment horizontal="center" vertical="center"/>
    </xf>
    <xf numFmtId="0" fontId="10" fillId="26" borderId="84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10" fontId="13" fillId="25" borderId="0" xfId="55" applyNumberFormat="1" applyFont="1" applyFill="1" applyBorder="1" applyAlignment="1">
      <alignment horizontal="center" vertical="center"/>
    </xf>
    <xf numFmtId="164" fontId="10" fillId="25" borderId="0" xfId="56" applyFont="1" applyFill="1" applyBorder="1" applyAlignment="1" applyProtection="1">
      <alignment vertical="center"/>
    </xf>
    <xf numFmtId="164" fontId="10" fillId="25" borderId="0" xfId="56" applyFont="1" applyFill="1" applyBorder="1" applyAlignment="1" applyProtection="1">
      <alignment horizontal="right" vertical="center"/>
    </xf>
    <xf numFmtId="164" fontId="11" fillId="25" borderId="0" xfId="56" applyFont="1" applyFill="1" applyBorder="1" applyAlignment="1" applyProtection="1">
      <alignment vertical="center"/>
      <protection locked="0"/>
    </xf>
    <xf numFmtId="164" fontId="10" fillId="25" borderId="0" xfId="56" applyFont="1" applyFill="1" applyBorder="1" applyAlignment="1" applyProtection="1">
      <alignment horizontal="left" vertical="center"/>
    </xf>
    <xf numFmtId="164" fontId="10" fillId="25" borderId="0" xfId="56" applyFont="1" applyFill="1" applyBorder="1" applyAlignment="1" applyProtection="1">
      <alignment vertical="center"/>
      <protection locked="0"/>
    </xf>
    <xf numFmtId="10" fontId="13" fillId="28" borderId="16" xfId="55" applyNumberFormat="1" applyFont="1" applyFill="1" applyBorder="1" applyAlignment="1">
      <alignment horizontal="center" vertical="center"/>
    </xf>
    <xf numFmtId="164" fontId="10" fillId="28" borderId="16" xfId="56" applyFont="1" applyFill="1" applyBorder="1" applyAlignment="1">
      <alignment horizontal="center" vertical="center"/>
    </xf>
    <xf numFmtId="164" fontId="10" fillId="28" borderId="16" xfId="56" applyFont="1" applyFill="1" applyBorder="1" applyAlignment="1">
      <alignment horizontal="center" vertical="center"/>
    </xf>
    <xf numFmtId="164" fontId="10" fillId="28" borderId="85" xfId="56" applyFont="1" applyFill="1" applyBorder="1" applyAlignment="1" applyProtection="1">
      <alignment horizontal="center" vertical="center"/>
      <protection locked="0"/>
    </xf>
    <xf numFmtId="164" fontId="10" fillId="28" borderId="86" xfId="56" applyFont="1" applyFill="1" applyBorder="1" applyAlignment="1" applyProtection="1">
      <alignment horizontal="center" vertical="center"/>
      <protection locked="0"/>
    </xf>
    <xf numFmtId="164" fontId="10" fillId="28" borderId="16" xfId="56" applyFont="1" applyFill="1" applyBorder="1" applyAlignment="1" applyProtection="1">
      <alignment horizontal="center" vertical="center"/>
    </xf>
    <xf numFmtId="10" fontId="13" fillId="28" borderId="17" xfId="55" applyNumberFormat="1" applyFont="1" applyFill="1" applyBorder="1" applyAlignment="1">
      <alignment horizontal="center" vertical="center"/>
    </xf>
    <xf numFmtId="164" fontId="10" fillId="28" borderId="17" xfId="56" applyFont="1" applyFill="1" applyBorder="1" applyAlignment="1">
      <alignment horizontal="center" vertical="center"/>
    </xf>
    <xf numFmtId="164" fontId="10" fillId="28" borderId="17" xfId="56" applyFont="1" applyFill="1" applyBorder="1" applyAlignment="1">
      <alignment horizontal="center" vertical="center" wrapText="1" shrinkToFit="1"/>
    </xf>
    <xf numFmtId="164" fontId="10" fillId="28" borderId="17" xfId="56" applyFont="1" applyFill="1" applyBorder="1" applyAlignment="1">
      <alignment horizontal="center" vertical="center"/>
    </xf>
    <xf numFmtId="164" fontId="10" fillId="28" borderId="17" xfId="56" applyFont="1" applyFill="1" applyBorder="1" applyAlignment="1" applyProtection="1">
      <alignment horizontal="center" vertical="center"/>
      <protection locked="0"/>
    </xf>
    <xf numFmtId="164" fontId="10" fillId="28" borderId="17" xfId="56" applyFont="1" applyFill="1" applyBorder="1" applyAlignment="1" applyProtection="1">
      <alignment horizontal="center" vertical="center"/>
    </xf>
    <xf numFmtId="10" fontId="13" fillId="25" borderId="61" xfId="55" applyNumberFormat="1" applyFont="1" applyFill="1" applyBorder="1" applyAlignment="1" applyProtection="1">
      <alignment horizontal="center" vertical="center"/>
    </xf>
    <xf numFmtId="164" fontId="10" fillId="25" borderId="61" xfId="56" applyFont="1" applyFill="1" applyBorder="1" applyAlignment="1" applyProtection="1">
      <alignment horizontal="center" vertical="center"/>
    </xf>
    <xf numFmtId="164" fontId="10" fillId="25" borderId="61" xfId="56" applyFont="1" applyFill="1" applyBorder="1" applyAlignment="1" applyProtection="1">
      <alignment horizontal="center" vertical="center"/>
      <protection locked="0"/>
    </xf>
    <xf numFmtId="164" fontId="10" fillId="25" borderId="61" xfId="56" applyFont="1" applyFill="1" applyBorder="1" applyAlignment="1" applyProtection="1">
      <alignment vertical="center"/>
      <protection locked="0"/>
    </xf>
    <xf numFmtId="164" fontId="10" fillId="25" borderId="61" xfId="56" applyFont="1" applyFill="1" applyBorder="1" applyAlignment="1" applyProtection="1">
      <alignment vertical="center"/>
    </xf>
    <xf numFmtId="10" fontId="13" fillId="25" borderId="49" xfId="55" applyNumberFormat="1" applyFont="1" applyFill="1" applyBorder="1" applyAlignment="1" applyProtection="1">
      <alignment horizontal="center" vertical="center"/>
    </xf>
    <xf numFmtId="164" fontId="10" fillId="25" borderId="49" xfId="56" applyFont="1" applyFill="1" applyBorder="1" applyAlignment="1" applyProtection="1">
      <alignment horizontal="center" vertical="center"/>
    </xf>
    <xf numFmtId="164" fontId="10" fillId="25" borderId="49" xfId="56" applyFont="1" applyFill="1" applyBorder="1" applyAlignment="1" applyProtection="1">
      <alignment vertical="center"/>
      <protection locked="0"/>
    </xf>
    <xf numFmtId="164" fontId="10" fillId="25" borderId="49" xfId="56" applyFont="1" applyFill="1" applyBorder="1" applyAlignment="1" applyProtection="1">
      <alignment vertical="center"/>
    </xf>
    <xf numFmtId="10" fontId="14" fillId="25" borderId="49" xfId="55" applyNumberFormat="1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  <protection locked="0"/>
    </xf>
    <xf numFmtId="164" fontId="11" fillId="25" borderId="49" xfId="56" applyFont="1" applyFill="1" applyBorder="1" applyAlignment="1" applyProtection="1">
      <alignment vertical="center"/>
      <protection locked="0"/>
    </xf>
    <xf numFmtId="164" fontId="11" fillId="25" borderId="49" xfId="56" applyFont="1" applyFill="1" applyBorder="1" applyAlignment="1" applyProtection="1">
      <alignment vertical="center"/>
    </xf>
    <xf numFmtId="0" fontId="11" fillId="25" borderId="71" xfId="0" applyFont="1" applyFill="1" applyBorder="1" applyAlignment="1" applyProtection="1">
      <alignment vertical="center"/>
    </xf>
    <xf numFmtId="10" fontId="14" fillId="25" borderId="71" xfId="55" applyNumberFormat="1" applyFont="1" applyFill="1" applyBorder="1" applyAlignment="1" applyProtection="1">
      <alignment horizontal="center" vertical="center"/>
    </xf>
    <xf numFmtId="164" fontId="11" fillId="25" borderId="71" xfId="56" applyFont="1" applyFill="1" applyBorder="1" applyAlignment="1" applyProtection="1">
      <alignment horizontal="center" vertical="center"/>
    </xf>
    <xf numFmtId="164" fontId="11" fillId="25" borderId="71" xfId="56" applyFont="1" applyFill="1" applyBorder="1" applyAlignment="1" applyProtection="1">
      <alignment horizontal="center" vertical="center"/>
      <protection locked="0"/>
    </xf>
    <xf numFmtId="164" fontId="11" fillId="25" borderId="71" xfId="56" applyFont="1" applyFill="1" applyBorder="1" applyAlignment="1" applyProtection="1">
      <alignment vertical="center"/>
      <protection locked="0"/>
    </xf>
    <xf numFmtId="10" fontId="11" fillId="25" borderId="49" xfId="55" applyNumberFormat="1" applyFont="1" applyFill="1" applyBorder="1" applyAlignment="1" applyProtection="1">
      <alignment horizontal="center" vertical="center"/>
    </xf>
    <xf numFmtId="10" fontId="14" fillId="25" borderId="54" xfId="55" applyNumberFormat="1" applyFont="1" applyFill="1" applyBorder="1" applyAlignment="1" applyProtection="1">
      <alignment horizontal="center" vertical="center"/>
    </xf>
    <xf numFmtId="164" fontId="11" fillId="25" borderId="54" xfId="56" applyFont="1" applyFill="1" applyBorder="1" applyAlignment="1" applyProtection="1">
      <alignment horizontal="center" vertical="center"/>
    </xf>
    <xf numFmtId="164" fontId="11" fillId="25" borderId="54" xfId="56" applyFont="1" applyFill="1" applyBorder="1" applyAlignment="1" applyProtection="1">
      <alignment horizontal="center" vertical="center"/>
      <protection locked="0"/>
    </xf>
    <xf numFmtId="164" fontId="11" fillId="25" borderId="54" xfId="56" applyFont="1" applyFill="1" applyBorder="1" applyAlignment="1" applyProtection="1">
      <alignment vertical="center"/>
      <protection locked="0"/>
    </xf>
    <xf numFmtId="164" fontId="11" fillId="25" borderId="54" xfId="56" applyFont="1" applyFill="1" applyBorder="1" applyAlignment="1" applyProtection="1">
      <alignment vertical="center"/>
    </xf>
    <xf numFmtId="10" fontId="13" fillId="25" borderId="44" xfId="55" applyNumberFormat="1" applyFont="1" applyFill="1" applyBorder="1" applyAlignment="1" applyProtection="1">
      <alignment horizontal="center" vertical="center"/>
    </xf>
    <xf numFmtId="164" fontId="10" fillId="25" borderId="44" xfId="56" applyFont="1" applyFill="1" applyBorder="1" applyAlignment="1" applyProtection="1">
      <alignment horizontal="center" vertical="center"/>
    </xf>
    <xf numFmtId="164" fontId="10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vertical="center"/>
      <protection locked="0"/>
    </xf>
    <xf numFmtId="10" fontId="13" fillId="25" borderId="48" xfId="55" applyNumberFormat="1" applyFont="1" applyFill="1" applyBorder="1" applyAlignment="1" applyProtection="1">
      <alignment horizontal="center" vertical="center"/>
    </xf>
    <xf numFmtId="164" fontId="10" fillId="25" borderId="48" xfId="56" applyFont="1" applyFill="1" applyBorder="1" applyAlignment="1" applyProtection="1">
      <alignment horizontal="center" vertical="center"/>
    </xf>
    <xf numFmtId="164" fontId="10" fillId="25" borderId="48" xfId="56" applyFont="1" applyFill="1" applyBorder="1" applyAlignment="1" applyProtection="1">
      <alignment horizontal="center" vertical="center"/>
      <protection locked="0"/>
    </xf>
    <xf numFmtId="164" fontId="10" fillId="25" borderId="48" xfId="56" applyFont="1" applyFill="1" applyBorder="1" applyAlignment="1" applyProtection="1">
      <alignment vertical="center"/>
      <protection locked="0"/>
    </xf>
    <xf numFmtId="164" fontId="10" fillId="25" borderId="48" xfId="56" applyFont="1" applyFill="1" applyBorder="1" applyAlignment="1" applyProtection="1">
      <alignment vertical="center"/>
    </xf>
    <xf numFmtId="10" fontId="11" fillId="25" borderId="56" xfId="55" applyNumberFormat="1" applyFont="1" applyFill="1" applyBorder="1" applyAlignment="1" applyProtection="1">
      <alignment horizontal="center" vertical="center"/>
    </xf>
    <xf numFmtId="164" fontId="11" fillId="25" borderId="56" xfId="56" applyFont="1" applyFill="1" applyBorder="1" applyAlignment="1" applyProtection="1">
      <alignment horizontal="center" vertical="center"/>
      <protection locked="0"/>
    </xf>
    <xf numFmtId="164" fontId="11" fillId="25" borderId="56" xfId="56" applyFont="1" applyFill="1" applyBorder="1" applyAlignment="1" applyProtection="1">
      <alignment vertical="center"/>
      <protection locked="0"/>
    </xf>
    <xf numFmtId="164" fontId="11" fillId="25" borderId="56" xfId="56" applyFont="1" applyFill="1" applyBorder="1" applyAlignment="1" applyProtection="1">
      <alignment vertical="center"/>
    </xf>
    <xf numFmtId="10" fontId="14" fillId="25" borderId="67" xfId="55" applyNumberFormat="1" applyFont="1" applyFill="1" applyBorder="1" applyAlignment="1" applyProtection="1">
      <alignment horizontal="center" vertical="center"/>
    </xf>
    <xf numFmtId="164" fontId="11" fillId="25" borderId="67" xfId="56" applyFont="1" applyFill="1" applyBorder="1" applyAlignment="1" applyProtection="1">
      <alignment horizontal="center" vertical="center"/>
    </xf>
    <xf numFmtId="164" fontId="11" fillId="25" borderId="67" xfId="56" applyFont="1" applyFill="1" applyBorder="1" applyAlignment="1" applyProtection="1">
      <alignment horizontal="center" vertical="center"/>
      <protection locked="0"/>
    </xf>
    <xf numFmtId="164" fontId="11" fillId="25" borderId="67" xfId="56" applyFont="1" applyFill="1" applyBorder="1" applyAlignment="1" applyProtection="1">
      <alignment vertical="center"/>
      <protection locked="0"/>
    </xf>
    <xf numFmtId="164" fontId="11" fillId="25" borderId="67" xfId="56" applyFont="1" applyFill="1" applyBorder="1" applyAlignment="1" applyProtection="1">
      <alignment vertical="center"/>
    </xf>
    <xf numFmtId="164" fontId="10" fillId="25" borderId="44" xfId="56" applyFont="1" applyFill="1" applyBorder="1" applyAlignment="1" applyProtection="1">
      <alignment vertical="center"/>
    </xf>
    <xf numFmtId="164" fontId="10" fillId="25" borderId="49" xfId="56" applyFont="1" applyFill="1" applyBorder="1" applyAlignment="1" applyProtection="1">
      <alignment horizontal="center" vertical="center"/>
      <protection locked="0"/>
    </xf>
    <xf numFmtId="4" fontId="34" fillId="25" borderId="102" xfId="0" applyNumberFormat="1" applyFont="1" applyFill="1" applyBorder="1" applyAlignment="1">
      <alignment vertical="center"/>
    </xf>
    <xf numFmtId="10" fontId="13" fillId="27" borderId="26" xfId="55" applyNumberFormat="1" applyFont="1" applyFill="1" applyBorder="1" applyAlignment="1" applyProtection="1">
      <alignment horizontal="center" vertical="center"/>
    </xf>
    <xf numFmtId="164" fontId="10" fillId="27" borderId="26" xfId="56" applyFont="1" applyFill="1" applyBorder="1" applyAlignment="1" applyProtection="1">
      <alignment horizontal="center" vertical="center"/>
    </xf>
    <xf numFmtId="164" fontId="10" fillId="27" borderId="26" xfId="56" applyFont="1" applyFill="1" applyBorder="1" applyAlignment="1" applyProtection="1">
      <alignment horizontal="center" vertical="center"/>
      <protection locked="0"/>
    </xf>
    <xf numFmtId="164" fontId="10" fillId="27" borderId="26" xfId="56" applyFont="1" applyFill="1" applyBorder="1" applyAlignment="1" applyProtection="1">
      <alignment vertical="center"/>
      <protection locked="0"/>
    </xf>
    <xf numFmtId="10" fontId="14" fillId="24" borderId="0" xfId="55" applyNumberFormat="1" applyFont="1" applyFill="1" applyBorder="1" applyAlignment="1">
      <alignment horizontal="center" vertical="center"/>
    </xf>
    <xf numFmtId="164" fontId="11" fillId="24" borderId="0" xfId="56" applyFont="1" applyFill="1" applyBorder="1" applyAlignment="1">
      <alignment horizontal="center" vertical="center"/>
    </xf>
    <xf numFmtId="164" fontId="11" fillId="24" borderId="0" xfId="56" applyFont="1" applyFill="1" applyBorder="1" applyAlignment="1">
      <alignment vertical="center"/>
    </xf>
    <xf numFmtId="164" fontId="11" fillId="0" borderId="0" xfId="56" applyFont="1" applyFill="1" applyBorder="1" applyAlignment="1">
      <alignment vertical="center"/>
    </xf>
    <xf numFmtId="2" fontId="12" fillId="24" borderId="0" xfId="56" applyNumberFormat="1" applyFont="1" applyFill="1" applyBorder="1" applyAlignment="1">
      <alignment horizontal="right" vertical="center"/>
    </xf>
    <xf numFmtId="164" fontId="15" fillId="24" borderId="0" xfId="56" applyFont="1" applyFill="1" applyBorder="1" applyAlignment="1">
      <alignment horizontal="center" vertical="center"/>
    </xf>
    <xf numFmtId="164" fontId="15" fillId="24" borderId="0" xfId="56" applyFont="1" applyFill="1" applyBorder="1" applyAlignment="1">
      <alignment vertical="center"/>
    </xf>
    <xf numFmtId="2" fontId="11" fillId="24" borderId="0" xfId="56" applyNumberFormat="1" applyFont="1" applyFill="1" applyBorder="1" applyAlignment="1">
      <alignment horizontal="right" vertical="center"/>
    </xf>
    <xf numFmtId="164" fontId="16" fillId="24" borderId="0" xfId="56" applyFont="1" applyFill="1" applyBorder="1" applyAlignment="1">
      <alignment horizontal="center" vertical="center"/>
    </xf>
    <xf numFmtId="9" fontId="16" fillId="24" borderId="0" xfId="55" applyFont="1" applyFill="1" applyBorder="1" applyAlignment="1">
      <alignment horizontal="center" vertical="center"/>
    </xf>
    <xf numFmtId="10" fontId="13" fillId="24" borderId="18" xfId="55" applyNumberFormat="1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vertical="center"/>
      <protection locked="0"/>
    </xf>
    <xf numFmtId="164" fontId="10" fillId="0" borderId="18" xfId="56" applyFont="1" applyFill="1" applyBorder="1" applyAlignment="1" applyProtection="1">
      <alignment vertical="center"/>
    </xf>
    <xf numFmtId="10" fontId="14" fillId="0" borderId="49" xfId="55" applyNumberFormat="1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  <protection locked="0"/>
    </xf>
    <xf numFmtId="169" fontId="16" fillId="0" borderId="49" xfId="56" applyNumberFormat="1" applyFont="1" applyFill="1" applyBorder="1" applyAlignment="1" applyProtection="1">
      <alignment vertical="center"/>
      <protection locked="0"/>
    </xf>
    <xf numFmtId="164" fontId="11" fillId="0" borderId="49" xfId="56" applyFont="1" applyFill="1" applyBorder="1" applyAlignment="1" applyProtection="1">
      <alignment horizontal="left" vertical="center"/>
      <protection locked="0"/>
    </xf>
    <xf numFmtId="164" fontId="11" fillId="0" borderId="49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vertical="center"/>
      <protection locked="0"/>
    </xf>
    <xf numFmtId="10" fontId="14" fillId="27" borderId="31" xfId="55" applyNumberFormat="1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vertical="center"/>
      <protection locked="0"/>
    </xf>
    <xf numFmtId="164" fontId="10" fillId="27" borderId="31" xfId="56" applyFont="1" applyFill="1" applyBorder="1" applyAlignment="1" applyProtection="1">
      <alignment vertical="center"/>
      <protection locked="0"/>
    </xf>
    <xf numFmtId="164" fontId="11" fillId="25" borderId="44" xfId="56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  <protection locked="0"/>
    </xf>
    <xf numFmtId="164" fontId="11" fillId="25" borderId="49" xfId="56" applyFont="1" applyFill="1" applyBorder="1" applyAlignment="1" applyProtection="1">
      <alignment horizontal="right" vertical="center"/>
      <protection locked="0"/>
    </xf>
    <xf numFmtId="10" fontId="13" fillId="31" borderId="26" xfId="55" applyNumberFormat="1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vertical="center"/>
      <protection locked="0"/>
    </xf>
    <xf numFmtId="43" fontId="10" fillId="31" borderId="26" xfId="56" applyNumberFormat="1" applyFont="1" applyFill="1" applyBorder="1" applyAlignment="1" applyProtection="1">
      <alignment vertical="center"/>
      <protection locked="0"/>
    </xf>
    <xf numFmtId="164" fontId="10" fillId="24" borderId="18" xfId="57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vertical="center"/>
      <protection locked="0"/>
    </xf>
    <xf numFmtId="164" fontId="10" fillId="0" borderId="18" xfId="57" applyFont="1" applyFill="1" applyBorder="1" applyAlignment="1" applyProtection="1">
      <alignment vertical="center"/>
    </xf>
    <xf numFmtId="164" fontId="11" fillId="0" borderId="49" xfId="57" applyFont="1" applyFill="1" applyBorder="1" applyAlignment="1" applyProtection="1">
      <alignment horizontal="center" vertical="center"/>
    </xf>
    <xf numFmtId="164" fontId="11" fillId="0" borderId="49" xfId="57" applyFont="1" applyFill="1" applyBorder="1" applyAlignment="1" applyProtection="1">
      <alignment horizontal="center" vertical="center"/>
      <protection locked="0"/>
    </xf>
    <xf numFmtId="169" fontId="16" fillId="0" borderId="49" xfId="57" applyNumberFormat="1" applyFont="1" applyFill="1" applyBorder="1" applyAlignment="1" applyProtection="1">
      <alignment vertical="center"/>
      <protection locked="0"/>
    </xf>
    <xf numFmtId="164" fontId="11" fillId="0" borderId="49" xfId="57" applyFont="1" applyFill="1" applyBorder="1" applyAlignment="1" applyProtection="1">
      <alignment horizontal="left" vertical="center"/>
      <protection locked="0"/>
    </xf>
    <xf numFmtId="164" fontId="11" fillId="0" borderId="49" xfId="57" applyFont="1" applyFill="1" applyBorder="1" applyAlignment="1" applyProtection="1">
      <alignment vertical="center"/>
    </xf>
    <xf numFmtId="164" fontId="11" fillId="25" borderId="49" xfId="57" applyFont="1" applyFill="1" applyBorder="1" applyAlignment="1" applyProtection="1">
      <alignment horizontal="center" vertical="center"/>
    </xf>
    <xf numFmtId="164" fontId="11" fillId="25" borderId="49" xfId="57" applyFont="1" applyFill="1" applyBorder="1" applyAlignment="1" applyProtection="1">
      <alignment horizontal="center" vertical="center"/>
      <protection locked="0"/>
    </xf>
    <xf numFmtId="164" fontId="11" fillId="25" borderId="49" xfId="57" applyFont="1" applyFill="1" applyBorder="1" applyAlignment="1" applyProtection="1">
      <alignment vertical="center"/>
      <protection locked="0"/>
    </xf>
    <xf numFmtId="164" fontId="11" fillId="25" borderId="49" xfId="57" applyFont="1" applyFill="1" applyBorder="1" applyAlignment="1" applyProtection="1">
      <alignment vertical="center"/>
    </xf>
    <xf numFmtId="164" fontId="11" fillId="0" borderId="49" xfId="57" applyFont="1" applyFill="1" applyBorder="1" applyAlignment="1" applyProtection="1">
      <alignment vertical="center"/>
      <protection locked="0"/>
    </xf>
    <xf numFmtId="164" fontId="11" fillId="27" borderId="31" xfId="57" applyFont="1" applyFill="1" applyBorder="1" applyAlignment="1" applyProtection="1">
      <alignment horizontal="center" vertical="center"/>
      <protection locked="0"/>
    </xf>
    <xf numFmtId="164" fontId="11" fillId="27" borderId="31" xfId="57" applyFont="1" applyFill="1" applyBorder="1" applyAlignment="1" applyProtection="1">
      <alignment vertical="center"/>
      <protection locked="0"/>
    </xf>
    <xf numFmtId="164" fontId="10" fillId="27" borderId="31" xfId="57" applyFont="1" applyFill="1" applyBorder="1" applyAlignment="1" applyProtection="1">
      <alignment vertical="center"/>
      <protection locked="0"/>
    </xf>
    <xf numFmtId="164" fontId="11" fillId="25" borderId="44" xfId="57" applyFont="1" applyFill="1" applyBorder="1" applyAlignment="1" applyProtection="1">
      <alignment horizontal="center" vertical="center"/>
    </xf>
    <xf numFmtId="164" fontId="11" fillId="25" borderId="44" xfId="57" applyFont="1" applyFill="1" applyBorder="1" applyAlignment="1" applyProtection="1">
      <alignment horizontal="center" vertical="center"/>
      <protection locked="0"/>
    </xf>
    <xf numFmtId="164" fontId="10" fillId="25" borderId="44" xfId="57" applyFont="1" applyFill="1" applyBorder="1" applyAlignment="1" applyProtection="1">
      <alignment horizontal="center" vertical="center"/>
      <protection locked="0"/>
    </xf>
    <xf numFmtId="164" fontId="10" fillId="25" borderId="44" xfId="57" applyFont="1" applyFill="1" applyBorder="1" applyAlignment="1" applyProtection="1">
      <alignment vertical="center"/>
      <protection locked="0"/>
    </xf>
    <xf numFmtId="164" fontId="10" fillId="25" borderId="44" xfId="57" applyFont="1" applyFill="1" applyBorder="1" applyAlignment="1" applyProtection="1">
      <alignment vertical="center"/>
    </xf>
    <xf numFmtId="0" fontId="11" fillId="0" borderId="49" xfId="0" applyFont="1" applyFill="1" applyBorder="1" applyAlignment="1" applyProtection="1">
      <alignment horizontal="left" vertical="center" wrapText="1" shrinkToFit="1"/>
    </xf>
    <xf numFmtId="0" fontId="10" fillId="0" borderId="44" xfId="0" applyFont="1" applyFill="1" applyBorder="1" applyAlignment="1" applyProtection="1">
      <alignment horizontal="center" vertical="center"/>
    </xf>
    <xf numFmtId="10" fontId="13" fillId="0" borderId="44" xfId="55" applyNumberFormat="1" applyFont="1" applyFill="1" applyBorder="1" applyAlignment="1" applyProtection="1">
      <alignment horizontal="center" vertical="center"/>
    </xf>
    <xf numFmtId="164" fontId="11" fillId="0" borderId="44" xfId="57" applyFont="1" applyFill="1" applyBorder="1" applyAlignment="1" applyProtection="1">
      <alignment horizontal="center" vertical="center"/>
    </xf>
    <xf numFmtId="164" fontId="11" fillId="0" borderId="44" xfId="57" applyFont="1" applyFill="1" applyBorder="1" applyAlignment="1" applyProtection="1">
      <alignment horizontal="center" vertical="center"/>
      <protection locked="0"/>
    </xf>
    <xf numFmtId="164" fontId="10" fillId="0" borderId="44" xfId="57" applyFont="1" applyFill="1" applyBorder="1" applyAlignment="1" applyProtection="1">
      <alignment horizontal="center" vertical="center"/>
      <protection locked="0"/>
    </xf>
    <xf numFmtId="164" fontId="10" fillId="0" borderId="44" xfId="57" applyFont="1" applyFill="1" applyBorder="1" applyAlignment="1" applyProtection="1">
      <alignment vertical="center"/>
      <protection locked="0"/>
    </xf>
    <xf numFmtId="164" fontId="10" fillId="0" borderId="44" xfId="57" applyFont="1" applyFill="1" applyBorder="1" applyAlignment="1" applyProtection="1">
      <alignment vertical="center"/>
    </xf>
    <xf numFmtId="164" fontId="11" fillId="0" borderId="49" xfId="57" applyFont="1" applyFill="1" applyBorder="1" applyAlignment="1" applyProtection="1">
      <alignment horizontal="right" vertical="center"/>
      <protection locked="0"/>
    </xf>
    <xf numFmtId="165" fontId="11" fillId="0" borderId="49" xfId="0" applyNumberFormat="1" applyFont="1" applyFill="1" applyBorder="1" applyAlignment="1" applyProtection="1">
      <alignment horizontal="center" vertical="center"/>
    </xf>
    <xf numFmtId="164" fontId="10" fillId="31" borderId="26" xfId="57" applyFont="1" applyFill="1" applyBorder="1" applyAlignment="1" applyProtection="1">
      <alignment horizontal="center" vertical="center"/>
      <protection locked="0"/>
    </xf>
    <xf numFmtId="164" fontId="10" fillId="31" borderId="26" xfId="57" applyFont="1" applyFill="1" applyBorder="1" applyAlignment="1" applyProtection="1">
      <alignment vertical="center"/>
      <protection locked="0"/>
    </xf>
    <xf numFmtId="43" fontId="10" fillId="31" borderId="26" xfId="57" applyNumberFormat="1" applyFont="1" applyFill="1" applyBorder="1" applyAlignment="1" applyProtection="1">
      <alignment vertical="center"/>
      <protection locked="0"/>
    </xf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2" xfId="56"/>
    <cellStyle name="Comma 3" xfId="57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te" xfId="47"/>
    <cellStyle name="Output" xfId="48"/>
    <cellStyle name="Percent" xfId="54" builtinId="5"/>
    <cellStyle name="Percent 2" xfId="55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15;&#3657;&#3634;%2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15;&#3657;&#3656;&#3634;%204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บ้านดีดีรักษ์ฟ้า 4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D18" sqref="D18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25" t="s">
        <v>2</v>
      </c>
      <c r="B1" s="426"/>
      <c r="C1" s="426"/>
      <c r="D1" s="426"/>
      <c r="E1" s="427"/>
    </row>
    <row r="2" spans="1:10" ht="20.100000000000001" customHeight="1">
      <c r="A2" s="120" t="s">
        <v>217</v>
      </c>
      <c r="B2" s="121"/>
      <c r="C2" s="121"/>
      <c r="D2" s="433" t="s">
        <v>242</v>
      </c>
      <c r="E2" s="434"/>
    </row>
    <row r="3" spans="1:10" ht="20.100000000000001" customHeight="1">
      <c r="A3" s="120" t="s">
        <v>218</v>
      </c>
      <c r="B3" s="122"/>
      <c r="C3" s="435" t="s">
        <v>243</v>
      </c>
      <c r="D3" s="435"/>
      <c r="E3" s="436"/>
    </row>
    <row r="4" spans="1:10" ht="14.4" thickBot="1">
      <c r="A4" s="120" t="s">
        <v>419</v>
      </c>
      <c r="B4" s="133"/>
      <c r="C4" s="133"/>
      <c r="D4" s="133"/>
      <c r="E4" s="136"/>
    </row>
    <row r="5" spans="1:10" ht="20.100000000000001" customHeight="1" thickBot="1">
      <c r="A5" s="53" t="s">
        <v>3</v>
      </c>
      <c r="B5" s="54" t="s">
        <v>4</v>
      </c>
      <c r="C5" s="54" t="s">
        <v>5</v>
      </c>
      <c r="D5" s="54" t="s">
        <v>6</v>
      </c>
      <c r="E5" s="55" t="s">
        <v>7</v>
      </c>
    </row>
    <row r="6" spans="1:10">
      <c r="A6" s="316"/>
      <c r="B6" s="313"/>
      <c r="C6" s="314"/>
      <c r="D6" s="314"/>
      <c r="E6" s="315"/>
    </row>
    <row r="7" spans="1:10">
      <c r="A7" s="56"/>
      <c r="B7" s="304" t="s">
        <v>8</v>
      </c>
      <c r="C7" s="57"/>
      <c r="D7" s="57"/>
      <c r="E7" s="58"/>
    </row>
    <row r="8" spans="1:10">
      <c r="A8" s="331" t="s">
        <v>9</v>
      </c>
      <c r="B8" s="329" t="s">
        <v>10</v>
      </c>
      <c r="C8" s="321"/>
      <c r="D8" s="326">
        <f>หมวดงานโครงสร้าง!L71</f>
        <v>1132516.4859121437</v>
      </c>
      <c r="E8" s="332"/>
      <c r="F8" s="246"/>
      <c r="G8" s="4"/>
    </row>
    <row r="9" spans="1:10">
      <c r="A9" s="333"/>
      <c r="B9" s="306"/>
      <c r="C9" s="322"/>
      <c r="D9" s="129"/>
      <c r="E9" s="334"/>
      <c r="I9" s="247"/>
      <c r="J9" s="247"/>
    </row>
    <row r="10" spans="1:10">
      <c r="A10" s="335" t="s">
        <v>14</v>
      </c>
      <c r="B10" s="301" t="s">
        <v>15</v>
      </c>
      <c r="C10" s="323"/>
      <c r="D10" s="338">
        <f>'งานสถาปัตยกรรม '!L163</f>
        <v>991395.41</v>
      </c>
      <c r="E10" s="336"/>
      <c r="F10" s="246"/>
      <c r="G10" s="4"/>
      <c r="I10" s="247"/>
      <c r="J10" s="247"/>
    </row>
    <row r="11" spans="1:10" ht="21.75" customHeight="1">
      <c r="A11" s="333"/>
      <c r="B11" s="307"/>
      <c r="C11" s="322"/>
      <c r="D11" s="129"/>
      <c r="E11" s="334"/>
      <c r="I11" s="247"/>
      <c r="J11" s="247"/>
    </row>
    <row r="12" spans="1:10">
      <c r="A12" s="335" t="s">
        <v>24</v>
      </c>
      <c r="B12" s="301" t="s">
        <v>25</v>
      </c>
      <c r="C12" s="323"/>
      <c r="D12" s="338">
        <f>งานระบบไฟฟ้า!L69</f>
        <v>112339.643</v>
      </c>
      <c r="E12" s="336"/>
      <c r="F12" s="246"/>
      <c r="G12" s="4"/>
      <c r="I12" s="247"/>
      <c r="J12" s="247"/>
    </row>
    <row r="13" spans="1:10">
      <c r="A13" s="333"/>
      <c r="B13" s="306"/>
      <c r="C13" s="324"/>
      <c r="D13" s="129"/>
      <c r="E13" s="336"/>
      <c r="I13" s="247"/>
      <c r="J13" s="247"/>
    </row>
    <row r="14" spans="1:10" s="292" customFormat="1">
      <c r="A14" s="335" t="s">
        <v>27</v>
      </c>
      <c r="B14" s="301" t="s">
        <v>176</v>
      </c>
      <c r="C14" s="323"/>
      <c r="D14" s="338">
        <f>งานระบบประปา!L93</f>
        <v>107369.85277083333</v>
      </c>
      <c r="E14" s="336"/>
      <c r="F14" s="302"/>
      <c r="G14" s="303"/>
      <c r="I14" s="16"/>
      <c r="J14" s="16"/>
    </row>
    <row r="15" spans="1:10" ht="14.4" thickBot="1">
      <c r="A15" s="311"/>
      <c r="B15" s="330"/>
      <c r="C15" s="325"/>
      <c r="D15" s="309"/>
      <c r="E15" s="337"/>
      <c r="J15" s="247"/>
    </row>
    <row r="16" spans="1:10" ht="20.100000000000001" customHeight="1" thickTop="1">
      <c r="A16" s="305"/>
      <c r="B16" s="327" t="s">
        <v>28</v>
      </c>
      <c r="C16" s="308"/>
      <c r="D16" s="308">
        <f>SUM(D8:D15)</f>
        <v>2343621.3916829773</v>
      </c>
      <c r="E16" s="328"/>
      <c r="I16" s="2"/>
    </row>
    <row r="17" spans="1:14" ht="20.100000000000001" customHeight="1">
      <c r="A17" s="42" t="s">
        <v>30</v>
      </c>
      <c r="B17" s="43" t="s">
        <v>29</v>
      </c>
      <c r="C17" s="44" t="s">
        <v>177</v>
      </c>
      <c r="D17" s="44">
        <v>0</v>
      </c>
      <c r="E17" s="45"/>
      <c r="F17" s="4"/>
      <c r="I17" s="3"/>
    </row>
    <row r="18" spans="1:14" ht="20.100000000000001" customHeight="1">
      <c r="A18" s="42" t="s">
        <v>162</v>
      </c>
      <c r="B18" s="46" t="s">
        <v>179</v>
      </c>
      <c r="C18" s="84"/>
      <c r="D18" s="44">
        <f>ROUNDUP(D16*0.1,0)</f>
        <v>234363</v>
      </c>
      <c r="E18" s="47"/>
      <c r="F18" s="428"/>
      <c r="G18" s="428"/>
      <c r="H18" s="248"/>
      <c r="I18" s="3"/>
      <c r="J18" s="430"/>
      <c r="K18" s="431"/>
    </row>
    <row r="19" spans="1:14" ht="20.100000000000001" customHeight="1" thickBot="1">
      <c r="A19" s="48"/>
      <c r="B19" s="49" t="s">
        <v>31</v>
      </c>
      <c r="C19" s="50"/>
      <c r="D19" s="50">
        <f>SUM(D16:D18)</f>
        <v>2577984.3916829773</v>
      </c>
      <c r="E19" s="51"/>
      <c r="F19" s="429"/>
      <c r="G19" s="429"/>
      <c r="I19" s="6"/>
      <c r="J19" s="432"/>
      <c r="K19" s="429"/>
    </row>
    <row r="20" spans="1:14" ht="20.100000000000001" customHeight="1" outlineLevel="1" thickTop="1">
      <c r="A20" s="39"/>
      <c r="B20" s="40" t="s">
        <v>32</v>
      </c>
      <c r="C20" s="52"/>
      <c r="D20" s="52">
        <f>ROUNDUP(D19*7%,2)</f>
        <v>180458.91</v>
      </c>
      <c r="E20" s="41"/>
      <c r="N20" s="5">
        <v>515921.81</v>
      </c>
    </row>
    <row r="21" spans="1:14" ht="20.100000000000001" customHeight="1" outlineLevel="1" thickBot="1">
      <c r="A21" s="317"/>
      <c r="B21" s="318" t="s">
        <v>33</v>
      </c>
      <c r="C21" s="319"/>
      <c r="D21" s="319">
        <f>SUM(D19:D20)</f>
        <v>2758443.3016829775</v>
      </c>
      <c r="E21" s="320"/>
    </row>
    <row r="22" spans="1:14">
      <c r="A22" s="130" t="s">
        <v>34</v>
      </c>
      <c r="B22" s="131"/>
      <c r="C22" s="131"/>
      <c r="D22" s="131"/>
      <c r="E22" s="132"/>
    </row>
    <row r="24" spans="1:14">
      <c r="B24" s="128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6"/>
  <sheetViews>
    <sheetView view="pageBreakPreview" zoomScaleNormal="75" zoomScaleSheetLayoutView="100" workbookViewId="0">
      <pane xSplit="7" ySplit="8" topLeftCell="H66" activePane="bottomRight" state="frozen"/>
      <selection activeCell="P4" sqref="P4"/>
      <selection pane="topRight" activeCell="P4" sqref="P4"/>
      <selection pane="bottomLeft" activeCell="P4" sqref="P4"/>
      <selection pane="bottomRight" activeCell="K10" sqref="K10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11.44140625" style="5" hidden="1" customWidth="1" outlineLevel="1"/>
    <col min="5" max="5" width="11.5546875" style="5" hidden="1" customWidth="1" outlineLevel="1"/>
    <col min="6" max="6" width="9.109375" style="5" hidden="1" customWidth="1" outlineLevel="1"/>
    <col min="7" max="7" width="10.6640625" style="5" customWidth="1" collapsed="1"/>
    <col min="8" max="11" width="13.5546875" style="5" customWidth="1"/>
    <col min="12" max="12" width="15.5546875" style="5" customWidth="1"/>
    <col min="13" max="13" width="21.5546875" style="5" customWidth="1"/>
    <col min="14" max="15" width="9.109375" style="5"/>
    <col min="16" max="16" width="9.109375" style="292"/>
    <col min="17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3.5546875" style="5" customWidth="1"/>
    <col min="268" max="268" width="15.554687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3.5546875" style="5" customWidth="1"/>
    <col min="524" max="524" width="15.554687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3.5546875" style="5" customWidth="1"/>
    <col min="780" max="780" width="15.554687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3.5546875" style="5" customWidth="1"/>
    <col min="1036" max="1036" width="15.554687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3.5546875" style="5" customWidth="1"/>
    <col min="1292" max="1292" width="15.554687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3.5546875" style="5" customWidth="1"/>
    <col min="1548" max="1548" width="15.554687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3.5546875" style="5" customWidth="1"/>
    <col min="1804" max="1804" width="15.554687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3.5546875" style="5" customWidth="1"/>
    <col min="2060" max="2060" width="15.554687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3.5546875" style="5" customWidth="1"/>
    <col min="2316" max="2316" width="15.554687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3.5546875" style="5" customWidth="1"/>
    <col min="2572" max="2572" width="15.554687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3.5546875" style="5" customWidth="1"/>
    <col min="2828" max="2828" width="15.554687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3.5546875" style="5" customWidth="1"/>
    <col min="3084" max="3084" width="15.554687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3.5546875" style="5" customWidth="1"/>
    <col min="3340" max="3340" width="15.554687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3.5546875" style="5" customWidth="1"/>
    <col min="3596" max="3596" width="15.554687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3.5546875" style="5" customWidth="1"/>
    <col min="3852" max="3852" width="15.554687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3.5546875" style="5" customWidth="1"/>
    <col min="4108" max="4108" width="15.554687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3.5546875" style="5" customWidth="1"/>
    <col min="4364" max="4364" width="15.554687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3.5546875" style="5" customWidth="1"/>
    <col min="4620" max="4620" width="15.554687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3.5546875" style="5" customWidth="1"/>
    <col min="4876" max="4876" width="15.554687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3.5546875" style="5" customWidth="1"/>
    <col min="5132" max="5132" width="15.554687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3.5546875" style="5" customWidth="1"/>
    <col min="5388" max="5388" width="15.554687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3.5546875" style="5" customWidth="1"/>
    <col min="5644" max="5644" width="15.554687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3.5546875" style="5" customWidth="1"/>
    <col min="5900" max="5900" width="15.554687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3.5546875" style="5" customWidth="1"/>
    <col min="6156" max="6156" width="15.554687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3.5546875" style="5" customWidth="1"/>
    <col min="6412" max="6412" width="15.554687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3.5546875" style="5" customWidth="1"/>
    <col min="6668" max="6668" width="15.554687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3.5546875" style="5" customWidth="1"/>
    <col min="6924" max="6924" width="15.554687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3.5546875" style="5" customWidth="1"/>
    <col min="7180" max="7180" width="15.554687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3.5546875" style="5" customWidth="1"/>
    <col min="7436" max="7436" width="15.554687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3.5546875" style="5" customWidth="1"/>
    <col min="7692" max="7692" width="15.554687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3.5546875" style="5" customWidth="1"/>
    <col min="7948" max="7948" width="15.554687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3.5546875" style="5" customWidth="1"/>
    <col min="8204" max="8204" width="15.554687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3.5546875" style="5" customWidth="1"/>
    <col min="8460" max="8460" width="15.554687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3.5546875" style="5" customWidth="1"/>
    <col min="8716" max="8716" width="15.554687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3.5546875" style="5" customWidth="1"/>
    <col min="8972" max="8972" width="15.554687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3.5546875" style="5" customWidth="1"/>
    <col min="9228" max="9228" width="15.554687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3.5546875" style="5" customWidth="1"/>
    <col min="9484" max="9484" width="15.554687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3.5546875" style="5" customWidth="1"/>
    <col min="9740" max="9740" width="15.554687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3.5546875" style="5" customWidth="1"/>
    <col min="9996" max="9996" width="15.554687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3.5546875" style="5" customWidth="1"/>
    <col min="10252" max="10252" width="15.554687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3.5546875" style="5" customWidth="1"/>
    <col min="10508" max="10508" width="15.554687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3.5546875" style="5" customWidth="1"/>
    <col min="10764" max="10764" width="15.554687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3.5546875" style="5" customWidth="1"/>
    <col min="11020" max="11020" width="15.554687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3.5546875" style="5" customWidth="1"/>
    <col min="11276" max="11276" width="15.554687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3.5546875" style="5" customWidth="1"/>
    <col min="11532" max="11532" width="15.554687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3.5546875" style="5" customWidth="1"/>
    <col min="11788" max="11788" width="15.554687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3.5546875" style="5" customWidth="1"/>
    <col min="12044" max="12044" width="15.554687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3.5546875" style="5" customWidth="1"/>
    <col min="12300" max="12300" width="15.554687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3.5546875" style="5" customWidth="1"/>
    <col min="12556" max="12556" width="15.554687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3.5546875" style="5" customWidth="1"/>
    <col min="12812" max="12812" width="15.554687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3.5546875" style="5" customWidth="1"/>
    <col min="13068" max="13068" width="15.554687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3.5546875" style="5" customWidth="1"/>
    <col min="13324" max="13324" width="15.554687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3.5546875" style="5" customWidth="1"/>
    <col min="13580" max="13580" width="15.554687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3.5546875" style="5" customWidth="1"/>
    <col min="13836" max="13836" width="15.554687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3.5546875" style="5" customWidth="1"/>
    <col min="14092" max="14092" width="15.554687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3.5546875" style="5" customWidth="1"/>
    <col min="14348" max="14348" width="15.554687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3.5546875" style="5" customWidth="1"/>
    <col min="14604" max="14604" width="15.554687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3.5546875" style="5" customWidth="1"/>
    <col min="14860" max="14860" width="15.554687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3.5546875" style="5" customWidth="1"/>
    <col min="15116" max="15116" width="15.554687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3.5546875" style="5" customWidth="1"/>
    <col min="15372" max="15372" width="15.554687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3.5546875" style="5" customWidth="1"/>
    <col min="15628" max="15628" width="15.554687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3.5546875" style="5" customWidth="1"/>
    <col min="15884" max="15884" width="15.554687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3.5546875" style="5" customWidth="1"/>
    <col min="16140" max="16140" width="15.5546875" style="5" customWidth="1"/>
    <col min="16141" max="16141" width="21.5546875" style="5" customWidth="1"/>
    <col min="16142" max="16384" width="9.109375" style="5"/>
  </cols>
  <sheetData>
    <row r="1" spans="1:16" s="7" customFormat="1" ht="20.100000000000001" customHeight="1">
      <c r="A1" s="437" t="s">
        <v>37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9"/>
    </row>
    <row r="2" spans="1:16" s="7" customFormat="1" ht="20.100000000000001" customHeight="1">
      <c r="A2" s="440" t="s">
        <v>46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2"/>
    </row>
    <row r="3" spans="1:16" s="7" customFormat="1" ht="20.100000000000001" customHeight="1">
      <c r="A3" s="120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1"/>
      <c r="C3" s="122"/>
      <c r="D3" s="463"/>
      <c r="E3" s="464"/>
      <c r="F3" s="464"/>
      <c r="G3" s="464"/>
      <c r="H3" s="465"/>
      <c r="I3" s="465"/>
      <c r="J3" s="466"/>
      <c r="K3" s="466"/>
      <c r="L3" s="467"/>
      <c r="M3" s="127" t="str">
        <f>'[2]cover '!D2</f>
        <v xml:space="preserve">จัดทำโดย คณะสถาปัตยกรรมศาสตร์ 
</v>
      </c>
    </row>
    <row r="4" spans="1:16" s="7" customFormat="1" ht="20.100000000000001" customHeight="1">
      <c r="A4" s="120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122"/>
      <c r="C4" s="122"/>
      <c r="D4" s="463"/>
      <c r="E4" s="464"/>
      <c r="F4" s="464"/>
      <c r="G4" s="464"/>
      <c r="H4" s="465"/>
      <c r="I4" s="465"/>
      <c r="J4" s="435" t="s">
        <v>243</v>
      </c>
      <c r="K4" s="435"/>
      <c r="L4" s="435"/>
      <c r="M4" s="436"/>
    </row>
    <row r="5" spans="1:16" s="7" customFormat="1" ht="20.100000000000001" customHeight="1" thickBot="1">
      <c r="A5" s="120" t="str">
        <f>'[2]cover '!A4</f>
        <v>แบบบ้าน  :  บ้านดีดีรักษ์ฟ้า 4</v>
      </c>
      <c r="B5" s="122"/>
      <c r="C5" s="122"/>
      <c r="D5" s="463"/>
      <c r="E5" s="464"/>
      <c r="F5" s="464"/>
      <c r="G5" s="464"/>
      <c r="H5" s="465"/>
      <c r="I5" s="465"/>
      <c r="J5" s="468"/>
      <c r="K5" s="468"/>
      <c r="L5" s="464"/>
      <c r="M5" s="127"/>
    </row>
    <row r="6" spans="1:16" s="8" customFormat="1" ht="20.100000000000001" customHeight="1">
      <c r="A6" s="443" t="s">
        <v>3</v>
      </c>
      <c r="B6" s="445" t="s">
        <v>4</v>
      </c>
      <c r="C6" s="445" t="s">
        <v>38</v>
      </c>
      <c r="D6" s="469" t="s">
        <v>47</v>
      </c>
      <c r="E6" s="470" t="s">
        <v>39</v>
      </c>
      <c r="F6" s="470" t="s">
        <v>39</v>
      </c>
      <c r="G6" s="471" t="s">
        <v>39</v>
      </c>
      <c r="H6" s="447" t="s">
        <v>40</v>
      </c>
      <c r="I6" s="448"/>
      <c r="J6" s="472" t="s">
        <v>41</v>
      </c>
      <c r="K6" s="473"/>
      <c r="L6" s="474" t="s">
        <v>6</v>
      </c>
      <c r="M6" s="449" t="s">
        <v>42</v>
      </c>
    </row>
    <row r="7" spans="1:16" s="8" customFormat="1" ht="20.100000000000001" customHeight="1" thickBot="1">
      <c r="A7" s="444"/>
      <c r="B7" s="446"/>
      <c r="C7" s="446"/>
      <c r="D7" s="475" t="s">
        <v>48</v>
      </c>
      <c r="E7" s="476"/>
      <c r="F7" s="477"/>
      <c r="G7" s="478"/>
      <c r="H7" s="479" t="s">
        <v>43</v>
      </c>
      <c r="I7" s="479" t="s">
        <v>44</v>
      </c>
      <c r="J7" s="479" t="s">
        <v>43</v>
      </c>
      <c r="K7" s="479" t="s">
        <v>44</v>
      </c>
      <c r="L7" s="480" t="s">
        <v>45</v>
      </c>
      <c r="M7" s="450"/>
    </row>
    <row r="8" spans="1:16" s="1" customFormat="1" ht="20.100000000000001" customHeight="1">
      <c r="A8" s="137" t="s">
        <v>49</v>
      </c>
      <c r="B8" s="138" t="s">
        <v>50</v>
      </c>
      <c r="C8" s="139"/>
      <c r="D8" s="481"/>
      <c r="E8" s="482"/>
      <c r="F8" s="483"/>
      <c r="G8" s="484"/>
      <c r="H8" s="484"/>
      <c r="I8" s="484"/>
      <c r="J8" s="484"/>
      <c r="K8" s="484"/>
      <c r="L8" s="485"/>
      <c r="M8" s="140"/>
    </row>
    <row r="9" spans="1:16" s="1" customFormat="1" ht="20.100000000000001" customHeight="1">
      <c r="A9" s="141" t="s">
        <v>11</v>
      </c>
      <c r="B9" s="142" t="s">
        <v>183</v>
      </c>
      <c r="C9" s="143"/>
      <c r="D9" s="486"/>
      <c r="E9" s="487"/>
      <c r="F9" s="487"/>
      <c r="G9" s="488"/>
      <c r="H9" s="488"/>
      <c r="I9" s="488"/>
      <c r="J9" s="488"/>
      <c r="K9" s="488"/>
      <c r="L9" s="489"/>
      <c r="M9" s="148"/>
    </row>
    <row r="10" spans="1:16" s="10" customFormat="1" ht="18.899999999999999" customHeight="1">
      <c r="A10" s="178" t="s">
        <v>51</v>
      </c>
      <c r="B10" s="179" t="s">
        <v>252</v>
      </c>
      <c r="C10" s="98" t="s">
        <v>52</v>
      </c>
      <c r="D10" s="490">
        <v>0</v>
      </c>
      <c r="E10" s="491">
        <v>58</v>
      </c>
      <c r="F10" s="492"/>
      <c r="G10" s="493">
        <v>25</v>
      </c>
      <c r="H10" s="492">
        <v>5460</v>
      </c>
      <c r="I10" s="493">
        <f>G10*H10</f>
        <v>136500</v>
      </c>
      <c r="J10" s="493">
        <v>0</v>
      </c>
      <c r="K10" s="493">
        <f>SUM(G10*J10)</f>
        <v>0</v>
      </c>
      <c r="L10" s="494">
        <f t="shared" ref="L10:L18" si="0">SUM(I10+K10)</f>
        <v>136500</v>
      </c>
      <c r="M10" s="104"/>
      <c r="O10" s="10">
        <v>1</v>
      </c>
      <c r="P10" s="466">
        <v>21</v>
      </c>
    </row>
    <row r="11" spans="1:16" s="10" customFormat="1" ht="18.899999999999999" customHeight="1">
      <c r="A11" s="178" t="s">
        <v>185</v>
      </c>
      <c r="B11" s="180" t="s">
        <v>253</v>
      </c>
      <c r="C11" s="98" t="s">
        <v>52</v>
      </c>
      <c r="D11" s="490">
        <v>0</v>
      </c>
      <c r="E11" s="491">
        <v>58</v>
      </c>
      <c r="F11" s="492"/>
      <c r="G11" s="493">
        <v>25</v>
      </c>
      <c r="H11" s="492">
        <v>0</v>
      </c>
      <c r="I11" s="493">
        <f>G11*H11</f>
        <v>0</v>
      </c>
      <c r="J11" s="493">
        <v>230</v>
      </c>
      <c r="K11" s="493">
        <f t="shared" ref="K11:K18" si="1">SUM(G11*J11)</f>
        <v>5750</v>
      </c>
      <c r="L11" s="494">
        <f t="shared" si="0"/>
        <v>5750</v>
      </c>
      <c r="M11" s="104"/>
      <c r="O11" s="10">
        <v>1</v>
      </c>
      <c r="P11" s="466">
        <f>P10</f>
        <v>21</v>
      </c>
    </row>
    <row r="12" spans="1:16" s="10" customFormat="1" ht="18.899999999999999" customHeight="1">
      <c r="A12" s="178" t="s">
        <v>53</v>
      </c>
      <c r="B12" s="179" t="s">
        <v>254</v>
      </c>
      <c r="C12" s="98" t="s">
        <v>172</v>
      </c>
      <c r="D12" s="490">
        <v>0</v>
      </c>
      <c r="E12" s="491">
        <v>58</v>
      </c>
      <c r="F12" s="492"/>
      <c r="G12" s="493">
        <v>25</v>
      </c>
      <c r="H12" s="492">
        <v>0</v>
      </c>
      <c r="I12" s="493">
        <f>G12*H12</f>
        <v>0</v>
      </c>
      <c r="J12" s="493">
        <v>1450</v>
      </c>
      <c r="K12" s="493">
        <f t="shared" si="1"/>
        <v>36250</v>
      </c>
      <c r="L12" s="494">
        <f t="shared" si="0"/>
        <v>36250</v>
      </c>
      <c r="M12" s="104"/>
      <c r="O12" s="10">
        <v>1</v>
      </c>
      <c r="P12" s="466">
        <f>P10</f>
        <v>21</v>
      </c>
    </row>
    <row r="13" spans="1:16" s="10" customFormat="1" ht="18.899999999999999" customHeight="1">
      <c r="A13" s="178" t="s">
        <v>56</v>
      </c>
      <c r="B13" s="180" t="s">
        <v>54</v>
      </c>
      <c r="C13" s="98" t="s">
        <v>55</v>
      </c>
      <c r="D13" s="490">
        <v>0</v>
      </c>
      <c r="E13" s="491">
        <v>153</v>
      </c>
      <c r="F13" s="492"/>
      <c r="G13" s="493">
        <v>15.112500000000001</v>
      </c>
      <c r="H13" s="492">
        <v>0</v>
      </c>
      <c r="I13" s="493">
        <f>G13*H13</f>
        <v>0</v>
      </c>
      <c r="J13" s="493">
        <v>125</v>
      </c>
      <c r="K13" s="493">
        <f t="shared" si="1"/>
        <v>1889.0625</v>
      </c>
      <c r="L13" s="494">
        <f t="shared" si="0"/>
        <v>1889.0625</v>
      </c>
      <c r="M13" s="104"/>
      <c r="O13" s="10">
        <v>1</v>
      </c>
      <c r="P13" s="466">
        <v>22</v>
      </c>
    </row>
    <row r="14" spans="1:16" s="10" customFormat="1" ht="18.899999999999999" customHeight="1">
      <c r="A14" s="178" t="s">
        <v>58</v>
      </c>
      <c r="B14" s="181" t="s">
        <v>57</v>
      </c>
      <c r="C14" s="98" t="s">
        <v>55</v>
      </c>
      <c r="D14" s="490">
        <v>0</v>
      </c>
      <c r="E14" s="491">
        <v>141</v>
      </c>
      <c r="F14" s="492"/>
      <c r="G14" s="493">
        <v>4.5337500000000013</v>
      </c>
      <c r="H14" s="492">
        <v>0</v>
      </c>
      <c r="I14" s="493">
        <f>G14*H14</f>
        <v>0</v>
      </c>
      <c r="J14" s="493">
        <v>99</v>
      </c>
      <c r="K14" s="493">
        <f t="shared" si="1"/>
        <v>448.84125000000012</v>
      </c>
      <c r="L14" s="494">
        <f t="shared" si="0"/>
        <v>448.84125000000012</v>
      </c>
      <c r="M14" s="104"/>
      <c r="O14" s="10">
        <v>1</v>
      </c>
      <c r="P14" s="466">
        <v>14</v>
      </c>
    </row>
    <row r="15" spans="1:16" s="10" customFormat="1" ht="18.899999999999999" customHeight="1">
      <c r="A15" s="178" t="s">
        <v>59</v>
      </c>
      <c r="B15" s="181" t="s">
        <v>184</v>
      </c>
      <c r="C15" s="98" t="s">
        <v>55</v>
      </c>
      <c r="D15" s="490">
        <v>0.3</v>
      </c>
      <c r="E15" s="491">
        <v>0.85</v>
      </c>
      <c r="F15" s="492"/>
      <c r="G15" s="493">
        <v>2.421875</v>
      </c>
      <c r="H15" s="492">
        <v>453.33</v>
      </c>
      <c r="I15" s="493">
        <f t="shared" ref="I15:I20" si="2">SUM(G15*H15)</f>
        <v>1097.9085937499999</v>
      </c>
      <c r="J15" s="493">
        <v>91</v>
      </c>
      <c r="K15" s="493">
        <f t="shared" si="1"/>
        <v>220.390625</v>
      </c>
      <c r="L15" s="494">
        <f t="shared" si="0"/>
        <v>1318.2992187499999</v>
      </c>
      <c r="M15" s="104"/>
      <c r="O15" s="10">
        <v>1</v>
      </c>
      <c r="P15" s="466">
        <v>0.5</v>
      </c>
    </row>
    <row r="16" spans="1:16" s="10" customFormat="1" ht="18.899999999999999" customHeight="1">
      <c r="A16" s="178" t="s">
        <v>60</v>
      </c>
      <c r="B16" s="181" t="s">
        <v>61</v>
      </c>
      <c r="C16" s="98" t="s">
        <v>55</v>
      </c>
      <c r="D16" s="490">
        <v>0.1</v>
      </c>
      <c r="E16" s="491">
        <v>0.85</v>
      </c>
      <c r="F16" s="492"/>
      <c r="G16" s="493">
        <v>1.9375</v>
      </c>
      <c r="H16" s="492">
        <v>2034</v>
      </c>
      <c r="I16" s="493">
        <f t="shared" si="2"/>
        <v>3940.875</v>
      </c>
      <c r="J16" s="493">
        <v>398</v>
      </c>
      <c r="K16" s="493">
        <f t="shared" si="1"/>
        <v>771.125</v>
      </c>
      <c r="L16" s="494">
        <f t="shared" si="0"/>
        <v>4712</v>
      </c>
      <c r="M16" s="104"/>
      <c r="O16" s="10">
        <v>1</v>
      </c>
      <c r="P16" s="466">
        <v>0.3</v>
      </c>
    </row>
    <row r="17" spans="1:16" s="10" customFormat="1" ht="18.899999999999999" customHeight="1">
      <c r="A17" s="178" t="s">
        <v>62</v>
      </c>
      <c r="B17" s="181" t="s">
        <v>94</v>
      </c>
      <c r="C17" s="98" t="s">
        <v>55</v>
      </c>
      <c r="D17" s="490">
        <v>0.05</v>
      </c>
      <c r="E17" s="491">
        <v>29</v>
      </c>
      <c r="F17" s="492"/>
      <c r="G17" s="493">
        <v>11.625</v>
      </c>
      <c r="H17" s="492">
        <v>2259</v>
      </c>
      <c r="I17" s="493">
        <f t="shared" si="2"/>
        <v>26260.875</v>
      </c>
      <c r="J17" s="493">
        <v>391</v>
      </c>
      <c r="K17" s="493">
        <f t="shared" si="1"/>
        <v>4545.375</v>
      </c>
      <c r="L17" s="494">
        <f t="shared" si="0"/>
        <v>30806.25</v>
      </c>
      <c r="M17" s="104"/>
      <c r="O17" s="10">
        <v>1</v>
      </c>
      <c r="P17" s="466">
        <v>2.5</v>
      </c>
    </row>
    <row r="18" spans="1:16" s="10" customFormat="1" ht="18.899999999999999" customHeight="1">
      <c r="A18" s="178" t="s">
        <v>63</v>
      </c>
      <c r="B18" s="181" t="s">
        <v>191</v>
      </c>
      <c r="C18" s="98" t="s">
        <v>64</v>
      </c>
      <c r="D18" s="490">
        <v>0</v>
      </c>
      <c r="E18" s="491">
        <v>423</v>
      </c>
      <c r="F18" s="492"/>
      <c r="G18" s="493">
        <v>25.62</v>
      </c>
      <c r="H18" s="492">
        <v>400</v>
      </c>
      <c r="I18" s="493">
        <f t="shared" si="2"/>
        <v>10248</v>
      </c>
      <c r="J18" s="493">
        <v>105</v>
      </c>
      <c r="K18" s="493">
        <f t="shared" si="1"/>
        <v>2690.1</v>
      </c>
      <c r="L18" s="494">
        <f t="shared" si="0"/>
        <v>12938.1</v>
      </c>
      <c r="M18" s="104"/>
      <c r="O18" s="10">
        <v>1</v>
      </c>
      <c r="P18" s="466">
        <v>19.899999999999999</v>
      </c>
    </row>
    <row r="19" spans="1:16" s="10" customFormat="1" ht="18.899999999999999" customHeight="1">
      <c r="A19" s="178" t="s">
        <v>65</v>
      </c>
      <c r="B19" s="495" t="s">
        <v>426</v>
      </c>
      <c r="C19" s="98" t="s">
        <v>64</v>
      </c>
      <c r="D19" s="496"/>
      <c r="E19" s="497"/>
      <c r="F19" s="498"/>
      <c r="G19" s="499">
        <v>36.6</v>
      </c>
      <c r="H19" s="498">
        <v>0</v>
      </c>
      <c r="I19" s="499">
        <f t="shared" si="2"/>
        <v>0</v>
      </c>
      <c r="J19" s="493">
        <v>105</v>
      </c>
      <c r="K19" s="493">
        <f>SUM(G19*J19)</f>
        <v>3843</v>
      </c>
      <c r="L19" s="494">
        <f>SUM(I19+K19)</f>
        <v>3843</v>
      </c>
      <c r="M19" s="104"/>
      <c r="P19" s="466"/>
    </row>
    <row r="20" spans="1:16" s="10" customFormat="1" ht="18.899999999999999" customHeight="1">
      <c r="A20" s="178" t="s">
        <v>70</v>
      </c>
      <c r="B20" s="181" t="s">
        <v>427</v>
      </c>
      <c r="C20" s="98" t="s">
        <v>64</v>
      </c>
      <c r="D20" s="490">
        <v>0</v>
      </c>
      <c r="E20" s="491">
        <v>423</v>
      </c>
      <c r="F20" s="492"/>
      <c r="G20" s="493">
        <f>G18*0.3</f>
        <v>7.6859999999999999</v>
      </c>
      <c r="H20" s="492">
        <v>400</v>
      </c>
      <c r="I20" s="493">
        <f t="shared" si="2"/>
        <v>3074.4</v>
      </c>
      <c r="J20" s="493">
        <v>0</v>
      </c>
      <c r="K20" s="493">
        <f>SUM(G20*J20)</f>
        <v>0</v>
      </c>
      <c r="L20" s="494">
        <f>SUM(I20+K20)</f>
        <v>3074.4</v>
      </c>
      <c r="M20" s="104"/>
      <c r="P20" s="466"/>
    </row>
    <row r="21" spans="1:16" s="10" customFormat="1" ht="18.899999999999999" customHeight="1">
      <c r="A21" s="178" t="s">
        <v>72</v>
      </c>
      <c r="B21" s="181" t="s">
        <v>66</v>
      </c>
      <c r="C21" s="98"/>
      <c r="D21" s="500"/>
      <c r="E21" s="492"/>
      <c r="F21" s="492"/>
      <c r="G21" s="493"/>
      <c r="H21" s="493"/>
      <c r="I21" s="493"/>
      <c r="J21" s="493"/>
      <c r="K21" s="493"/>
      <c r="L21" s="494"/>
      <c r="M21" s="104"/>
      <c r="O21" s="10">
        <v>1</v>
      </c>
      <c r="P21" s="466"/>
    </row>
    <row r="22" spans="1:16" s="10" customFormat="1" ht="18.899999999999999" customHeight="1">
      <c r="A22" s="182"/>
      <c r="B22" s="181" t="s">
        <v>161</v>
      </c>
      <c r="C22" s="98" t="s">
        <v>68</v>
      </c>
      <c r="D22" s="490">
        <v>0.11</v>
      </c>
      <c r="E22" s="491">
        <v>1174</v>
      </c>
      <c r="F22" s="492"/>
      <c r="G22" s="493">
        <v>1051.7418720000001</v>
      </c>
      <c r="H22" s="492">
        <v>17.100000000000001</v>
      </c>
      <c r="I22" s="493">
        <f>SUM(G22*H22)</f>
        <v>17984.786011200002</v>
      </c>
      <c r="J22" s="493">
        <v>3.3</v>
      </c>
      <c r="K22" s="493">
        <f>SUM(G22*J22)</f>
        <v>3470.7481776</v>
      </c>
      <c r="L22" s="494">
        <f>SUM(I22+K22)</f>
        <v>21455.5341888</v>
      </c>
      <c r="M22" s="104"/>
      <c r="O22" s="10">
        <v>1</v>
      </c>
      <c r="P22" s="466">
        <v>311</v>
      </c>
    </row>
    <row r="23" spans="1:16" s="10" customFormat="1" ht="18.899999999999999" customHeight="1">
      <c r="A23" s="178" t="s">
        <v>206</v>
      </c>
      <c r="B23" s="181" t="s">
        <v>71</v>
      </c>
      <c r="C23" s="98" t="s">
        <v>68</v>
      </c>
      <c r="D23" s="490">
        <v>0</v>
      </c>
      <c r="E23" s="492">
        <v>211</v>
      </c>
      <c r="F23" s="492"/>
      <c r="G23" s="493">
        <v>31.552256159999999</v>
      </c>
      <c r="H23" s="492">
        <v>21.11</v>
      </c>
      <c r="I23" s="493">
        <f>SUM(G23*H23)</f>
        <v>666.06812753759993</v>
      </c>
      <c r="J23" s="493">
        <v>0</v>
      </c>
      <c r="K23" s="493">
        <f>SUM(G23*J23)</f>
        <v>0</v>
      </c>
      <c r="L23" s="494">
        <f>SUM(I23+K23)</f>
        <v>666.06812753759993</v>
      </c>
      <c r="M23" s="104"/>
      <c r="O23" s="10">
        <v>1</v>
      </c>
      <c r="P23" s="466">
        <v>15</v>
      </c>
    </row>
    <row r="24" spans="1:16" s="10" customFormat="1" ht="18.899999999999999" customHeight="1">
      <c r="A24" s="178" t="s">
        <v>255</v>
      </c>
      <c r="B24" s="180" t="s">
        <v>73</v>
      </c>
      <c r="C24" s="98" t="s">
        <v>68</v>
      </c>
      <c r="D24" s="490">
        <v>0</v>
      </c>
      <c r="E24" s="492">
        <v>127</v>
      </c>
      <c r="F24" s="492"/>
      <c r="G24" s="493">
        <v>9.15</v>
      </c>
      <c r="H24" s="492">
        <v>23.7</v>
      </c>
      <c r="I24" s="493">
        <f>SUM(G24*H24)</f>
        <v>216.85499999999999</v>
      </c>
      <c r="J24" s="493">
        <v>0</v>
      </c>
      <c r="K24" s="493">
        <f>SUM(G24*J24)</f>
        <v>0</v>
      </c>
      <c r="L24" s="494">
        <f>SUM(I24+K24)</f>
        <v>216.85499999999999</v>
      </c>
      <c r="M24" s="104"/>
      <c r="O24" s="10">
        <v>1</v>
      </c>
      <c r="P24" s="466">
        <v>10</v>
      </c>
    </row>
    <row r="25" spans="1:16" s="10" customFormat="1" ht="18.899999999999999" customHeight="1" thickBot="1">
      <c r="A25" s="183"/>
      <c r="B25" s="184"/>
      <c r="C25" s="106"/>
      <c r="D25" s="501"/>
      <c r="E25" s="502"/>
      <c r="F25" s="503"/>
      <c r="G25" s="504"/>
      <c r="H25" s="504"/>
      <c r="I25" s="504"/>
      <c r="J25" s="504"/>
      <c r="K25" s="504"/>
      <c r="L25" s="505"/>
      <c r="M25" s="112" t="s">
        <v>34</v>
      </c>
      <c r="O25" s="10">
        <v>1</v>
      </c>
      <c r="P25" s="466"/>
    </row>
    <row r="26" spans="1:16" s="1" customFormat="1" ht="20.100000000000001" customHeight="1" thickTop="1">
      <c r="A26" s="134"/>
      <c r="B26" s="59"/>
      <c r="C26" s="59"/>
      <c r="D26" s="506"/>
      <c r="E26" s="507"/>
      <c r="F26" s="508"/>
      <c r="G26" s="509"/>
      <c r="H26" s="509"/>
      <c r="I26" s="509"/>
      <c r="J26" s="509"/>
      <c r="K26" s="509"/>
      <c r="L26" s="509"/>
      <c r="M26" s="63"/>
      <c r="O26" s="10">
        <v>1</v>
      </c>
      <c r="P26" s="468"/>
    </row>
    <row r="27" spans="1:16" s="1" customFormat="1" ht="20.100000000000001" customHeight="1">
      <c r="A27" s="71" t="s">
        <v>12</v>
      </c>
      <c r="B27" s="72" t="s">
        <v>428</v>
      </c>
      <c r="C27" s="73"/>
      <c r="D27" s="510"/>
      <c r="E27" s="511"/>
      <c r="F27" s="512"/>
      <c r="G27" s="513"/>
      <c r="H27" s="513"/>
      <c r="I27" s="513"/>
      <c r="J27" s="513"/>
      <c r="K27" s="513"/>
      <c r="L27" s="514"/>
      <c r="M27" s="119"/>
      <c r="O27" s="10">
        <v>1</v>
      </c>
      <c r="P27" s="468"/>
    </row>
    <row r="28" spans="1:16" s="10" customFormat="1" ht="18.899999999999999" customHeight="1">
      <c r="A28" s="178" t="s">
        <v>75</v>
      </c>
      <c r="B28" s="181" t="s">
        <v>212</v>
      </c>
      <c r="C28" s="98" t="s">
        <v>55</v>
      </c>
      <c r="D28" s="490">
        <v>0</v>
      </c>
      <c r="E28" s="491">
        <v>0</v>
      </c>
      <c r="F28" s="492"/>
      <c r="G28" s="493">
        <v>15.024100000000001</v>
      </c>
      <c r="H28" s="492">
        <v>0</v>
      </c>
      <c r="I28" s="493">
        <f t="shared" ref="I28:I35" si="3">SUM(G28*H28)</f>
        <v>0</v>
      </c>
      <c r="J28" s="493">
        <v>125</v>
      </c>
      <c r="K28" s="493">
        <f t="shared" ref="K28:K33" si="4">SUM(G28*J28)</f>
        <v>1878.0125</v>
      </c>
      <c r="L28" s="494">
        <f t="shared" ref="L28:L33" si="5">SUM(I28+K28)</f>
        <v>1878.0125</v>
      </c>
      <c r="M28" s="104" t="s">
        <v>34</v>
      </c>
      <c r="O28" s="10">
        <v>1</v>
      </c>
      <c r="P28" s="466">
        <v>10</v>
      </c>
    </row>
    <row r="29" spans="1:16" s="10" customFormat="1" ht="18.899999999999999" customHeight="1">
      <c r="A29" s="178" t="s">
        <v>76</v>
      </c>
      <c r="B29" s="181" t="s">
        <v>78</v>
      </c>
      <c r="C29" s="98" t="s">
        <v>55</v>
      </c>
      <c r="D29" s="490">
        <v>0.3</v>
      </c>
      <c r="E29" s="491">
        <v>21.7</v>
      </c>
      <c r="F29" s="492"/>
      <c r="G29" s="493">
        <v>1.641375</v>
      </c>
      <c r="H29" s="492">
        <v>453.33</v>
      </c>
      <c r="I29" s="493">
        <f t="shared" si="3"/>
        <v>744.08452875</v>
      </c>
      <c r="J29" s="493">
        <v>91</v>
      </c>
      <c r="K29" s="493">
        <f t="shared" si="4"/>
        <v>149.36512500000001</v>
      </c>
      <c r="L29" s="494">
        <f t="shared" si="5"/>
        <v>893.44965375000004</v>
      </c>
      <c r="M29" s="104"/>
      <c r="O29" s="10">
        <v>1</v>
      </c>
      <c r="P29" s="466">
        <v>13</v>
      </c>
    </row>
    <row r="30" spans="1:16" s="10" customFormat="1" ht="18.899999999999999" customHeight="1">
      <c r="A30" s="178" t="s">
        <v>77</v>
      </c>
      <c r="B30" s="180" t="s">
        <v>429</v>
      </c>
      <c r="C30" s="98" t="s">
        <v>64</v>
      </c>
      <c r="D30" s="490">
        <v>0.15</v>
      </c>
      <c r="E30" s="491">
        <v>217</v>
      </c>
      <c r="F30" s="492"/>
      <c r="G30" s="493">
        <v>1.0481</v>
      </c>
      <c r="H30" s="492">
        <v>2034</v>
      </c>
      <c r="I30" s="493">
        <f t="shared" si="3"/>
        <v>2131.8353999999999</v>
      </c>
      <c r="J30" s="493">
        <v>398</v>
      </c>
      <c r="K30" s="493">
        <f t="shared" si="4"/>
        <v>417.1438</v>
      </c>
      <c r="L30" s="494">
        <f t="shared" si="5"/>
        <v>2548.9791999999998</v>
      </c>
      <c r="M30" s="104"/>
      <c r="O30" s="10">
        <v>1</v>
      </c>
      <c r="P30" s="466">
        <v>40</v>
      </c>
    </row>
    <row r="31" spans="1:16" s="10" customFormat="1" ht="18.899999999999999" customHeight="1">
      <c r="A31" s="178" t="s">
        <v>79</v>
      </c>
      <c r="B31" s="181" t="s">
        <v>94</v>
      </c>
      <c r="C31" s="98" t="s">
        <v>55</v>
      </c>
      <c r="D31" s="490">
        <v>0.05</v>
      </c>
      <c r="E31" s="491">
        <v>46</v>
      </c>
      <c r="F31" s="492"/>
      <c r="G31" s="493">
        <v>34.588999999999999</v>
      </c>
      <c r="H31" s="492">
        <v>2259</v>
      </c>
      <c r="I31" s="493">
        <f t="shared" si="3"/>
        <v>78136.550999999992</v>
      </c>
      <c r="J31" s="493">
        <v>391</v>
      </c>
      <c r="K31" s="493">
        <f t="shared" si="4"/>
        <v>13524.298999999999</v>
      </c>
      <c r="L31" s="494">
        <f t="shared" si="5"/>
        <v>91660.849999999991</v>
      </c>
      <c r="M31" s="104"/>
      <c r="O31" s="10">
        <v>1</v>
      </c>
      <c r="P31" s="466">
        <v>20</v>
      </c>
    </row>
    <row r="32" spans="1:16" s="10" customFormat="1" ht="18.899999999999999" customHeight="1">
      <c r="A32" s="178" t="s">
        <v>80</v>
      </c>
      <c r="B32" s="181" t="s">
        <v>430</v>
      </c>
      <c r="C32" s="98" t="s">
        <v>55</v>
      </c>
      <c r="D32" s="490"/>
      <c r="E32" s="491"/>
      <c r="F32" s="492"/>
      <c r="G32" s="493">
        <v>12.682499999999999</v>
      </c>
      <c r="H32" s="492">
        <v>2417</v>
      </c>
      <c r="I32" s="493">
        <f t="shared" si="3"/>
        <v>30653.602499999997</v>
      </c>
      <c r="J32" s="493">
        <v>391</v>
      </c>
      <c r="K32" s="493">
        <f t="shared" si="4"/>
        <v>4958.8575000000001</v>
      </c>
      <c r="L32" s="494">
        <f t="shared" si="5"/>
        <v>35612.46</v>
      </c>
      <c r="M32" s="104"/>
      <c r="P32" s="466"/>
    </row>
    <row r="33" spans="1:16" s="10" customFormat="1" ht="18.899999999999999" customHeight="1">
      <c r="A33" s="178" t="s">
        <v>81</v>
      </c>
      <c r="B33" s="181" t="s">
        <v>191</v>
      </c>
      <c r="C33" s="98" t="s">
        <v>64</v>
      </c>
      <c r="D33" s="490">
        <v>0</v>
      </c>
      <c r="E33" s="491">
        <v>197</v>
      </c>
      <c r="F33" s="492"/>
      <c r="G33" s="493">
        <v>436.64249999999993</v>
      </c>
      <c r="H33" s="492">
        <v>400</v>
      </c>
      <c r="I33" s="493">
        <f t="shared" si="3"/>
        <v>174656.99999999997</v>
      </c>
      <c r="J33" s="493">
        <v>0</v>
      </c>
      <c r="K33" s="493">
        <f t="shared" si="4"/>
        <v>0</v>
      </c>
      <c r="L33" s="494">
        <f t="shared" si="5"/>
        <v>174656.99999999997</v>
      </c>
      <c r="M33" s="104"/>
      <c r="O33" s="10">
        <v>1</v>
      </c>
      <c r="P33" s="466">
        <v>138.5</v>
      </c>
    </row>
    <row r="34" spans="1:16" s="10" customFormat="1" ht="18.899999999999999" customHeight="1">
      <c r="A34" s="178" t="s">
        <v>82</v>
      </c>
      <c r="B34" s="495" t="s">
        <v>426</v>
      </c>
      <c r="C34" s="98" t="s">
        <v>64</v>
      </c>
      <c r="D34" s="496"/>
      <c r="E34" s="497"/>
      <c r="F34" s="498"/>
      <c r="G34" s="499">
        <v>623.77499999999998</v>
      </c>
      <c r="H34" s="498">
        <v>0</v>
      </c>
      <c r="I34" s="499">
        <f t="shared" si="3"/>
        <v>0</v>
      </c>
      <c r="J34" s="493">
        <v>105</v>
      </c>
      <c r="K34" s="493">
        <f>SUM(G34*J34)</f>
        <v>65496.375</v>
      </c>
      <c r="L34" s="494">
        <f>SUM(I34+K34)</f>
        <v>65496.375</v>
      </c>
      <c r="M34" s="218"/>
      <c r="P34" s="466"/>
    </row>
    <row r="35" spans="1:16" s="10" customFormat="1" ht="18.899999999999999" customHeight="1">
      <c r="A35" s="226" t="s">
        <v>83</v>
      </c>
      <c r="B35" s="181" t="s">
        <v>427</v>
      </c>
      <c r="C35" s="98" t="s">
        <v>64</v>
      </c>
      <c r="D35" s="490">
        <v>0</v>
      </c>
      <c r="E35" s="491">
        <v>423</v>
      </c>
      <c r="F35" s="492"/>
      <c r="G35" s="493">
        <f>G33*0.3</f>
        <v>130.99274999999997</v>
      </c>
      <c r="H35" s="492">
        <v>400</v>
      </c>
      <c r="I35" s="493">
        <f t="shared" si="3"/>
        <v>52397.099999999991</v>
      </c>
      <c r="J35" s="493">
        <v>0</v>
      </c>
      <c r="K35" s="493">
        <f>SUM(G35*J35)</f>
        <v>0</v>
      </c>
      <c r="L35" s="494">
        <f>SUM(I35+K35)</f>
        <v>52397.099999999991</v>
      </c>
      <c r="M35" s="218"/>
      <c r="P35" s="466"/>
    </row>
    <row r="36" spans="1:16" s="10" customFormat="1" ht="18.899999999999999" customHeight="1">
      <c r="A36" s="226" t="s">
        <v>84</v>
      </c>
      <c r="B36" s="187" t="s">
        <v>66</v>
      </c>
      <c r="C36" s="188"/>
      <c r="D36" s="515"/>
      <c r="E36" s="516"/>
      <c r="F36" s="516"/>
      <c r="G36" s="517"/>
      <c r="H36" s="517"/>
      <c r="I36" s="517"/>
      <c r="J36" s="517"/>
      <c r="K36" s="517"/>
      <c r="L36" s="518"/>
      <c r="M36" s="189"/>
      <c r="O36" s="10">
        <v>1</v>
      </c>
      <c r="P36" s="466"/>
    </row>
    <row r="37" spans="1:16" s="10" customFormat="1" ht="18.899999999999999" customHeight="1">
      <c r="A37" s="190"/>
      <c r="B37" s="191" t="s">
        <v>67</v>
      </c>
      <c r="C37" s="192" t="s">
        <v>68</v>
      </c>
      <c r="D37" s="519">
        <v>0.09</v>
      </c>
      <c r="E37" s="520">
        <v>473</v>
      </c>
      <c r="F37" s="521"/>
      <c r="G37" s="493">
        <v>1001.0036610000001</v>
      </c>
      <c r="H37" s="521">
        <v>18.37</v>
      </c>
      <c r="I37" s="522">
        <f>SUM(G37*H37)</f>
        <v>18388.437252570002</v>
      </c>
      <c r="J37" s="522">
        <v>4.0999999999999996</v>
      </c>
      <c r="K37" s="522">
        <f>SUM(G37*J37)</f>
        <v>4104.1150101000003</v>
      </c>
      <c r="L37" s="523">
        <f>SUM(I37+K37)</f>
        <v>22492.552262670004</v>
      </c>
      <c r="M37" s="198"/>
      <c r="O37" s="10">
        <v>1</v>
      </c>
      <c r="P37" s="466">
        <v>20</v>
      </c>
    </row>
    <row r="38" spans="1:16" s="10" customFormat="1" ht="18.899999999999999" customHeight="1">
      <c r="A38" s="182"/>
      <c r="B38" s="181" t="s">
        <v>69</v>
      </c>
      <c r="C38" s="98" t="s">
        <v>68</v>
      </c>
      <c r="D38" s="490">
        <v>0.1</v>
      </c>
      <c r="E38" s="491">
        <v>199</v>
      </c>
      <c r="F38" s="492"/>
      <c r="G38" s="493">
        <v>1675.2160536000001</v>
      </c>
      <c r="H38" s="492">
        <v>17.54</v>
      </c>
      <c r="I38" s="493">
        <f>SUM(G38*H38)</f>
        <v>29383.289580143999</v>
      </c>
      <c r="J38" s="493">
        <v>4.0999999999999996</v>
      </c>
      <c r="K38" s="493">
        <f>SUM(G38*J38)</f>
        <v>6868.3858197600002</v>
      </c>
      <c r="L38" s="494">
        <f>SUM(I38+K38)</f>
        <v>36251.675399904001</v>
      </c>
      <c r="M38" s="104"/>
      <c r="O38" s="10">
        <v>1</v>
      </c>
      <c r="P38" s="466">
        <v>1098</v>
      </c>
    </row>
    <row r="39" spans="1:16" s="10" customFormat="1" ht="18.899999999999999" customHeight="1">
      <c r="A39" s="182"/>
      <c r="B39" s="181" t="s">
        <v>161</v>
      </c>
      <c r="C39" s="98" t="s">
        <v>68</v>
      </c>
      <c r="D39" s="490">
        <v>0.11</v>
      </c>
      <c r="E39" s="491">
        <v>257</v>
      </c>
      <c r="F39" s="492"/>
      <c r="G39" s="493">
        <v>3655.6281570000001</v>
      </c>
      <c r="H39" s="492">
        <v>17.100000000000001</v>
      </c>
      <c r="I39" s="493">
        <f>SUM(G39*H39)</f>
        <v>62511.241484700004</v>
      </c>
      <c r="J39" s="493">
        <v>3.3</v>
      </c>
      <c r="K39" s="493">
        <f>SUM(G39*J39)</f>
        <v>12063.572918099999</v>
      </c>
      <c r="L39" s="494">
        <f>SUM(I39+K39)</f>
        <v>74574.814402799995</v>
      </c>
      <c r="M39" s="104"/>
      <c r="O39" s="10">
        <v>1</v>
      </c>
      <c r="P39" s="466">
        <v>586</v>
      </c>
    </row>
    <row r="40" spans="1:16" s="10" customFormat="1" ht="18.899999999999999" customHeight="1">
      <c r="A40" s="178" t="s">
        <v>85</v>
      </c>
      <c r="B40" s="181" t="s">
        <v>71</v>
      </c>
      <c r="C40" s="98" t="s">
        <v>68</v>
      </c>
      <c r="D40" s="490">
        <v>0</v>
      </c>
      <c r="E40" s="492">
        <v>89</v>
      </c>
      <c r="F40" s="492"/>
      <c r="G40" s="493">
        <v>189.75217294800004</v>
      </c>
      <c r="H40" s="492">
        <v>21.11</v>
      </c>
      <c r="I40" s="493">
        <f>SUM(G40*H40)</f>
        <v>4005.6683709322806</v>
      </c>
      <c r="J40" s="493">
        <v>0</v>
      </c>
      <c r="K40" s="493">
        <f>SUM(G40*J40)</f>
        <v>0</v>
      </c>
      <c r="L40" s="494">
        <f>SUM(I40+K40)</f>
        <v>4005.6683709322806</v>
      </c>
      <c r="M40" s="104"/>
      <c r="O40" s="10">
        <v>1</v>
      </c>
      <c r="P40" s="466">
        <v>60</v>
      </c>
    </row>
    <row r="41" spans="1:16" s="10" customFormat="1" ht="18.899999999999999" customHeight="1">
      <c r="A41" s="178" t="s">
        <v>431</v>
      </c>
      <c r="B41" s="180" t="s">
        <v>73</v>
      </c>
      <c r="C41" s="98" t="s">
        <v>68</v>
      </c>
      <c r="D41" s="490">
        <v>0</v>
      </c>
      <c r="E41" s="492">
        <v>59</v>
      </c>
      <c r="F41" s="492"/>
      <c r="G41" s="493">
        <v>155.94374999999999</v>
      </c>
      <c r="H41" s="492">
        <v>23.7</v>
      </c>
      <c r="I41" s="493">
        <f>SUM(G41*H41)</f>
        <v>3695.8668749999997</v>
      </c>
      <c r="J41" s="493">
        <v>0</v>
      </c>
      <c r="K41" s="493">
        <f>SUM(G41*J41)</f>
        <v>0</v>
      </c>
      <c r="L41" s="494">
        <f>SUM(I41+K41)</f>
        <v>3695.8668749999997</v>
      </c>
      <c r="M41" s="104"/>
      <c r="O41" s="10">
        <v>1</v>
      </c>
      <c r="P41" s="466">
        <v>55</v>
      </c>
    </row>
    <row r="42" spans="1:16" s="10" customFormat="1" ht="18.899999999999999" customHeight="1">
      <c r="A42" s="178" t="s">
        <v>432</v>
      </c>
      <c r="B42" s="179" t="s">
        <v>158</v>
      </c>
      <c r="C42" s="98"/>
      <c r="D42" s="490"/>
      <c r="E42" s="491"/>
      <c r="F42" s="492"/>
      <c r="G42" s="493"/>
      <c r="H42" s="493"/>
      <c r="I42" s="493"/>
      <c r="J42" s="493"/>
      <c r="K42" s="493"/>
      <c r="L42" s="494"/>
      <c r="M42" s="104"/>
      <c r="O42" s="10">
        <v>1</v>
      </c>
      <c r="P42" s="466"/>
    </row>
    <row r="43" spans="1:16" s="10" customFormat="1" ht="35.1" customHeight="1">
      <c r="A43" s="182"/>
      <c r="B43" s="185" t="s">
        <v>186</v>
      </c>
      <c r="C43" s="98" t="s">
        <v>64</v>
      </c>
      <c r="D43" s="490">
        <v>0</v>
      </c>
      <c r="E43" s="491">
        <v>108</v>
      </c>
      <c r="F43" s="492"/>
      <c r="G43" s="493">
        <v>138.30000000000001</v>
      </c>
      <c r="H43" s="492">
        <v>220</v>
      </c>
      <c r="I43" s="493">
        <f>SUM(G43*H43)</f>
        <v>30426.000000000004</v>
      </c>
      <c r="J43" s="493">
        <v>60</v>
      </c>
      <c r="K43" s="493">
        <f>SUM(G43*J43)</f>
        <v>8298</v>
      </c>
      <c r="L43" s="494">
        <f>SUM(I43+K43)</f>
        <v>38724</v>
      </c>
      <c r="M43" s="104"/>
      <c r="O43" s="10">
        <v>1</v>
      </c>
      <c r="P43" s="466">
        <v>40</v>
      </c>
    </row>
    <row r="44" spans="1:16" s="10" customFormat="1" ht="18.899999999999999" customHeight="1">
      <c r="A44" s="182"/>
      <c r="B44" s="186" t="s">
        <v>160</v>
      </c>
      <c r="C44" s="98" t="s">
        <v>55</v>
      </c>
      <c r="D44" s="490">
        <v>0.05</v>
      </c>
      <c r="E44" s="491">
        <f>+E43*0.05</f>
        <v>5.4</v>
      </c>
      <c r="F44" s="492"/>
      <c r="G44" s="493">
        <v>6.9150000000000009</v>
      </c>
      <c r="H44" s="492">
        <v>2259</v>
      </c>
      <c r="I44" s="493">
        <f>SUM(G44*H44)</f>
        <v>15620.985000000002</v>
      </c>
      <c r="J44" s="493">
        <v>391</v>
      </c>
      <c r="K44" s="493">
        <f>SUM(G44*J44)</f>
        <v>2703.7650000000003</v>
      </c>
      <c r="L44" s="494">
        <f>SUM(I44+K44)</f>
        <v>18324.750000000004</v>
      </c>
      <c r="M44" s="104"/>
      <c r="O44" s="10">
        <v>1</v>
      </c>
      <c r="P44" s="466">
        <v>2</v>
      </c>
    </row>
    <row r="45" spans="1:16" s="10" customFormat="1" ht="18.899999999999999" customHeight="1">
      <c r="A45" s="182"/>
      <c r="B45" s="181" t="s">
        <v>433</v>
      </c>
      <c r="C45" s="98" t="s">
        <v>68</v>
      </c>
      <c r="D45" s="490">
        <v>0.09</v>
      </c>
      <c r="E45" s="491">
        <v>473</v>
      </c>
      <c r="F45" s="492"/>
      <c r="G45" s="493">
        <v>386.8527600000001</v>
      </c>
      <c r="H45" s="492">
        <v>18.37</v>
      </c>
      <c r="I45" s="493">
        <f>SUM(G45*H45)</f>
        <v>7106.4852012000019</v>
      </c>
      <c r="J45" s="493">
        <v>4.0999999999999996</v>
      </c>
      <c r="K45" s="493">
        <f>SUM(G45*J45)</f>
        <v>1586.0963160000003</v>
      </c>
      <c r="L45" s="494">
        <f>SUM(I45+K45)</f>
        <v>8692.5815172000021</v>
      </c>
      <c r="M45" s="104"/>
      <c r="O45" s="10">
        <v>1</v>
      </c>
      <c r="P45" s="466">
        <v>105</v>
      </c>
    </row>
    <row r="46" spans="1:16" s="10" customFormat="1" ht="18.899999999999999" customHeight="1">
      <c r="A46" s="182"/>
      <c r="B46" s="185" t="s">
        <v>190</v>
      </c>
      <c r="C46" s="98" t="s">
        <v>68</v>
      </c>
      <c r="D46" s="490">
        <v>0.09</v>
      </c>
      <c r="E46" s="491">
        <v>0</v>
      </c>
      <c r="F46" s="492"/>
      <c r="G46" s="493">
        <v>29.537007600000006</v>
      </c>
      <c r="H46" s="492">
        <v>17.54</v>
      </c>
      <c r="I46" s="493">
        <f>SUM(G46*H46)</f>
        <v>518.07911330400009</v>
      </c>
      <c r="J46" s="493">
        <v>4.0999999999999996</v>
      </c>
      <c r="K46" s="493">
        <f>SUM(G46*J46)</f>
        <v>121.10173116000001</v>
      </c>
      <c r="L46" s="494">
        <f>SUM(I46+K46)</f>
        <v>639.18084446400007</v>
      </c>
      <c r="M46" s="104"/>
      <c r="O46" s="10">
        <v>1</v>
      </c>
      <c r="P46" s="466">
        <v>10</v>
      </c>
    </row>
    <row r="47" spans="1:16" s="10" customFormat="1" ht="18.899999999999999" customHeight="1">
      <c r="A47" s="178" t="s">
        <v>434</v>
      </c>
      <c r="B47" s="180" t="s">
        <v>86</v>
      </c>
      <c r="C47" s="98" t="s">
        <v>64</v>
      </c>
      <c r="D47" s="490">
        <v>0</v>
      </c>
      <c r="E47" s="491">
        <v>310</v>
      </c>
      <c r="F47" s="492"/>
      <c r="G47" s="493">
        <v>175</v>
      </c>
      <c r="H47" s="492">
        <v>120</v>
      </c>
      <c r="I47" s="493">
        <f>SUM(G47*H47)</f>
        <v>21000</v>
      </c>
      <c r="J47" s="493">
        <v>0</v>
      </c>
      <c r="K47" s="493">
        <f>SUM(G47*J47)</f>
        <v>0</v>
      </c>
      <c r="L47" s="494">
        <f>SUM(I47+K47)</f>
        <v>21000</v>
      </c>
      <c r="M47" s="104"/>
      <c r="O47" s="10">
        <v>1</v>
      </c>
      <c r="P47" s="466">
        <v>112</v>
      </c>
    </row>
    <row r="48" spans="1:16" s="10" customFormat="1" ht="18.899999999999999" customHeight="1" thickBot="1">
      <c r="A48" s="183"/>
      <c r="B48" s="105"/>
      <c r="C48" s="106"/>
      <c r="D48" s="501"/>
      <c r="E48" s="502"/>
      <c r="F48" s="503"/>
      <c r="G48" s="504"/>
      <c r="H48" s="504"/>
      <c r="I48" s="504"/>
      <c r="J48" s="504"/>
      <c r="K48" s="504"/>
      <c r="L48" s="505"/>
      <c r="M48" s="112"/>
      <c r="O48" s="10">
        <v>1</v>
      </c>
      <c r="P48" s="466"/>
    </row>
    <row r="49" spans="1:16" s="10" customFormat="1" ht="20.100000000000001" customHeight="1" thickTop="1" thickBot="1">
      <c r="A49" s="183"/>
      <c r="B49" s="105"/>
      <c r="C49" s="106"/>
      <c r="D49" s="501"/>
      <c r="E49" s="502"/>
      <c r="F49" s="503"/>
      <c r="G49" s="504"/>
      <c r="H49" s="504"/>
      <c r="I49" s="504"/>
      <c r="J49" s="504"/>
      <c r="K49" s="504"/>
      <c r="L49" s="505"/>
      <c r="M49" s="112"/>
      <c r="O49" s="10">
        <v>1</v>
      </c>
      <c r="P49" s="466"/>
    </row>
    <row r="50" spans="1:16" s="1" customFormat="1" ht="18.899999999999999" customHeight="1" thickTop="1">
      <c r="A50" s="134" t="s">
        <v>13</v>
      </c>
      <c r="B50" s="153" t="s">
        <v>192</v>
      </c>
      <c r="C50" s="59"/>
      <c r="D50" s="506"/>
      <c r="E50" s="507"/>
      <c r="F50" s="508"/>
      <c r="G50" s="509"/>
      <c r="H50" s="509"/>
      <c r="I50" s="509"/>
      <c r="J50" s="509"/>
      <c r="K50" s="509"/>
      <c r="L50" s="524"/>
      <c r="M50" s="63"/>
      <c r="O50" s="10">
        <v>1</v>
      </c>
      <c r="P50" s="468"/>
    </row>
    <row r="51" spans="1:16" s="10" customFormat="1" ht="18.899999999999999" customHeight="1">
      <c r="A51" s="178" t="s">
        <v>87</v>
      </c>
      <c r="B51" s="181" t="s">
        <v>94</v>
      </c>
      <c r="C51" s="98" t="s">
        <v>55</v>
      </c>
      <c r="D51" s="490">
        <v>0.05</v>
      </c>
      <c r="E51" s="491">
        <v>9.73</v>
      </c>
      <c r="F51" s="492"/>
      <c r="G51" s="493">
        <v>4.2240000000000002</v>
      </c>
      <c r="H51" s="492">
        <v>2259</v>
      </c>
      <c r="I51" s="493">
        <f>SUM(G51*H51)</f>
        <v>9542.0159999999996</v>
      </c>
      <c r="J51" s="493">
        <v>391</v>
      </c>
      <c r="K51" s="493">
        <f>SUM(G51*J51)</f>
        <v>1651.5840000000001</v>
      </c>
      <c r="L51" s="494">
        <f>SUM(I51+K51)</f>
        <v>11193.6</v>
      </c>
      <c r="M51" s="104"/>
      <c r="O51" s="10">
        <v>1</v>
      </c>
      <c r="P51" s="466">
        <v>10</v>
      </c>
    </row>
    <row r="52" spans="1:16" s="10" customFormat="1" ht="18.899999999999999" customHeight="1">
      <c r="A52" s="178" t="s">
        <v>88</v>
      </c>
      <c r="B52" s="181" t="s">
        <v>191</v>
      </c>
      <c r="C52" s="98" t="s">
        <v>64</v>
      </c>
      <c r="D52" s="490">
        <v>0</v>
      </c>
      <c r="E52" s="491">
        <v>197</v>
      </c>
      <c r="F52" s="492"/>
      <c r="G52" s="493">
        <v>36.959999999999994</v>
      </c>
      <c r="H52" s="492">
        <v>400</v>
      </c>
      <c r="I52" s="493">
        <f>SUM(G52*H52)</f>
        <v>14783.999999999998</v>
      </c>
      <c r="J52" s="493">
        <v>0</v>
      </c>
      <c r="K52" s="493">
        <f>SUM(G52*J52)</f>
        <v>0</v>
      </c>
      <c r="L52" s="494">
        <f>SUM(I52+K52)</f>
        <v>14783.999999999998</v>
      </c>
      <c r="M52" s="104"/>
      <c r="O52" s="10">
        <v>1</v>
      </c>
      <c r="P52" s="466">
        <v>91.5</v>
      </c>
    </row>
    <row r="53" spans="1:16" s="10" customFormat="1" ht="18.899999999999999" customHeight="1">
      <c r="A53" s="178" t="s">
        <v>89</v>
      </c>
      <c r="B53" s="495" t="s">
        <v>426</v>
      </c>
      <c r="C53" s="98" t="s">
        <v>64</v>
      </c>
      <c r="D53" s="496"/>
      <c r="E53" s="497"/>
      <c r="F53" s="498"/>
      <c r="G53" s="499">
        <v>52.8</v>
      </c>
      <c r="H53" s="498">
        <v>0</v>
      </c>
      <c r="I53" s="499">
        <f>SUM(G53*H53)</f>
        <v>0</v>
      </c>
      <c r="J53" s="493">
        <v>105</v>
      </c>
      <c r="K53" s="493">
        <f>SUM(G53*J53)</f>
        <v>5544</v>
      </c>
      <c r="L53" s="494">
        <f>SUM(I53+K53)</f>
        <v>5544</v>
      </c>
      <c r="M53" s="104"/>
      <c r="P53" s="466"/>
    </row>
    <row r="54" spans="1:16" s="10" customFormat="1" ht="18.899999999999999" customHeight="1">
      <c r="A54" s="178" t="s">
        <v>90</v>
      </c>
      <c r="B54" s="181" t="s">
        <v>427</v>
      </c>
      <c r="C54" s="98" t="s">
        <v>64</v>
      </c>
      <c r="D54" s="490">
        <v>0</v>
      </c>
      <c r="E54" s="491">
        <v>423</v>
      </c>
      <c r="F54" s="492"/>
      <c r="G54" s="493">
        <f>G52*0.3</f>
        <v>11.087999999999997</v>
      </c>
      <c r="H54" s="492">
        <v>400</v>
      </c>
      <c r="I54" s="493">
        <f>SUM(G54*H54)</f>
        <v>4435.1999999999989</v>
      </c>
      <c r="J54" s="493">
        <v>0</v>
      </c>
      <c r="K54" s="493">
        <f>SUM(G54*J54)</f>
        <v>0</v>
      </c>
      <c r="L54" s="494">
        <f>SUM(I54+K54)</f>
        <v>4435.1999999999989</v>
      </c>
      <c r="M54" s="104"/>
      <c r="P54" s="466"/>
    </row>
    <row r="55" spans="1:16" s="10" customFormat="1" ht="18.899999999999999" customHeight="1">
      <c r="A55" s="178" t="s">
        <v>91</v>
      </c>
      <c r="B55" s="181" t="s">
        <v>66</v>
      </c>
      <c r="C55" s="98"/>
      <c r="D55" s="500"/>
      <c r="E55" s="492"/>
      <c r="F55" s="492"/>
      <c r="G55" s="493"/>
      <c r="H55" s="493"/>
      <c r="I55" s="493"/>
      <c r="J55" s="493"/>
      <c r="K55" s="493"/>
      <c r="L55" s="494"/>
      <c r="M55" s="104"/>
      <c r="O55" s="10">
        <v>1</v>
      </c>
      <c r="P55" s="466"/>
    </row>
    <row r="56" spans="1:16" s="10" customFormat="1" ht="18.899999999999999" customHeight="1">
      <c r="A56" s="182"/>
      <c r="B56" s="181" t="s">
        <v>67</v>
      </c>
      <c r="C56" s="98" t="s">
        <v>68</v>
      </c>
      <c r="D56" s="490">
        <v>0.09</v>
      </c>
      <c r="E56" s="491">
        <v>494.03899999999999</v>
      </c>
      <c r="F56" s="492"/>
      <c r="G56" s="493">
        <v>88.615296000000001</v>
      </c>
      <c r="H56" s="492">
        <v>18.37</v>
      </c>
      <c r="I56" s="493">
        <f>SUM(G56*H56)</f>
        <v>1627.8629875200002</v>
      </c>
      <c r="J56" s="493">
        <v>4.0999999999999996</v>
      </c>
      <c r="K56" s="493">
        <f>SUM(G56*J56)</f>
        <v>363.32271359999999</v>
      </c>
      <c r="L56" s="494">
        <f>SUM(I56+K56)</f>
        <v>1991.1857011200002</v>
      </c>
      <c r="M56" s="104"/>
      <c r="O56" s="10">
        <v>1</v>
      </c>
      <c r="P56" s="466">
        <v>20</v>
      </c>
    </row>
    <row r="57" spans="1:16" s="10" customFormat="1" ht="18.899999999999999" customHeight="1">
      <c r="A57" s="182"/>
      <c r="B57" s="181" t="s">
        <v>161</v>
      </c>
      <c r="C57" s="98" t="s">
        <v>68</v>
      </c>
      <c r="D57" s="490">
        <v>0.11</v>
      </c>
      <c r="E57" s="491">
        <v>1092.24</v>
      </c>
      <c r="F57" s="492"/>
      <c r="G57" s="493">
        <v>306.63705600000003</v>
      </c>
      <c r="H57" s="492">
        <v>17.100000000000001</v>
      </c>
      <c r="I57" s="493">
        <f>SUM(G57*H57)</f>
        <v>5243.4936576000009</v>
      </c>
      <c r="J57" s="493">
        <v>3.3</v>
      </c>
      <c r="K57" s="493">
        <f>SUM(G57*J57)</f>
        <v>1011.9022848000001</v>
      </c>
      <c r="L57" s="494">
        <f>SUM(I57+K57)</f>
        <v>6255.3959424000013</v>
      </c>
      <c r="M57" s="104"/>
      <c r="O57" s="10">
        <v>1</v>
      </c>
      <c r="P57" s="466">
        <v>373</v>
      </c>
    </row>
    <row r="58" spans="1:16" s="10" customFormat="1" ht="18.899999999999999" customHeight="1">
      <c r="A58" s="178" t="s">
        <v>92</v>
      </c>
      <c r="B58" s="181" t="s">
        <v>71</v>
      </c>
      <c r="C58" s="98" t="s">
        <v>68</v>
      </c>
      <c r="D58" s="490">
        <v>0</v>
      </c>
      <c r="E58" s="492">
        <v>54.274999999999999</v>
      </c>
      <c r="F58" s="492"/>
      <c r="G58" s="493">
        <v>11.857570560000001</v>
      </c>
      <c r="H58" s="492">
        <v>21.1</v>
      </c>
      <c r="I58" s="493">
        <f>SUM(G58*H58)</f>
        <v>250.19473881600004</v>
      </c>
      <c r="J58" s="493">
        <v>0</v>
      </c>
      <c r="K58" s="493">
        <f>SUM(G58*J58)</f>
        <v>0</v>
      </c>
      <c r="L58" s="494">
        <f>SUM(I58+K58)</f>
        <v>250.19473881600004</v>
      </c>
      <c r="M58" s="104" t="s">
        <v>34</v>
      </c>
      <c r="O58" s="10">
        <v>1</v>
      </c>
      <c r="P58" s="466">
        <v>27</v>
      </c>
    </row>
    <row r="59" spans="1:16" s="10" customFormat="1" ht="18.899999999999999" customHeight="1">
      <c r="A59" s="178" t="s">
        <v>256</v>
      </c>
      <c r="B59" s="180" t="s">
        <v>73</v>
      </c>
      <c r="C59" s="98" t="s">
        <v>68</v>
      </c>
      <c r="D59" s="490">
        <v>0</v>
      </c>
      <c r="E59" s="492">
        <v>64.596000000000004</v>
      </c>
      <c r="F59" s="492"/>
      <c r="G59" s="493">
        <v>13.2</v>
      </c>
      <c r="H59" s="492">
        <v>23.7</v>
      </c>
      <c r="I59" s="493">
        <f>SUM(G59*H59)</f>
        <v>312.83999999999997</v>
      </c>
      <c r="J59" s="493">
        <v>0</v>
      </c>
      <c r="K59" s="493">
        <f>SUM(G59*J59)</f>
        <v>0</v>
      </c>
      <c r="L59" s="494">
        <f>SUM(I59+K59)</f>
        <v>312.83999999999997</v>
      </c>
      <c r="M59" s="104" t="s">
        <v>34</v>
      </c>
      <c r="O59" s="10">
        <v>1</v>
      </c>
      <c r="P59" s="466">
        <v>37</v>
      </c>
    </row>
    <row r="60" spans="1:16" s="1" customFormat="1" ht="9.9" customHeight="1">
      <c r="A60" s="178"/>
      <c r="B60" s="150"/>
      <c r="C60" s="143"/>
      <c r="D60" s="486"/>
      <c r="E60" s="487"/>
      <c r="F60" s="525"/>
      <c r="G60" s="488"/>
      <c r="H60" s="488"/>
      <c r="I60" s="488"/>
      <c r="J60" s="488"/>
      <c r="K60" s="488"/>
      <c r="L60" s="489"/>
      <c r="M60" s="70" t="s">
        <v>34</v>
      </c>
      <c r="O60" s="10">
        <v>1</v>
      </c>
      <c r="P60" s="468"/>
    </row>
    <row r="61" spans="1:16" s="10" customFormat="1" ht="18.899999999999999" customHeight="1">
      <c r="A61" s="178" t="s">
        <v>257</v>
      </c>
      <c r="B61" s="199" t="s">
        <v>159</v>
      </c>
      <c r="C61" s="98"/>
      <c r="D61" s="490"/>
      <c r="E61" s="492"/>
      <c r="F61" s="492"/>
      <c r="G61" s="493"/>
      <c r="H61" s="493"/>
      <c r="I61" s="493"/>
      <c r="J61" s="493"/>
      <c r="K61" s="493"/>
      <c r="L61" s="494"/>
      <c r="M61" s="104"/>
      <c r="O61" s="10">
        <v>1</v>
      </c>
      <c r="P61" s="466"/>
    </row>
    <row r="62" spans="1:16" s="10" customFormat="1" ht="18.899999999999999" customHeight="1">
      <c r="A62" s="178"/>
      <c r="B62" s="526" t="s">
        <v>435</v>
      </c>
      <c r="C62" s="98" t="s">
        <v>68</v>
      </c>
      <c r="D62" s="490"/>
      <c r="E62" s="491"/>
      <c r="F62" s="492"/>
      <c r="G62" s="493">
        <v>258.94399999999996</v>
      </c>
      <c r="H62" s="492">
        <v>18.100000000000001</v>
      </c>
      <c r="I62" s="493">
        <f t="shared" ref="I62:I69" si="6">SUM(G62*H62)</f>
        <v>4686.8863999999994</v>
      </c>
      <c r="J62" s="493">
        <v>14</v>
      </c>
      <c r="K62" s="493">
        <f t="shared" ref="K62:K69" si="7">G62*J62</f>
        <v>3625.2159999999994</v>
      </c>
      <c r="L62" s="494">
        <f t="shared" ref="L62:L69" si="8">SUM(I62+K62)</f>
        <v>8312.1023999999998</v>
      </c>
      <c r="M62" s="104"/>
      <c r="P62" s="466"/>
    </row>
    <row r="63" spans="1:16" s="10" customFormat="1" ht="18.899999999999999" customHeight="1">
      <c r="A63" s="178"/>
      <c r="B63" s="526" t="s">
        <v>436</v>
      </c>
      <c r="C63" s="98" t="s">
        <v>68</v>
      </c>
      <c r="D63" s="490"/>
      <c r="E63" s="491"/>
      <c r="F63" s="492"/>
      <c r="G63" s="493">
        <v>39.984000000000002</v>
      </c>
      <c r="H63" s="492">
        <v>18.100000000000001</v>
      </c>
      <c r="I63" s="493">
        <f>SUM(G63*H63)</f>
        <v>723.71040000000005</v>
      </c>
      <c r="J63" s="493">
        <v>14</v>
      </c>
      <c r="K63" s="493">
        <f>G63*J63</f>
        <v>559.77600000000007</v>
      </c>
      <c r="L63" s="494">
        <f>SUM(I63+K63)</f>
        <v>1283.4864000000002</v>
      </c>
      <c r="M63" s="104"/>
      <c r="P63" s="466"/>
    </row>
    <row r="64" spans="1:16" s="10" customFormat="1" ht="18.899999999999999" customHeight="1">
      <c r="A64" s="178"/>
      <c r="B64" s="526" t="s">
        <v>437</v>
      </c>
      <c r="C64" s="98" t="s">
        <v>68</v>
      </c>
      <c r="D64" s="490"/>
      <c r="E64" s="491"/>
      <c r="F64" s="492"/>
      <c r="G64" s="493">
        <v>401.43599999999998</v>
      </c>
      <c r="H64" s="492">
        <v>18.100000000000001</v>
      </c>
      <c r="I64" s="493">
        <f t="shared" si="6"/>
        <v>7265.9916000000003</v>
      </c>
      <c r="J64" s="493">
        <v>14</v>
      </c>
      <c r="K64" s="493">
        <f t="shared" si="7"/>
        <v>5620.1039999999994</v>
      </c>
      <c r="L64" s="494">
        <f t="shared" si="8"/>
        <v>12886.095600000001</v>
      </c>
      <c r="M64" s="104"/>
      <c r="P64" s="466"/>
    </row>
    <row r="65" spans="1:16" s="10" customFormat="1" ht="18.899999999999999" customHeight="1">
      <c r="A65" s="178"/>
      <c r="B65" s="181" t="s">
        <v>438</v>
      </c>
      <c r="C65" s="98" t="s">
        <v>68</v>
      </c>
      <c r="D65" s="490">
        <v>7.0000000000000007E-2</v>
      </c>
      <c r="E65" s="491">
        <f>88.55*9.72</f>
        <v>860.70600000000002</v>
      </c>
      <c r="F65" s="492"/>
      <c r="G65" s="493">
        <v>1875.8760000000002</v>
      </c>
      <c r="H65" s="492">
        <v>18.100000000000001</v>
      </c>
      <c r="I65" s="493">
        <f t="shared" si="6"/>
        <v>33953.35560000001</v>
      </c>
      <c r="J65" s="493">
        <v>14</v>
      </c>
      <c r="K65" s="493">
        <f t="shared" si="7"/>
        <v>26262.264000000003</v>
      </c>
      <c r="L65" s="494">
        <f t="shared" si="8"/>
        <v>60215.619600000013</v>
      </c>
      <c r="M65" s="104"/>
      <c r="O65" s="10">
        <v>1</v>
      </c>
      <c r="P65" s="466">
        <v>146.19999999999999</v>
      </c>
    </row>
    <row r="66" spans="1:16" s="10" customFormat="1" ht="18.899999999999999" customHeight="1">
      <c r="A66" s="178"/>
      <c r="B66" s="181" t="s">
        <v>439</v>
      </c>
      <c r="C66" s="98" t="s">
        <v>68</v>
      </c>
      <c r="D66" s="490">
        <v>7.0000000000000007E-2</v>
      </c>
      <c r="E66" s="491">
        <f>88.55*9.72</f>
        <v>860.70600000000002</v>
      </c>
      <c r="F66" s="492"/>
      <c r="G66" s="493">
        <v>1667.8210000000001</v>
      </c>
      <c r="H66" s="492">
        <v>18.100000000000001</v>
      </c>
      <c r="I66" s="493">
        <f t="shared" si="6"/>
        <v>30187.560100000006</v>
      </c>
      <c r="J66" s="493">
        <v>14</v>
      </c>
      <c r="K66" s="493">
        <f t="shared" si="7"/>
        <v>23349.494000000002</v>
      </c>
      <c r="L66" s="494">
        <f t="shared" si="8"/>
        <v>53537.054100000008</v>
      </c>
      <c r="M66" s="104"/>
      <c r="O66" s="10">
        <v>1</v>
      </c>
      <c r="P66" s="466">
        <v>441.4</v>
      </c>
    </row>
    <row r="67" spans="1:16" s="10" customFormat="1" ht="18.899999999999999" customHeight="1">
      <c r="A67" s="178"/>
      <c r="B67" s="200" t="s">
        <v>440</v>
      </c>
      <c r="C67" s="98" t="s">
        <v>68</v>
      </c>
      <c r="D67" s="490">
        <v>7.0000000000000007E-2</v>
      </c>
      <c r="E67" s="491">
        <v>8</v>
      </c>
      <c r="F67" s="492"/>
      <c r="G67" s="493">
        <v>561.07999999999993</v>
      </c>
      <c r="H67" s="492">
        <v>18.100000000000001</v>
      </c>
      <c r="I67" s="493">
        <f>SUM(G67*H67)</f>
        <v>10155.547999999999</v>
      </c>
      <c r="J67" s="493">
        <v>14</v>
      </c>
      <c r="K67" s="493">
        <f>G67*J67</f>
        <v>7855.119999999999</v>
      </c>
      <c r="L67" s="494">
        <f>SUM(I67+K67)</f>
        <v>18010.667999999998</v>
      </c>
      <c r="M67" s="104"/>
      <c r="O67" s="10">
        <v>1</v>
      </c>
      <c r="P67" s="466">
        <v>105</v>
      </c>
    </row>
    <row r="68" spans="1:16" s="10" customFormat="1" ht="18.899999999999999" customHeight="1">
      <c r="A68" s="178"/>
      <c r="B68" s="200" t="s">
        <v>441</v>
      </c>
      <c r="C68" s="98" t="s">
        <v>64</v>
      </c>
      <c r="D68" s="490">
        <v>7.0000000000000007E-2</v>
      </c>
      <c r="E68" s="491">
        <v>30</v>
      </c>
      <c r="F68" s="492"/>
      <c r="G68" s="493">
        <v>17.662949999999999</v>
      </c>
      <c r="H68" s="492">
        <v>26.69</v>
      </c>
      <c r="I68" s="493">
        <f>SUM(G68*H68)</f>
        <v>471.42413549999998</v>
      </c>
      <c r="J68" s="493">
        <v>9.35</v>
      </c>
      <c r="K68" s="493">
        <f>G68*J68</f>
        <v>165.14858249999997</v>
      </c>
      <c r="L68" s="494">
        <f>SUM(I68+K68)</f>
        <v>636.5727179999999</v>
      </c>
      <c r="M68" s="104"/>
      <c r="O68" s="10">
        <v>1</v>
      </c>
      <c r="P68" s="466">
        <v>125</v>
      </c>
    </row>
    <row r="69" spans="1:16" s="10" customFormat="1" ht="18.899999999999999" customHeight="1">
      <c r="A69" s="212"/>
      <c r="B69" s="200" t="s">
        <v>442</v>
      </c>
      <c r="C69" s="98" t="s">
        <v>64</v>
      </c>
      <c r="D69" s="490">
        <v>7.0000000000000007E-2</v>
      </c>
      <c r="E69" s="491">
        <v>30</v>
      </c>
      <c r="F69" s="492"/>
      <c r="G69" s="493">
        <v>213.7884</v>
      </c>
      <c r="H69" s="492">
        <v>56</v>
      </c>
      <c r="I69" s="493">
        <f t="shared" si="6"/>
        <v>11972.1504</v>
      </c>
      <c r="J69" s="493">
        <v>35</v>
      </c>
      <c r="K69" s="493">
        <f t="shared" si="7"/>
        <v>7482.5940000000001</v>
      </c>
      <c r="L69" s="494">
        <f t="shared" si="8"/>
        <v>19454.7444</v>
      </c>
      <c r="M69" s="218"/>
      <c r="P69" s="466"/>
    </row>
    <row r="70" spans="1:16" s="10" customFormat="1" ht="18.899999999999999" customHeight="1" thickBot="1">
      <c r="A70" s="183"/>
      <c r="B70" s="105"/>
      <c r="C70" s="106"/>
      <c r="D70" s="501"/>
      <c r="E70" s="502"/>
      <c r="F70" s="503"/>
      <c r="G70" s="504"/>
      <c r="H70" s="504"/>
      <c r="I70" s="504"/>
      <c r="J70" s="504"/>
      <c r="K70" s="504"/>
      <c r="L70" s="505"/>
      <c r="M70" s="112"/>
      <c r="P70" s="466"/>
    </row>
    <row r="71" spans="1:16" s="1" customFormat="1" ht="20.100000000000001" customHeight="1" thickTop="1" thickBot="1">
      <c r="A71" s="25"/>
      <c r="B71" s="26" t="s">
        <v>93</v>
      </c>
      <c r="C71" s="26"/>
      <c r="D71" s="527"/>
      <c r="E71" s="528"/>
      <c r="F71" s="529"/>
      <c r="G71" s="530"/>
      <c r="H71" s="530"/>
      <c r="I71" s="530">
        <f>SUM(I10:I70)/2</f>
        <v>433489.11402926181</v>
      </c>
      <c r="J71" s="530"/>
      <c r="K71" s="530">
        <f>SUM(K10:K70)/2</f>
        <v>132769.12892680999</v>
      </c>
      <c r="L71" s="530">
        <f>SUM(L8:L70)</f>
        <v>1132516.4859121437</v>
      </c>
      <c r="M71" s="29"/>
    </row>
    <row r="72" spans="1:16" s="7" customFormat="1" ht="18" customHeight="1">
      <c r="D72" s="531"/>
      <c r="E72" s="532"/>
      <c r="F72" s="533"/>
      <c r="G72" s="534"/>
      <c r="H72" s="534"/>
      <c r="I72" s="534"/>
      <c r="J72" s="534"/>
      <c r="K72" s="534"/>
      <c r="L72" s="534"/>
    </row>
    <row r="73" spans="1:16" s="7" customFormat="1" ht="20.100000000000001" customHeight="1">
      <c r="B73" s="11"/>
      <c r="C73" s="535"/>
      <c r="D73" s="531"/>
      <c r="E73" s="536"/>
      <c r="F73" s="537"/>
      <c r="G73" s="534"/>
      <c r="H73" s="534"/>
      <c r="I73" s="534"/>
      <c r="J73" s="534"/>
      <c r="K73" s="534"/>
      <c r="L73" s="534"/>
    </row>
    <row r="74" spans="1:16" s="7" customFormat="1" ht="20.100000000000001" customHeight="1">
      <c r="B74" s="11"/>
      <c r="C74" s="538"/>
      <c r="D74" s="531"/>
      <c r="E74" s="532"/>
      <c r="F74" s="532"/>
      <c r="G74" s="534"/>
      <c r="H74" s="534"/>
      <c r="I74" s="534"/>
      <c r="J74" s="534"/>
      <c r="K74" s="534"/>
      <c r="L74" s="534"/>
    </row>
    <row r="75" spans="1:16" s="7" customFormat="1" ht="20.100000000000001" customHeight="1">
      <c r="B75" s="11"/>
      <c r="C75" s="538"/>
      <c r="D75" s="531"/>
      <c r="E75" s="532"/>
      <c r="F75" s="532"/>
      <c r="G75" s="534"/>
      <c r="H75" s="534"/>
      <c r="I75" s="534"/>
      <c r="J75" s="534"/>
      <c r="K75" s="534"/>
      <c r="L75" s="534"/>
    </row>
    <row r="76" spans="1:16" s="7" customFormat="1" ht="20.100000000000001" customHeight="1">
      <c r="B76" s="11"/>
      <c r="C76" s="538"/>
      <c r="D76" s="531"/>
      <c r="E76" s="532"/>
      <c r="F76" s="532"/>
      <c r="G76" s="534"/>
      <c r="H76" s="534"/>
      <c r="I76" s="534"/>
      <c r="J76" s="534"/>
      <c r="K76" s="534"/>
      <c r="L76" s="534"/>
    </row>
    <row r="77" spans="1:16" s="7" customFormat="1" ht="20.100000000000001" customHeight="1">
      <c r="B77" s="11"/>
      <c r="C77" s="538"/>
      <c r="D77" s="539"/>
      <c r="E77" s="532"/>
      <c r="F77" s="532"/>
      <c r="G77" s="534"/>
      <c r="H77" s="534"/>
      <c r="I77" s="534"/>
      <c r="J77" s="534"/>
      <c r="K77" s="534"/>
      <c r="L77" s="534"/>
    </row>
    <row r="78" spans="1:16" s="7" customFormat="1" ht="20.100000000000001" customHeight="1">
      <c r="B78" s="11"/>
      <c r="C78" s="538"/>
      <c r="D78" s="539"/>
      <c r="E78" s="532"/>
      <c r="F78" s="533"/>
      <c r="G78" s="534"/>
      <c r="H78" s="534"/>
      <c r="I78" s="534"/>
      <c r="J78" s="534"/>
      <c r="K78" s="534"/>
      <c r="L78" s="534"/>
    </row>
    <row r="79" spans="1:16" s="7" customFormat="1" ht="20.100000000000001" customHeight="1">
      <c r="B79" s="11"/>
      <c r="C79" s="538"/>
      <c r="D79" s="531"/>
      <c r="E79" s="532"/>
      <c r="F79" s="532"/>
      <c r="G79" s="534"/>
      <c r="H79" s="534"/>
      <c r="I79" s="534"/>
      <c r="J79" s="534"/>
      <c r="K79" s="534"/>
      <c r="L79" s="534"/>
    </row>
    <row r="80" spans="1:16" s="7" customFormat="1" ht="20.100000000000001" customHeight="1">
      <c r="B80" s="11"/>
      <c r="C80" s="538"/>
      <c r="D80" s="531"/>
      <c r="E80" s="532"/>
      <c r="F80" s="532"/>
      <c r="G80" s="534"/>
      <c r="H80" s="534"/>
      <c r="I80" s="534"/>
      <c r="J80" s="534"/>
      <c r="K80" s="534"/>
      <c r="L80" s="534"/>
    </row>
    <row r="81" spans="2:12" s="7" customFormat="1" ht="20.100000000000001" customHeight="1">
      <c r="B81" s="11"/>
      <c r="C81" s="538"/>
      <c r="D81" s="531"/>
      <c r="E81" s="532"/>
      <c r="F81" s="532"/>
      <c r="G81" s="534"/>
      <c r="H81" s="534"/>
      <c r="I81" s="534"/>
      <c r="J81" s="534"/>
      <c r="K81" s="534"/>
      <c r="L81" s="534"/>
    </row>
    <row r="82" spans="2:12" s="7" customFormat="1" ht="20.100000000000001" customHeight="1">
      <c r="B82" s="11"/>
      <c r="C82" s="538"/>
      <c r="D82" s="540"/>
      <c r="E82" s="532"/>
      <c r="F82" s="532"/>
      <c r="G82" s="534"/>
      <c r="H82" s="534"/>
      <c r="I82" s="534"/>
      <c r="J82" s="534"/>
      <c r="K82" s="534"/>
      <c r="L82" s="534"/>
    </row>
    <row r="83" spans="2:12" s="7" customFormat="1" ht="20.100000000000001" customHeight="1">
      <c r="B83" s="11"/>
      <c r="C83" s="12"/>
      <c r="D83" s="531"/>
      <c r="E83" s="532"/>
      <c r="F83" s="533"/>
      <c r="G83" s="534"/>
      <c r="H83" s="534"/>
      <c r="I83" s="534"/>
      <c r="J83" s="534"/>
      <c r="K83" s="534"/>
      <c r="L83" s="534"/>
    </row>
    <row r="384" spans="2:7">
      <c r="B384" s="5">
        <v>676.7</v>
      </c>
      <c r="G384" s="5" t="s">
        <v>187</v>
      </c>
    </row>
    <row r="386" spans="2:2">
      <c r="B386" s="5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Q196"/>
  <sheetViews>
    <sheetView view="pageBreakPreview" topLeftCell="A157" zoomScale="80" zoomScaleNormal="75" workbookViewId="0">
      <selection activeCell="S155" sqref="S155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7.44140625" style="5" customWidth="1"/>
    <col min="16" max="16" width="7.5546875" style="5" customWidth="1"/>
    <col min="17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5546875" style="5" customWidth="1"/>
    <col min="269" max="269" width="20.88671875" style="5" customWidth="1"/>
    <col min="270" max="270" width="6.6640625" style="5" customWidth="1"/>
    <col min="271" max="271" width="7.44140625" style="5" customWidth="1"/>
    <col min="272" max="272" width="7.5546875" style="5" customWidth="1"/>
    <col min="273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5546875" style="5" customWidth="1"/>
    <col min="525" max="525" width="20.88671875" style="5" customWidth="1"/>
    <col min="526" max="526" width="6.6640625" style="5" customWidth="1"/>
    <col min="527" max="527" width="7.44140625" style="5" customWidth="1"/>
    <col min="528" max="528" width="7.5546875" style="5" customWidth="1"/>
    <col min="529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5546875" style="5" customWidth="1"/>
    <col min="781" max="781" width="20.88671875" style="5" customWidth="1"/>
    <col min="782" max="782" width="6.6640625" style="5" customWidth="1"/>
    <col min="783" max="783" width="7.44140625" style="5" customWidth="1"/>
    <col min="784" max="784" width="7.5546875" style="5" customWidth="1"/>
    <col min="785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5546875" style="5" customWidth="1"/>
    <col min="1037" max="1037" width="20.88671875" style="5" customWidth="1"/>
    <col min="1038" max="1038" width="6.6640625" style="5" customWidth="1"/>
    <col min="1039" max="1039" width="7.44140625" style="5" customWidth="1"/>
    <col min="1040" max="1040" width="7.5546875" style="5" customWidth="1"/>
    <col min="1041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5546875" style="5" customWidth="1"/>
    <col min="1293" max="1293" width="20.88671875" style="5" customWidth="1"/>
    <col min="1294" max="1294" width="6.6640625" style="5" customWidth="1"/>
    <col min="1295" max="1295" width="7.44140625" style="5" customWidth="1"/>
    <col min="1296" max="1296" width="7.5546875" style="5" customWidth="1"/>
    <col min="1297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5546875" style="5" customWidth="1"/>
    <col min="1549" max="1549" width="20.88671875" style="5" customWidth="1"/>
    <col min="1550" max="1550" width="6.6640625" style="5" customWidth="1"/>
    <col min="1551" max="1551" width="7.44140625" style="5" customWidth="1"/>
    <col min="1552" max="1552" width="7.5546875" style="5" customWidth="1"/>
    <col min="1553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5546875" style="5" customWidth="1"/>
    <col min="1805" max="1805" width="20.88671875" style="5" customWidth="1"/>
    <col min="1806" max="1806" width="6.6640625" style="5" customWidth="1"/>
    <col min="1807" max="1807" width="7.44140625" style="5" customWidth="1"/>
    <col min="1808" max="1808" width="7.5546875" style="5" customWidth="1"/>
    <col min="1809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5546875" style="5" customWidth="1"/>
    <col min="2061" max="2061" width="20.88671875" style="5" customWidth="1"/>
    <col min="2062" max="2062" width="6.6640625" style="5" customWidth="1"/>
    <col min="2063" max="2063" width="7.44140625" style="5" customWidth="1"/>
    <col min="2064" max="2064" width="7.5546875" style="5" customWidth="1"/>
    <col min="2065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5546875" style="5" customWidth="1"/>
    <col min="2317" max="2317" width="20.88671875" style="5" customWidth="1"/>
    <col min="2318" max="2318" width="6.6640625" style="5" customWidth="1"/>
    <col min="2319" max="2319" width="7.44140625" style="5" customWidth="1"/>
    <col min="2320" max="2320" width="7.5546875" style="5" customWidth="1"/>
    <col min="2321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5546875" style="5" customWidth="1"/>
    <col min="2573" max="2573" width="20.88671875" style="5" customWidth="1"/>
    <col min="2574" max="2574" width="6.6640625" style="5" customWidth="1"/>
    <col min="2575" max="2575" width="7.44140625" style="5" customWidth="1"/>
    <col min="2576" max="2576" width="7.5546875" style="5" customWidth="1"/>
    <col min="2577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5546875" style="5" customWidth="1"/>
    <col min="2829" max="2829" width="20.88671875" style="5" customWidth="1"/>
    <col min="2830" max="2830" width="6.6640625" style="5" customWidth="1"/>
    <col min="2831" max="2831" width="7.44140625" style="5" customWidth="1"/>
    <col min="2832" max="2832" width="7.5546875" style="5" customWidth="1"/>
    <col min="2833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5546875" style="5" customWidth="1"/>
    <col min="3085" max="3085" width="20.88671875" style="5" customWidth="1"/>
    <col min="3086" max="3086" width="6.6640625" style="5" customWidth="1"/>
    <col min="3087" max="3087" width="7.44140625" style="5" customWidth="1"/>
    <col min="3088" max="3088" width="7.5546875" style="5" customWidth="1"/>
    <col min="3089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5546875" style="5" customWidth="1"/>
    <col min="3341" max="3341" width="20.88671875" style="5" customWidth="1"/>
    <col min="3342" max="3342" width="6.6640625" style="5" customWidth="1"/>
    <col min="3343" max="3343" width="7.44140625" style="5" customWidth="1"/>
    <col min="3344" max="3344" width="7.5546875" style="5" customWidth="1"/>
    <col min="3345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5546875" style="5" customWidth="1"/>
    <col min="3597" max="3597" width="20.88671875" style="5" customWidth="1"/>
    <col min="3598" max="3598" width="6.6640625" style="5" customWidth="1"/>
    <col min="3599" max="3599" width="7.44140625" style="5" customWidth="1"/>
    <col min="3600" max="3600" width="7.5546875" style="5" customWidth="1"/>
    <col min="3601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5546875" style="5" customWidth="1"/>
    <col min="3853" max="3853" width="20.88671875" style="5" customWidth="1"/>
    <col min="3854" max="3854" width="6.6640625" style="5" customWidth="1"/>
    <col min="3855" max="3855" width="7.44140625" style="5" customWidth="1"/>
    <col min="3856" max="3856" width="7.5546875" style="5" customWidth="1"/>
    <col min="3857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5546875" style="5" customWidth="1"/>
    <col min="4109" max="4109" width="20.88671875" style="5" customWidth="1"/>
    <col min="4110" max="4110" width="6.6640625" style="5" customWidth="1"/>
    <col min="4111" max="4111" width="7.44140625" style="5" customWidth="1"/>
    <col min="4112" max="4112" width="7.5546875" style="5" customWidth="1"/>
    <col min="4113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5546875" style="5" customWidth="1"/>
    <col min="4365" max="4365" width="20.88671875" style="5" customWidth="1"/>
    <col min="4366" max="4366" width="6.6640625" style="5" customWidth="1"/>
    <col min="4367" max="4367" width="7.44140625" style="5" customWidth="1"/>
    <col min="4368" max="4368" width="7.5546875" style="5" customWidth="1"/>
    <col min="4369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5546875" style="5" customWidth="1"/>
    <col min="4621" max="4621" width="20.88671875" style="5" customWidth="1"/>
    <col min="4622" max="4622" width="6.6640625" style="5" customWidth="1"/>
    <col min="4623" max="4623" width="7.44140625" style="5" customWidth="1"/>
    <col min="4624" max="4624" width="7.5546875" style="5" customWidth="1"/>
    <col min="4625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5546875" style="5" customWidth="1"/>
    <col min="4877" max="4877" width="20.88671875" style="5" customWidth="1"/>
    <col min="4878" max="4878" width="6.6640625" style="5" customWidth="1"/>
    <col min="4879" max="4879" width="7.44140625" style="5" customWidth="1"/>
    <col min="4880" max="4880" width="7.5546875" style="5" customWidth="1"/>
    <col min="4881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5546875" style="5" customWidth="1"/>
    <col min="5133" max="5133" width="20.88671875" style="5" customWidth="1"/>
    <col min="5134" max="5134" width="6.6640625" style="5" customWidth="1"/>
    <col min="5135" max="5135" width="7.44140625" style="5" customWidth="1"/>
    <col min="5136" max="5136" width="7.5546875" style="5" customWidth="1"/>
    <col min="5137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5546875" style="5" customWidth="1"/>
    <col min="5389" max="5389" width="20.88671875" style="5" customWidth="1"/>
    <col min="5390" max="5390" width="6.6640625" style="5" customWidth="1"/>
    <col min="5391" max="5391" width="7.44140625" style="5" customWidth="1"/>
    <col min="5392" max="5392" width="7.5546875" style="5" customWidth="1"/>
    <col min="5393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5546875" style="5" customWidth="1"/>
    <col min="5645" max="5645" width="20.88671875" style="5" customWidth="1"/>
    <col min="5646" max="5646" width="6.6640625" style="5" customWidth="1"/>
    <col min="5647" max="5647" width="7.44140625" style="5" customWidth="1"/>
    <col min="5648" max="5648" width="7.5546875" style="5" customWidth="1"/>
    <col min="5649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5546875" style="5" customWidth="1"/>
    <col min="5901" max="5901" width="20.88671875" style="5" customWidth="1"/>
    <col min="5902" max="5902" width="6.6640625" style="5" customWidth="1"/>
    <col min="5903" max="5903" width="7.44140625" style="5" customWidth="1"/>
    <col min="5904" max="5904" width="7.5546875" style="5" customWidth="1"/>
    <col min="5905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5546875" style="5" customWidth="1"/>
    <col min="6157" max="6157" width="20.88671875" style="5" customWidth="1"/>
    <col min="6158" max="6158" width="6.6640625" style="5" customWidth="1"/>
    <col min="6159" max="6159" width="7.44140625" style="5" customWidth="1"/>
    <col min="6160" max="6160" width="7.5546875" style="5" customWidth="1"/>
    <col min="6161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5546875" style="5" customWidth="1"/>
    <col min="6413" max="6413" width="20.88671875" style="5" customWidth="1"/>
    <col min="6414" max="6414" width="6.6640625" style="5" customWidth="1"/>
    <col min="6415" max="6415" width="7.44140625" style="5" customWidth="1"/>
    <col min="6416" max="6416" width="7.5546875" style="5" customWidth="1"/>
    <col min="6417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5546875" style="5" customWidth="1"/>
    <col min="6669" max="6669" width="20.88671875" style="5" customWidth="1"/>
    <col min="6670" max="6670" width="6.6640625" style="5" customWidth="1"/>
    <col min="6671" max="6671" width="7.44140625" style="5" customWidth="1"/>
    <col min="6672" max="6672" width="7.5546875" style="5" customWidth="1"/>
    <col min="6673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5546875" style="5" customWidth="1"/>
    <col min="6925" max="6925" width="20.88671875" style="5" customWidth="1"/>
    <col min="6926" max="6926" width="6.6640625" style="5" customWidth="1"/>
    <col min="6927" max="6927" width="7.44140625" style="5" customWidth="1"/>
    <col min="6928" max="6928" width="7.5546875" style="5" customWidth="1"/>
    <col min="6929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5546875" style="5" customWidth="1"/>
    <col min="7181" max="7181" width="20.88671875" style="5" customWidth="1"/>
    <col min="7182" max="7182" width="6.6640625" style="5" customWidth="1"/>
    <col min="7183" max="7183" width="7.44140625" style="5" customWidth="1"/>
    <col min="7184" max="7184" width="7.5546875" style="5" customWidth="1"/>
    <col min="7185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5546875" style="5" customWidth="1"/>
    <col min="7437" max="7437" width="20.88671875" style="5" customWidth="1"/>
    <col min="7438" max="7438" width="6.6640625" style="5" customWidth="1"/>
    <col min="7439" max="7439" width="7.44140625" style="5" customWidth="1"/>
    <col min="7440" max="7440" width="7.5546875" style="5" customWidth="1"/>
    <col min="7441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5546875" style="5" customWidth="1"/>
    <col min="7693" max="7693" width="20.88671875" style="5" customWidth="1"/>
    <col min="7694" max="7694" width="6.6640625" style="5" customWidth="1"/>
    <col min="7695" max="7695" width="7.44140625" style="5" customWidth="1"/>
    <col min="7696" max="7696" width="7.5546875" style="5" customWidth="1"/>
    <col min="7697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5546875" style="5" customWidth="1"/>
    <col min="7949" max="7949" width="20.88671875" style="5" customWidth="1"/>
    <col min="7950" max="7950" width="6.6640625" style="5" customWidth="1"/>
    <col min="7951" max="7951" width="7.44140625" style="5" customWidth="1"/>
    <col min="7952" max="7952" width="7.5546875" style="5" customWidth="1"/>
    <col min="7953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5546875" style="5" customWidth="1"/>
    <col min="8205" max="8205" width="20.88671875" style="5" customWidth="1"/>
    <col min="8206" max="8206" width="6.6640625" style="5" customWidth="1"/>
    <col min="8207" max="8207" width="7.44140625" style="5" customWidth="1"/>
    <col min="8208" max="8208" width="7.5546875" style="5" customWidth="1"/>
    <col min="8209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5546875" style="5" customWidth="1"/>
    <col min="8461" max="8461" width="20.88671875" style="5" customWidth="1"/>
    <col min="8462" max="8462" width="6.6640625" style="5" customWidth="1"/>
    <col min="8463" max="8463" width="7.44140625" style="5" customWidth="1"/>
    <col min="8464" max="8464" width="7.5546875" style="5" customWidth="1"/>
    <col min="8465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5546875" style="5" customWidth="1"/>
    <col min="8717" max="8717" width="20.88671875" style="5" customWidth="1"/>
    <col min="8718" max="8718" width="6.6640625" style="5" customWidth="1"/>
    <col min="8719" max="8719" width="7.44140625" style="5" customWidth="1"/>
    <col min="8720" max="8720" width="7.5546875" style="5" customWidth="1"/>
    <col min="8721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5546875" style="5" customWidth="1"/>
    <col min="8973" max="8973" width="20.88671875" style="5" customWidth="1"/>
    <col min="8974" max="8974" width="6.6640625" style="5" customWidth="1"/>
    <col min="8975" max="8975" width="7.44140625" style="5" customWidth="1"/>
    <col min="8976" max="8976" width="7.5546875" style="5" customWidth="1"/>
    <col min="8977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5546875" style="5" customWidth="1"/>
    <col min="9229" max="9229" width="20.88671875" style="5" customWidth="1"/>
    <col min="9230" max="9230" width="6.6640625" style="5" customWidth="1"/>
    <col min="9231" max="9231" width="7.44140625" style="5" customWidth="1"/>
    <col min="9232" max="9232" width="7.5546875" style="5" customWidth="1"/>
    <col min="9233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5546875" style="5" customWidth="1"/>
    <col min="9485" max="9485" width="20.88671875" style="5" customWidth="1"/>
    <col min="9486" max="9486" width="6.6640625" style="5" customWidth="1"/>
    <col min="9487" max="9487" width="7.44140625" style="5" customWidth="1"/>
    <col min="9488" max="9488" width="7.5546875" style="5" customWidth="1"/>
    <col min="9489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5546875" style="5" customWidth="1"/>
    <col min="9741" max="9741" width="20.88671875" style="5" customWidth="1"/>
    <col min="9742" max="9742" width="6.6640625" style="5" customWidth="1"/>
    <col min="9743" max="9743" width="7.44140625" style="5" customWidth="1"/>
    <col min="9744" max="9744" width="7.5546875" style="5" customWidth="1"/>
    <col min="9745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5546875" style="5" customWidth="1"/>
    <col min="9997" max="9997" width="20.88671875" style="5" customWidth="1"/>
    <col min="9998" max="9998" width="6.6640625" style="5" customWidth="1"/>
    <col min="9999" max="9999" width="7.44140625" style="5" customWidth="1"/>
    <col min="10000" max="10000" width="7.5546875" style="5" customWidth="1"/>
    <col min="10001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5546875" style="5" customWidth="1"/>
    <col min="10253" max="10253" width="20.88671875" style="5" customWidth="1"/>
    <col min="10254" max="10254" width="6.6640625" style="5" customWidth="1"/>
    <col min="10255" max="10255" width="7.44140625" style="5" customWidth="1"/>
    <col min="10256" max="10256" width="7.5546875" style="5" customWidth="1"/>
    <col min="10257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5546875" style="5" customWidth="1"/>
    <col min="10509" max="10509" width="20.88671875" style="5" customWidth="1"/>
    <col min="10510" max="10510" width="6.6640625" style="5" customWidth="1"/>
    <col min="10511" max="10511" width="7.44140625" style="5" customWidth="1"/>
    <col min="10512" max="10512" width="7.5546875" style="5" customWidth="1"/>
    <col min="10513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5546875" style="5" customWidth="1"/>
    <col min="10765" max="10765" width="20.88671875" style="5" customWidth="1"/>
    <col min="10766" max="10766" width="6.6640625" style="5" customWidth="1"/>
    <col min="10767" max="10767" width="7.44140625" style="5" customWidth="1"/>
    <col min="10768" max="10768" width="7.5546875" style="5" customWidth="1"/>
    <col min="10769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5546875" style="5" customWidth="1"/>
    <col min="11021" max="11021" width="20.88671875" style="5" customWidth="1"/>
    <col min="11022" max="11022" width="6.6640625" style="5" customWidth="1"/>
    <col min="11023" max="11023" width="7.44140625" style="5" customWidth="1"/>
    <col min="11024" max="11024" width="7.5546875" style="5" customWidth="1"/>
    <col min="11025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5546875" style="5" customWidth="1"/>
    <col min="11277" max="11277" width="20.88671875" style="5" customWidth="1"/>
    <col min="11278" max="11278" width="6.6640625" style="5" customWidth="1"/>
    <col min="11279" max="11279" width="7.44140625" style="5" customWidth="1"/>
    <col min="11280" max="11280" width="7.5546875" style="5" customWidth="1"/>
    <col min="11281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5546875" style="5" customWidth="1"/>
    <col min="11533" max="11533" width="20.88671875" style="5" customWidth="1"/>
    <col min="11534" max="11534" width="6.6640625" style="5" customWidth="1"/>
    <col min="11535" max="11535" width="7.44140625" style="5" customWidth="1"/>
    <col min="11536" max="11536" width="7.5546875" style="5" customWidth="1"/>
    <col min="11537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5546875" style="5" customWidth="1"/>
    <col min="11789" max="11789" width="20.88671875" style="5" customWidth="1"/>
    <col min="11790" max="11790" width="6.6640625" style="5" customWidth="1"/>
    <col min="11791" max="11791" width="7.44140625" style="5" customWidth="1"/>
    <col min="11792" max="11792" width="7.5546875" style="5" customWidth="1"/>
    <col min="11793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5546875" style="5" customWidth="1"/>
    <col min="12045" max="12045" width="20.88671875" style="5" customWidth="1"/>
    <col min="12046" max="12046" width="6.6640625" style="5" customWidth="1"/>
    <col min="12047" max="12047" width="7.44140625" style="5" customWidth="1"/>
    <col min="12048" max="12048" width="7.5546875" style="5" customWidth="1"/>
    <col min="12049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5546875" style="5" customWidth="1"/>
    <col min="12301" max="12301" width="20.88671875" style="5" customWidth="1"/>
    <col min="12302" max="12302" width="6.6640625" style="5" customWidth="1"/>
    <col min="12303" max="12303" width="7.44140625" style="5" customWidth="1"/>
    <col min="12304" max="12304" width="7.5546875" style="5" customWidth="1"/>
    <col min="12305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5546875" style="5" customWidth="1"/>
    <col min="12557" max="12557" width="20.88671875" style="5" customWidth="1"/>
    <col min="12558" max="12558" width="6.6640625" style="5" customWidth="1"/>
    <col min="12559" max="12559" width="7.44140625" style="5" customWidth="1"/>
    <col min="12560" max="12560" width="7.5546875" style="5" customWidth="1"/>
    <col min="12561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5546875" style="5" customWidth="1"/>
    <col min="12813" max="12813" width="20.88671875" style="5" customWidth="1"/>
    <col min="12814" max="12814" width="6.6640625" style="5" customWidth="1"/>
    <col min="12815" max="12815" width="7.44140625" style="5" customWidth="1"/>
    <col min="12816" max="12816" width="7.5546875" style="5" customWidth="1"/>
    <col min="12817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5546875" style="5" customWidth="1"/>
    <col min="13069" max="13069" width="20.88671875" style="5" customWidth="1"/>
    <col min="13070" max="13070" width="6.6640625" style="5" customWidth="1"/>
    <col min="13071" max="13071" width="7.44140625" style="5" customWidth="1"/>
    <col min="13072" max="13072" width="7.5546875" style="5" customWidth="1"/>
    <col min="13073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5546875" style="5" customWidth="1"/>
    <col min="13325" max="13325" width="20.88671875" style="5" customWidth="1"/>
    <col min="13326" max="13326" width="6.6640625" style="5" customWidth="1"/>
    <col min="13327" max="13327" width="7.44140625" style="5" customWidth="1"/>
    <col min="13328" max="13328" width="7.5546875" style="5" customWidth="1"/>
    <col min="13329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5546875" style="5" customWidth="1"/>
    <col min="13581" max="13581" width="20.88671875" style="5" customWidth="1"/>
    <col min="13582" max="13582" width="6.6640625" style="5" customWidth="1"/>
    <col min="13583" max="13583" width="7.44140625" style="5" customWidth="1"/>
    <col min="13584" max="13584" width="7.5546875" style="5" customWidth="1"/>
    <col min="13585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5546875" style="5" customWidth="1"/>
    <col min="13837" max="13837" width="20.88671875" style="5" customWidth="1"/>
    <col min="13838" max="13838" width="6.6640625" style="5" customWidth="1"/>
    <col min="13839" max="13839" width="7.44140625" style="5" customWidth="1"/>
    <col min="13840" max="13840" width="7.5546875" style="5" customWidth="1"/>
    <col min="13841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5546875" style="5" customWidth="1"/>
    <col min="14093" max="14093" width="20.88671875" style="5" customWidth="1"/>
    <col min="14094" max="14094" width="6.6640625" style="5" customWidth="1"/>
    <col min="14095" max="14095" width="7.44140625" style="5" customWidth="1"/>
    <col min="14096" max="14096" width="7.5546875" style="5" customWidth="1"/>
    <col min="14097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5546875" style="5" customWidth="1"/>
    <col min="14349" max="14349" width="20.88671875" style="5" customWidth="1"/>
    <col min="14350" max="14350" width="6.6640625" style="5" customWidth="1"/>
    <col min="14351" max="14351" width="7.44140625" style="5" customWidth="1"/>
    <col min="14352" max="14352" width="7.5546875" style="5" customWidth="1"/>
    <col min="14353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5546875" style="5" customWidth="1"/>
    <col min="14605" max="14605" width="20.88671875" style="5" customWidth="1"/>
    <col min="14606" max="14606" width="6.6640625" style="5" customWidth="1"/>
    <col min="14607" max="14607" width="7.44140625" style="5" customWidth="1"/>
    <col min="14608" max="14608" width="7.5546875" style="5" customWidth="1"/>
    <col min="14609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5546875" style="5" customWidth="1"/>
    <col min="14861" max="14861" width="20.88671875" style="5" customWidth="1"/>
    <col min="14862" max="14862" width="6.6640625" style="5" customWidth="1"/>
    <col min="14863" max="14863" width="7.44140625" style="5" customWidth="1"/>
    <col min="14864" max="14864" width="7.5546875" style="5" customWidth="1"/>
    <col min="14865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5546875" style="5" customWidth="1"/>
    <col min="15117" max="15117" width="20.88671875" style="5" customWidth="1"/>
    <col min="15118" max="15118" width="6.6640625" style="5" customWidth="1"/>
    <col min="15119" max="15119" width="7.44140625" style="5" customWidth="1"/>
    <col min="15120" max="15120" width="7.5546875" style="5" customWidth="1"/>
    <col min="15121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5546875" style="5" customWidth="1"/>
    <col min="15373" max="15373" width="20.88671875" style="5" customWidth="1"/>
    <col min="15374" max="15374" width="6.6640625" style="5" customWidth="1"/>
    <col min="15375" max="15375" width="7.44140625" style="5" customWidth="1"/>
    <col min="15376" max="15376" width="7.5546875" style="5" customWidth="1"/>
    <col min="15377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5546875" style="5" customWidth="1"/>
    <col min="15629" max="15629" width="20.88671875" style="5" customWidth="1"/>
    <col min="15630" max="15630" width="6.6640625" style="5" customWidth="1"/>
    <col min="15631" max="15631" width="7.44140625" style="5" customWidth="1"/>
    <col min="15632" max="15632" width="7.5546875" style="5" customWidth="1"/>
    <col min="15633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5546875" style="5" customWidth="1"/>
    <col min="15885" max="15885" width="20.88671875" style="5" customWidth="1"/>
    <col min="15886" max="15886" width="6.6640625" style="5" customWidth="1"/>
    <col min="15887" max="15887" width="7.44140625" style="5" customWidth="1"/>
    <col min="15888" max="15888" width="7.5546875" style="5" customWidth="1"/>
    <col min="15889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5546875" style="5" customWidth="1"/>
    <col min="16141" max="16141" width="20.88671875" style="5" customWidth="1"/>
    <col min="16142" max="16142" width="6.6640625" style="5" customWidth="1"/>
    <col min="16143" max="16143" width="7.44140625" style="5" customWidth="1"/>
    <col min="16144" max="16144" width="7.5546875" style="5" customWidth="1"/>
    <col min="16145" max="16384" width="9.109375" style="5"/>
  </cols>
  <sheetData>
    <row r="1" spans="1:13" s="1" customFormat="1" ht="20.100000000000001" customHeight="1">
      <c r="A1" s="174" t="s">
        <v>37</v>
      </c>
      <c r="B1" s="201"/>
      <c r="C1" s="201"/>
      <c r="D1" s="202"/>
      <c r="E1" s="203"/>
      <c r="F1" s="203"/>
      <c r="G1" s="203"/>
      <c r="H1" s="373"/>
      <c r="I1" s="203"/>
      <c r="J1" s="203"/>
      <c r="K1" s="203"/>
      <c r="L1" s="204"/>
      <c r="M1" s="205"/>
    </row>
    <row r="2" spans="1:13" s="1" customFormat="1" ht="20.100000000000001" customHeight="1">
      <c r="A2" s="175" t="s">
        <v>46</v>
      </c>
      <c r="B2" s="206"/>
      <c r="C2" s="206"/>
      <c r="D2" s="207"/>
      <c r="E2" s="208"/>
      <c r="F2" s="208"/>
      <c r="G2" s="208"/>
      <c r="H2" s="374"/>
      <c r="I2" s="208"/>
      <c r="J2" s="208"/>
      <c r="K2" s="208"/>
      <c r="L2" s="209"/>
      <c r="M2" s="210"/>
    </row>
    <row r="3" spans="1:13" s="1" customFormat="1" ht="20.100000000000001" customHeight="1">
      <c r="A3" s="120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1"/>
      <c r="C3" s="122"/>
      <c r="D3" s="151"/>
      <c r="E3" s="123"/>
      <c r="F3" s="123"/>
      <c r="G3" s="123"/>
      <c r="H3" s="375"/>
      <c r="I3" s="124"/>
      <c r="J3" s="152"/>
      <c r="K3" s="152"/>
      <c r="L3" s="126"/>
      <c r="M3" s="127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20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22"/>
      <c r="C4" s="122"/>
      <c r="D4" s="151"/>
      <c r="E4" s="123"/>
      <c r="F4" s="123"/>
      <c r="G4" s="123"/>
      <c r="H4" s="375"/>
      <c r="I4" s="124"/>
      <c r="J4" s="435" t="s">
        <v>243</v>
      </c>
      <c r="K4" s="435"/>
      <c r="L4" s="435"/>
      <c r="M4" s="436"/>
    </row>
    <row r="5" spans="1:13" s="1" customFormat="1" ht="20.100000000000001" customHeight="1" thickBot="1">
      <c r="A5" s="120" t="s">
        <v>419</v>
      </c>
      <c r="B5" s="122"/>
      <c r="C5" s="122"/>
      <c r="D5" s="151"/>
      <c r="E5" s="123"/>
      <c r="F5" s="123"/>
      <c r="G5" s="123"/>
      <c r="H5" s="375"/>
      <c r="I5" s="124"/>
      <c r="J5" s="125"/>
      <c r="K5" s="125"/>
      <c r="L5" s="123"/>
      <c r="M5" s="127"/>
    </row>
    <row r="6" spans="1:13" s="13" customFormat="1" ht="20.100000000000001" customHeight="1">
      <c r="A6" s="457" t="s">
        <v>3</v>
      </c>
      <c r="B6" s="459" t="s">
        <v>4</v>
      </c>
      <c r="C6" s="459" t="s">
        <v>38</v>
      </c>
      <c r="D6" s="18" t="s">
        <v>47</v>
      </c>
      <c r="E6" s="371" t="s">
        <v>39</v>
      </c>
      <c r="F6" s="371" t="s">
        <v>39</v>
      </c>
      <c r="G6" s="461" t="s">
        <v>39</v>
      </c>
      <c r="H6" s="453" t="s">
        <v>40</v>
      </c>
      <c r="I6" s="454"/>
      <c r="J6" s="455" t="s">
        <v>41</v>
      </c>
      <c r="K6" s="456"/>
      <c r="L6" s="19" t="s">
        <v>6</v>
      </c>
      <c r="M6" s="451" t="s">
        <v>42</v>
      </c>
    </row>
    <row r="7" spans="1:13" s="13" customFormat="1" ht="20.100000000000001" customHeight="1" thickBot="1">
      <c r="A7" s="458"/>
      <c r="B7" s="460"/>
      <c r="C7" s="460"/>
      <c r="D7" s="20" t="s">
        <v>48</v>
      </c>
      <c r="E7" s="372"/>
      <c r="F7" s="372"/>
      <c r="G7" s="462"/>
      <c r="H7" s="376" t="s">
        <v>43</v>
      </c>
      <c r="I7" s="21" t="s">
        <v>44</v>
      </c>
      <c r="J7" s="21" t="s">
        <v>43</v>
      </c>
      <c r="K7" s="21" t="s">
        <v>44</v>
      </c>
      <c r="L7" s="22" t="s">
        <v>45</v>
      </c>
      <c r="M7" s="452"/>
    </row>
    <row r="8" spans="1:13" s="1" customFormat="1" ht="20.100000000000001" customHeight="1">
      <c r="A8" s="154" t="s">
        <v>95</v>
      </c>
      <c r="B8" s="155" t="s">
        <v>163</v>
      </c>
      <c r="C8" s="156"/>
      <c r="D8" s="157"/>
      <c r="E8" s="158"/>
      <c r="F8" s="159"/>
      <c r="G8" s="159"/>
      <c r="H8" s="354"/>
      <c r="I8" s="160"/>
      <c r="J8" s="160"/>
      <c r="K8" s="160"/>
      <c r="L8" s="161"/>
      <c r="M8" s="162"/>
    </row>
    <row r="9" spans="1:13" s="1" customFormat="1" ht="20.100000000000001" customHeight="1">
      <c r="A9" s="71" t="s">
        <v>16</v>
      </c>
      <c r="B9" s="72" t="s">
        <v>96</v>
      </c>
      <c r="C9" s="73"/>
      <c r="D9" s="74"/>
      <c r="E9" s="75" t="e">
        <f>SUM(E10:E15)</f>
        <v>#REF!</v>
      </c>
      <c r="F9" s="75">
        <f>SUM(F10:F15)</f>
        <v>0</v>
      </c>
      <c r="G9" s="75"/>
      <c r="H9" s="93"/>
      <c r="I9" s="76"/>
      <c r="J9" s="76"/>
      <c r="K9" s="76"/>
      <c r="L9" s="77"/>
      <c r="M9" s="95"/>
    </row>
    <row r="10" spans="1:13" s="7" customFormat="1" ht="39.9" customHeight="1">
      <c r="A10" s="178" t="s">
        <v>97</v>
      </c>
      <c r="B10" s="211" t="s">
        <v>213</v>
      </c>
      <c r="C10" s="98" t="s">
        <v>64</v>
      </c>
      <c r="D10" s="99">
        <v>0</v>
      </c>
      <c r="E10" s="100">
        <v>174</v>
      </c>
      <c r="F10" s="101"/>
      <c r="G10" s="101">
        <v>60.5</v>
      </c>
      <c r="H10" s="101">
        <v>350</v>
      </c>
      <c r="I10" s="102">
        <f t="shared" ref="I10:I18" si="0">G10*H10</f>
        <v>21175</v>
      </c>
      <c r="J10" s="102">
        <v>250</v>
      </c>
      <c r="K10" s="102">
        <f t="shared" ref="K10:K18" si="1">G10*J10</f>
        <v>15125</v>
      </c>
      <c r="L10" s="103">
        <f t="shared" ref="L10:L18" si="2">K10+I10</f>
        <v>36300</v>
      </c>
      <c r="M10" s="104"/>
    </row>
    <row r="11" spans="1:13" s="7" customFormat="1" ht="20.100000000000001" customHeight="1">
      <c r="A11" s="212" t="s">
        <v>98</v>
      </c>
      <c r="B11" s="345" t="s">
        <v>375</v>
      </c>
      <c r="C11" s="213" t="s">
        <v>64</v>
      </c>
      <c r="D11" s="214">
        <v>0</v>
      </c>
      <c r="E11" s="215">
        <v>435</v>
      </c>
      <c r="F11" s="216"/>
      <c r="G11" s="195">
        <v>53.4</v>
      </c>
      <c r="H11" s="216">
        <v>470</v>
      </c>
      <c r="I11" s="102">
        <f t="shared" si="0"/>
        <v>25098</v>
      </c>
      <c r="J11" s="217">
        <v>35</v>
      </c>
      <c r="K11" s="102">
        <f t="shared" si="1"/>
        <v>1869</v>
      </c>
      <c r="L11" s="103">
        <f t="shared" si="2"/>
        <v>26967</v>
      </c>
      <c r="M11" s="218"/>
    </row>
    <row r="12" spans="1:13" s="7" customFormat="1" ht="20.100000000000001" customHeight="1">
      <c r="A12" s="219"/>
      <c r="B12" s="346" t="s">
        <v>376</v>
      </c>
      <c r="C12" s="192" t="s">
        <v>64</v>
      </c>
      <c r="D12" s="193">
        <v>0</v>
      </c>
      <c r="E12" s="194">
        <v>435</v>
      </c>
      <c r="F12" s="195"/>
      <c r="G12" s="195">
        <v>53.4</v>
      </c>
      <c r="H12" s="195">
        <v>30</v>
      </c>
      <c r="I12" s="102">
        <f t="shared" si="0"/>
        <v>1602</v>
      </c>
      <c r="J12" s="196">
        <v>35</v>
      </c>
      <c r="K12" s="102">
        <f t="shared" si="1"/>
        <v>1869</v>
      </c>
      <c r="L12" s="103">
        <f t="shared" si="2"/>
        <v>3471</v>
      </c>
      <c r="M12" s="198"/>
    </row>
    <row r="13" spans="1:13" s="7" customFormat="1" ht="20.100000000000001" customHeight="1">
      <c r="A13" s="178" t="s">
        <v>99</v>
      </c>
      <c r="B13" s="211" t="s">
        <v>214</v>
      </c>
      <c r="C13" s="98" t="s">
        <v>64</v>
      </c>
      <c r="D13" s="99">
        <v>0</v>
      </c>
      <c r="E13" s="100">
        <v>38</v>
      </c>
      <c r="F13" s="101"/>
      <c r="G13" s="101">
        <v>56.7</v>
      </c>
      <c r="H13" s="101">
        <v>300</v>
      </c>
      <c r="I13" s="102">
        <f t="shared" si="0"/>
        <v>17010</v>
      </c>
      <c r="J13" s="102">
        <v>250</v>
      </c>
      <c r="K13" s="102">
        <f t="shared" si="1"/>
        <v>14175</v>
      </c>
      <c r="L13" s="103">
        <f t="shared" si="2"/>
        <v>31185</v>
      </c>
      <c r="M13" s="104"/>
    </row>
    <row r="14" spans="1:13" s="7" customFormat="1" ht="20.100000000000001" customHeight="1">
      <c r="A14" s="178" t="s">
        <v>100</v>
      </c>
      <c r="B14" s="211" t="s">
        <v>215</v>
      </c>
      <c r="C14" s="98" t="s">
        <v>64</v>
      </c>
      <c r="D14" s="99">
        <v>0</v>
      </c>
      <c r="E14" s="100">
        <v>38</v>
      </c>
      <c r="F14" s="101"/>
      <c r="G14" s="101">
        <v>29.4</v>
      </c>
      <c r="H14" s="101">
        <v>280</v>
      </c>
      <c r="I14" s="102">
        <f t="shared" si="0"/>
        <v>8232</v>
      </c>
      <c r="J14" s="102">
        <v>180</v>
      </c>
      <c r="K14" s="102">
        <f t="shared" si="1"/>
        <v>5292</v>
      </c>
      <c r="L14" s="103">
        <f t="shared" si="2"/>
        <v>13524</v>
      </c>
      <c r="M14" s="104"/>
    </row>
    <row r="15" spans="1:13" s="7" customFormat="1" ht="20.100000000000001" customHeight="1">
      <c r="A15" s="178" t="s">
        <v>101</v>
      </c>
      <c r="B15" s="220" t="s">
        <v>193</v>
      </c>
      <c r="C15" s="98" t="s">
        <v>64</v>
      </c>
      <c r="D15" s="99">
        <v>0</v>
      </c>
      <c r="E15" s="100" t="e">
        <f>E14+#REF!+#REF!+#REF!</f>
        <v>#REF!</v>
      </c>
      <c r="F15" s="100"/>
      <c r="G15" s="101">
        <v>22.4</v>
      </c>
      <c r="H15" s="101">
        <v>20</v>
      </c>
      <c r="I15" s="102">
        <f t="shared" si="0"/>
        <v>448</v>
      </c>
      <c r="J15" s="102">
        <v>30</v>
      </c>
      <c r="K15" s="102">
        <f t="shared" si="1"/>
        <v>672</v>
      </c>
      <c r="L15" s="103">
        <f t="shared" si="2"/>
        <v>1120</v>
      </c>
      <c r="M15" s="104"/>
    </row>
    <row r="16" spans="1:13" s="7" customFormat="1" ht="20.100000000000001" customHeight="1">
      <c r="A16" s="178" t="s">
        <v>377</v>
      </c>
      <c r="B16" s="220" t="s">
        <v>378</v>
      </c>
      <c r="C16" s="98" t="s">
        <v>64</v>
      </c>
      <c r="D16" s="99">
        <v>0</v>
      </c>
      <c r="E16" s="100" t="e">
        <f>#REF!</f>
        <v>#REF!</v>
      </c>
      <c r="F16" s="100"/>
      <c r="G16" s="101">
        <v>12</v>
      </c>
      <c r="H16" s="101">
        <v>30</v>
      </c>
      <c r="I16" s="102">
        <f t="shared" si="0"/>
        <v>360</v>
      </c>
      <c r="J16" s="102">
        <v>35</v>
      </c>
      <c r="K16" s="102">
        <f t="shared" si="1"/>
        <v>420</v>
      </c>
      <c r="L16" s="103">
        <f t="shared" si="2"/>
        <v>780</v>
      </c>
      <c r="M16" s="104"/>
    </row>
    <row r="17" spans="1:13" s="7" customFormat="1" ht="20.100000000000001" customHeight="1">
      <c r="A17" s="178" t="s">
        <v>379</v>
      </c>
      <c r="B17" s="220" t="s">
        <v>241</v>
      </c>
      <c r="C17" s="98" t="s">
        <v>173</v>
      </c>
      <c r="D17" s="99">
        <v>0</v>
      </c>
      <c r="E17" s="100" t="e">
        <f>E15</f>
        <v>#REF!</v>
      </c>
      <c r="F17" s="100"/>
      <c r="G17" s="101">
        <v>35.612000000000002</v>
      </c>
      <c r="H17" s="101">
        <v>60</v>
      </c>
      <c r="I17" s="102">
        <f t="shared" si="0"/>
        <v>2136.7200000000003</v>
      </c>
      <c r="J17" s="102">
        <v>45</v>
      </c>
      <c r="K17" s="102">
        <f t="shared" si="1"/>
        <v>1602.5400000000002</v>
      </c>
      <c r="L17" s="103">
        <f t="shared" si="2"/>
        <v>3739.26</v>
      </c>
      <c r="M17" s="104"/>
    </row>
    <row r="18" spans="1:13" s="7" customFormat="1" ht="20.100000000000001" customHeight="1" thickBot="1">
      <c r="A18" s="178" t="s">
        <v>379</v>
      </c>
      <c r="B18" s="220" t="s">
        <v>425</v>
      </c>
      <c r="C18" s="106" t="s">
        <v>173</v>
      </c>
      <c r="D18" s="107">
        <v>0</v>
      </c>
      <c r="E18" s="108" t="e">
        <f>E16</f>
        <v>#REF!</v>
      </c>
      <c r="F18" s="108"/>
      <c r="G18" s="109">
        <v>31.5</v>
      </c>
      <c r="H18" s="109">
        <v>60</v>
      </c>
      <c r="I18" s="110">
        <f t="shared" si="0"/>
        <v>1890</v>
      </c>
      <c r="J18" s="110">
        <v>45</v>
      </c>
      <c r="K18" s="110">
        <f t="shared" si="1"/>
        <v>1417.5</v>
      </c>
      <c r="L18" s="111">
        <f t="shared" si="2"/>
        <v>3307.5</v>
      </c>
      <c r="M18" s="112"/>
    </row>
    <row r="19" spans="1:13" s="7" customFormat="1" ht="20.100000000000001" customHeight="1" thickTop="1" thickBot="1">
      <c r="A19" s="38"/>
      <c r="B19" s="31" t="s">
        <v>103</v>
      </c>
      <c r="C19" s="263"/>
      <c r="D19" s="264"/>
      <c r="E19" s="265"/>
      <c r="F19" s="265"/>
      <c r="G19" s="265"/>
      <c r="H19" s="266"/>
      <c r="I19" s="267">
        <f>SUM(I9:I18)</f>
        <v>77951.72</v>
      </c>
      <c r="J19" s="266"/>
      <c r="K19" s="267">
        <f>SUM(K9:K18)</f>
        <v>42442.04</v>
      </c>
      <c r="L19" s="267">
        <f>SUM(L9:L18)</f>
        <v>120393.76</v>
      </c>
      <c r="M19" s="268"/>
    </row>
    <row r="20" spans="1:13" s="1" customFormat="1" ht="20.100000000000001" customHeight="1" thickTop="1">
      <c r="A20" s="348" t="s">
        <v>17</v>
      </c>
      <c r="B20" s="349" t="s">
        <v>164</v>
      </c>
      <c r="C20" s="350"/>
      <c r="D20" s="351"/>
      <c r="E20" s="170" t="e">
        <f>SUM(E21:E21)*2</f>
        <v>#REF!</v>
      </c>
      <c r="F20" s="170">
        <f>SUM(F21:F21)*2</f>
        <v>0</v>
      </c>
      <c r="G20" s="170"/>
      <c r="H20" s="377"/>
      <c r="I20" s="171"/>
      <c r="J20" s="171"/>
      <c r="K20" s="171"/>
      <c r="L20" s="172"/>
      <c r="M20" s="173"/>
    </row>
    <row r="21" spans="1:13" s="7" customFormat="1" ht="20.100000000000001" customHeight="1">
      <c r="A21" s="222" t="s">
        <v>104</v>
      </c>
      <c r="B21" s="223" t="s">
        <v>216</v>
      </c>
      <c r="C21" s="89" t="s">
        <v>64</v>
      </c>
      <c r="D21" s="90">
        <v>0</v>
      </c>
      <c r="E21" s="91" t="e">
        <f>#REF!*2-#REF!</f>
        <v>#REF!</v>
      </c>
      <c r="F21" s="92"/>
      <c r="G21" s="92">
        <v>122.43</v>
      </c>
      <c r="H21" s="92">
        <v>200</v>
      </c>
      <c r="I21" s="102">
        <f t="shared" ref="I21:I28" si="3">G21*H21</f>
        <v>24486</v>
      </c>
      <c r="J21" s="93">
        <v>80</v>
      </c>
      <c r="K21" s="102">
        <f t="shared" ref="K21:K28" si="4">G21*J21</f>
        <v>9794.4000000000015</v>
      </c>
      <c r="L21" s="103">
        <f t="shared" ref="L21:L28" si="5">K21+I21</f>
        <v>34280.400000000001</v>
      </c>
      <c r="M21" s="95"/>
    </row>
    <row r="22" spans="1:13" s="7" customFormat="1" ht="20.100000000000001" customHeight="1">
      <c r="A22" s="178" t="s">
        <v>105</v>
      </c>
      <c r="B22" s="224" t="s">
        <v>380</v>
      </c>
      <c r="C22" s="98" t="s">
        <v>64</v>
      </c>
      <c r="D22" s="99">
        <v>0</v>
      </c>
      <c r="E22" s="100">
        <f>35*2</f>
        <v>70</v>
      </c>
      <c r="F22" s="101"/>
      <c r="G22" s="101">
        <v>114.4</v>
      </c>
      <c r="H22" s="101">
        <v>200</v>
      </c>
      <c r="I22" s="102">
        <f t="shared" si="3"/>
        <v>22880</v>
      </c>
      <c r="J22" s="102">
        <v>80</v>
      </c>
      <c r="K22" s="102">
        <f t="shared" si="4"/>
        <v>9152</v>
      </c>
      <c r="L22" s="103">
        <f t="shared" si="5"/>
        <v>32032</v>
      </c>
      <c r="M22" s="104"/>
    </row>
    <row r="23" spans="1:13" s="7" customFormat="1" ht="20.100000000000001" customHeight="1">
      <c r="A23" s="178" t="s">
        <v>106</v>
      </c>
      <c r="B23" s="224" t="s">
        <v>174</v>
      </c>
      <c r="C23" s="98" t="s">
        <v>64</v>
      </c>
      <c r="D23" s="99">
        <v>0</v>
      </c>
      <c r="E23" s="100">
        <f>35*2</f>
        <v>70</v>
      </c>
      <c r="F23" s="101"/>
      <c r="G23" s="101">
        <v>118.3</v>
      </c>
      <c r="H23" s="101">
        <v>45</v>
      </c>
      <c r="I23" s="102">
        <f t="shared" si="3"/>
        <v>5323.5</v>
      </c>
      <c r="J23" s="102">
        <v>80</v>
      </c>
      <c r="K23" s="102">
        <f t="shared" si="4"/>
        <v>9464</v>
      </c>
      <c r="L23" s="103">
        <f t="shared" si="5"/>
        <v>14787.5</v>
      </c>
      <c r="M23" s="104"/>
    </row>
    <row r="24" spans="1:13" s="7" customFormat="1" ht="20.100000000000001" customHeight="1">
      <c r="A24" s="178" t="s">
        <v>107</v>
      </c>
      <c r="B24" s="224" t="s">
        <v>175</v>
      </c>
      <c r="C24" s="98" t="s">
        <v>64</v>
      </c>
      <c r="D24" s="99">
        <v>0</v>
      </c>
      <c r="E24" s="100">
        <f>35*2</f>
        <v>70</v>
      </c>
      <c r="F24" s="101"/>
      <c r="G24" s="101">
        <v>120.3</v>
      </c>
      <c r="H24" s="101">
        <v>45</v>
      </c>
      <c r="I24" s="102">
        <f t="shared" si="3"/>
        <v>5413.5</v>
      </c>
      <c r="J24" s="102">
        <v>80</v>
      </c>
      <c r="K24" s="102">
        <f t="shared" si="4"/>
        <v>9624</v>
      </c>
      <c r="L24" s="103">
        <f t="shared" si="5"/>
        <v>15037.5</v>
      </c>
      <c r="M24" s="104"/>
    </row>
    <row r="25" spans="1:13" s="7" customFormat="1" ht="20.100000000000001" customHeight="1">
      <c r="A25" s="178" t="s">
        <v>108</v>
      </c>
      <c r="B25" s="225" t="s">
        <v>109</v>
      </c>
      <c r="C25" s="98" t="s">
        <v>102</v>
      </c>
      <c r="D25" s="99">
        <v>0</v>
      </c>
      <c r="E25" s="100" t="e">
        <f>#REF!</f>
        <v>#REF!</v>
      </c>
      <c r="F25" s="101"/>
      <c r="G25" s="101">
        <v>134.19999999999999</v>
      </c>
      <c r="H25" s="101">
        <v>70</v>
      </c>
      <c r="I25" s="102">
        <f t="shared" si="3"/>
        <v>9394</v>
      </c>
      <c r="J25" s="102">
        <v>50</v>
      </c>
      <c r="K25" s="102">
        <f t="shared" si="4"/>
        <v>6709.9999999999991</v>
      </c>
      <c r="L25" s="103">
        <f t="shared" si="5"/>
        <v>16104</v>
      </c>
      <c r="M25" s="104"/>
    </row>
    <row r="26" spans="1:13" s="7" customFormat="1" ht="20.100000000000001" customHeight="1">
      <c r="A26" s="178" t="s">
        <v>110</v>
      </c>
      <c r="B26" s="224" t="s">
        <v>249</v>
      </c>
      <c r="C26" s="98" t="s">
        <v>102</v>
      </c>
      <c r="D26" s="99">
        <v>0</v>
      </c>
      <c r="E26" s="100" t="e">
        <f>#REF!</f>
        <v>#REF!</v>
      </c>
      <c r="F26" s="101"/>
      <c r="G26" s="101">
        <v>322</v>
      </c>
      <c r="H26" s="101">
        <v>25</v>
      </c>
      <c r="I26" s="102">
        <f t="shared" si="3"/>
        <v>8050</v>
      </c>
      <c r="J26" s="102">
        <v>35</v>
      </c>
      <c r="K26" s="102">
        <f t="shared" si="4"/>
        <v>11270</v>
      </c>
      <c r="L26" s="103">
        <f t="shared" si="5"/>
        <v>19320</v>
      </c>
      <c r="M26" s="104"/>
    </row>
    <row r="27" spans="1:13" s="7" customFormat="1" ht="21" customHeight="1">
      <c r="A27" s="212" t="s">
        <v>381</v>
      </c>
      <c r="B27" s="352" t="s">
        <v>244</v>
      </c>
      <c r="C27" s="213" t="s">
        <v>64</v>
      </c>
      <c r="D27" s="214">
        <v>0</v>
      </c>
      <c r="E27" s="215">
        <v>530</v>
      </c>
      <c r="F27" s="216"/>
      <c r="G27" s="216">
        <v>75.849999999999994</v>
      </c>
      <c r="H27" s="216">
        <v>280</v>
      </c>
      <c r="I27" s="102">
        <f t="shared" si="3"/>
        <v>21238</v>
      </c>
      <c r="J27" s="217">
        <v>180</v>
      </c>
      <c r="K27" s="102">
        <f t="shared" si="4"/>
        <v>13652.999999999998</v>
      </c>
      <c r="L27" s="103">
        <f t="shared" si="5"/>
        <v>34891</v>
      </c>
      <c r="M27" s="104"/>
    </row>
    <row r="28" spans="1:13" s="7" customFormat="1" ht="20.100000000000001" customHeight="1">
      <c r="A28" s="385"/>
      <c r="B28" s="353" t="s">
        <v>205</v>
      </c>
      <c r="C28" s="257" t="s">
        <v>64</v>
      </c>
      <c r="D28" s="258">
        <v>0</v>
      </c>
      <c r="E28" s="259">
        <v>530</v>
      </c>
      <c r="F28" s="260"/>
      <c r="G28" s="216">
        <v>75.849999999999994</v>
      </c>
      <c r="H28" s="260">
        <v>60</v>
      </c>
      <c r="I28" s="102">
        <f t="shared" si="3"/>
        <v>4551</v>
      </c>
      <c r="J28" s="354">
        <v>70</v>
      </c>
      <c r="K28" s="102">
        <f t="shared" si="4"/>
        <v>5309.5</v>
      </c>
      <c r="L28" s="103">
        <f t="shared" si="5"/>
        <v>9860.5</v>
      </c>
      <c r="M28" s="189"/>
    </row>
    <row r="29" spans="1:13" s="7" customFormat="1" ht="20.100000000000001" customHeight="1">
      <c r="A29" s="240" t="s">
        <v>382</v>
      </c>
      <c r="B29" s="253" t="s">
        <v>182</v>
      </c>
      <c r="C29" s="256"/>
      <c r="D29" s="242"/>
      <c r="E29" s="243"/>
      <c r="F29" s="244"/>
      <c r="G29" s="244"/>
      <c r="H29" s="244"/>
      <c r="I29" s="102"/>
      <c r="J29" s="245"/>
      <c r="K29" s="245"/>
      <c r="L29" s="129"/>
      <c r="M29" s="347"/>
    </row>
    <row r="30" spans="1:13" s="7" customFormat="1" ht="20.100000000000001" customHeight="1">
      <c r="A30" s="311"/>
      <c r="B30" s="253" t="s">
        <v>208</v>
      </c>
      <c r="C30" s="355" t="s">
        <v>102</v>
      </c>
      <c r="D30" s="242">
        <v>0</v>
      </c>
      <c r="E30" s="243">
        <v>272</v>
      </c>
      <c r="F30" s="244"/>
      <c r="G30" s="244">
        <v>45.3</v>
      </c>
      <c r="H30" s="244">
        <v>110</v>
      </c>
      <c r="I30" s="102">
        <f>G30*H30</f>
        <v>4983</v>
      </c>
      <c r="J30" s="245">
        <v>70</v>
      </c>
      <c r="K30" s="102">
        <f>G30*J30</f>
        <v>3171</v>
      </c>
      <c r="L30" s="103">
        <f>K30+I30</f>
        <v>8154</v>
      </c>
      <c r="M30" s="386"/>
    </row>
    <row r="31" spans="1:13" s="7" customFormat="1" ht="17.25" customHeight="1">
      <c r="A31" s="310" t="s">
        <v>409</v>
      </c>
      <c r="B31" s="356" t="s">
        <v>415</v>
      </c>
      <c r="C31" s="241" t="s">
        <v>64</v>
      </c>
      <c r="D31" s="356"/>
      <c r="E31" s="356"/>
      <c r="F31" s="356"/>
      <c r="G31" s="356">
        <v>62.39</v>
      </c>
      <c r="H31" s="356">
        <v>100</v>
      </c>
      <c r="I31" s="102">
        <f>G31*H31</f>
        <v>6239</v>
      </c>
      <c r="J31" s="356">
        <v>100</v>
      </c>
      <c r="K31" s="102">
        <f>G31*J31</f>
        <v>6239</v>
      </c>
      <c r="L31" s="103">
        <f>K31+I31</f>
        <v>12478</v>
      </c>
      <c r="M31" s="387"/>
    </row>
    <row r="32" spans="1:13" s="7" customFormat="1" ht="21" customHeight="1">
      <c r="A32" s="388"/>
      <c r="B32" s="357"/>
      <c r="C32" s="285"/>
      <c r="D32" s="286"/>
      <c r="E32" s="287"/>
      <c r="F32" s="165"/>
      <c r="G32" s="165"/>
      <c r="H32" s="358"/>
      <c r="I32" s="358"/>
      <c r="J32" s="358"/>
      <c r="K32" s="358"/>
      <c r="L32" s="288"/>
      <c r="M32" s="389" t="s">
        <v>34</v>
      </c>
    </row>
    <row r="33" spans="1:13" s="7" customFormat="1" ht="20.100000000000001" customHeight="1" thickBot="1">
      <c r="A33" s="284"/>
      <c r="B33" s="262" t="s">
        <v>111</v>
      </c>
      <c r="C33" s="263"/>
      <c r="D33" s="264"/>
      <c r="E33" s="265"/>
      <c r="F33" s="265"/>
      <c r="G33" s="265"/>
      <c r="H33" s="266"/>
      <c r="I33" s="267">
        <f>SUM(I21:I32)</f>
        <v>112558</v>
      </c>
      <c r="J33" s="266"/>
      <c r="K33" s="267">
        <f>SUM(K21:K32)</f>
        <v>84386.9</v>
      </c>
      <c r="L33" s="267">
        <f>SUM(L21:L32)</f>
        <v>196944.9</v>
      </c>
      <c r="M33" s="268"/>
    </row>
    <row r="34" spans="1:13" s="1" customFormat="1" ht="20.100000000000001" customHeight="1" thickTop="1">
      <c r="A34" s="390"/>
      <c r="H34" s="7"/>
      <c r="M34" s="391"/>
    </row>
    <row r="35" spans="1:13" s="7" customFormat="1" ht="23.25" customHeight="1">
      <c r="A35" s="114" t="s">
        <v>18</v>
      </c>
      <c r="B35" s="399" t="s">
        <v>165</v>
      </c>
      <c r="C35" s="85"/>
      <c r="D35" s="163"/>
      <c r="E35" s="165">
        <f>SUM(E36:E38)</f>
        <v>749</v>
      </c>
      <c r="F35" s="165">
        <f>SUM(F36:F38)</f>
        <v>0</v>
      </c>
      <c r="G35" s="66"/>
      <c r="H35" s="116"/>
      <c r="I35" s="116"/>
      <c r="J35" s="400"/>
      <c r="K35" s="400"/>
      <c r="L35" s="68"/>
      <c r="M35" s="401"/>
    </row>
    <row r="36" spans="1:13" s="7" customFormat="1" ht="52.5" customHeight="1">
      <c r="A36" s="402" t="s">
        <v>112</v>
      </c>
      <c r="B36" s="403" t="s">
        <v>219</v>
      </c>
      <c r="C36" s="404" t="s">
        <v>64</v>
      </c>
      <c r="D36" s="90">
        <v>0</v>
      </c>
      <c r="E36" s="91">
        <v>608</v>
      </c>
      <c r="F36" s="91"/>
      <c r="G36" s="101">
        <v>57.77</v>
      </c>
      <c r="H36" s="92">
        <v>480</v>
      </c>
      <c r="I36" s="405">
        <f t="shared" ref="I36:I41" si="6">G36*H36</f>
        <v>27729.600000000002</v>
      </c>
      <c r="J36" s="406"/>
      <c r="K36" s="382"/>
      <c r="L36" s="407">
        <f t="shared" ref="L36:L41" si="7">SUM(I36+K36)</f>
        <v>27729.600000000002</v>
      </c>
      <c r="M36" s="408"/>
    </row>
    <row r="37" spans="1:13" s="7" customFormat="1" ht="53.25" customHeight="1">
      <c r="A37" s="409" t="s">
        <v>113</v>
      </c>
      <c r="B37" s="410" t="s">
        <v>220</v>
      </c>
      <c r="C37" s="411" t="s">
        <v>64</v>
      </c>
      <c r="D37" s="99">
        <v>0</v>
      </c>
      <c r="E37" s="100">
        <v>110</v>
      </c>
      <c r="F37" s="100"/>
      <c r="G37" s="101">
        <v>104.88</v>
      </c>
      <c r="H37" s="101">
        <v>510</v>
      </c>
      <c r="I37" s="405">
        <f t="shared" si="6"/>
        <v>53488.799999999996</v>
      </c>
      <c r="J37" s="412"/>
      <c r="K37" s="245"/>
      <c r="L37" s="407">
        <f t="shared" si="7"/>
        <v>53488.799999999996</v>
      </c>
      <c r="M37" s="413"/>
    </row>
    <row r="38" spans="1:13" s="7" customFormat="1" ht="56.25" customHeight="1">
      <c r="A38" s="409" t="s">
        <v>114</v>
      </c>
      <c r="B38" s="403" t="s">
        <v>221</v>
      </c>
      <c r="C38" s="411" t="s">
        <v>64</v>
      </c>
      <c r="D38" s="99">
        <v>0</v>
      </c>
      <c r="E38" s="100">
        <v>31</v>
      </c>
      <c r="F38" s="100"/>
      <c r="G38" s="101">
        <v>68.650000000000006</v>
      </c>
      <c r="H38" s="101">
        <v>375</v>
      </c>
      <c r="I38" s="405">
        <f t="shared" si="6"/>
        <v>25743.750000000004</v>
      </c>
      <c r="J38" s="412"/>
      <c r="K38" s="245"/>
      <c r="L38" s="407">
        <f t="shared" si="7"/>
        <v>25743.750000000004</v>
      </c>
      <c r="M38" s="414"/>
    </row>
    <row r="39" spans="1:13" s="7" customFormat="1" ht="20.100000000000001" customHeight="1" thickBot="1">
      <c r="A39" s="402" t="s">
        <v>410</v>
      </c>
      <c r="B39" s="403" t="s">
        <v>420</v>
      </c>
      <c r="C39" s="411" t="s">
        <v>64</v>
      </c>
      <c r="D39" s="107"/>
      <c r="E39" s="108"/>
      <c r="F39" s="109"/>
      <c r="G39" s="101">
        <v>7.12</v>
      </c>
      <c r="H39" s="101">
        <v>100</v>
      </c>
      <c r="I39" s="405">
        <f t="shared" si="6"/>
        <v>712</v>
      </c>
      <c r="J39" s="415"/>
      <c r="K39" s="416"/>
      <c r="L39" s="407">
        <f t="shared" si="7"/>
        <v>712</v>
      </c>
      <c r="M39" s="414" t="s">
        <v>34</v>
      </c>
    </row>
    <row r="40" spans="1:13" s="7" customFormat="1" ht="52.5" customHeight="1" thickTop="1">
      <c r="A40" s="409" t="s">
        <v>421</v>
      </c>
      <c r="B40" s="403" t="s">
        <v>422</v>
      </c>
      <c r="C40" s="404" t="s">
        <v>64</v>
      </c>
      <c r="D40" s="90">
        <v>0</v>
      </c>
      <c r="E40" s="91">
        <v>608</v>
      </c>
      <c r="F40" s="91"/>
      <c r="G40" s="101">
        <v>58.1</v>
      </c>
      <c r="H40" s="92">
        <v>180</v>
      </c>
      <c r="I40" s="405">
        <f t="shared" si="6"/>
        <v>10458</v>
      </c>
      <c r="J40" s="412"/>
      <c r="K40" s="245"/>
      <c r="L40" s="407">
        <f t="shared" si="7"/>
        <v>10458</v>
      </c>
      <c r="M40" s="414"/>
    </row>
    <row r="41" spans="1:13" s="7" customFormat="1" ht="53.25" customHeight="1" thickBot="1">
      <c r="A41" s="409" t="s">
        <v>423</v>
      </c>
      <c r="B41" s="410" t="s">
        <v>424</v>
      </c>
      <c r="C41" s="417" t="s">
        <v>64</v>
      </c>
      <c r="D41" s="214">
        <v>0</v>
      </c>
      <c r="E41" s="215">
        <v>110</v>
      </c>
      <c r="F41" s="215"/>
      <c r="G41" s="216">
        <v>27.5</v>
      </c>
      <c r="H41" s="216">
        <v>210</v>
      </c>
      <c r="I41" s="418">
        <f t="shared" si="6"/>
        <v>5775</v>
      </c>
      <c r="J41" s="419"/>
      <c r="K41" s="420"/>
      <c r="L41" s="421">
        <f t="shared" si="7"/>
        <v>5775</v>
      </c>
      <c r="M41" s="422"/>
    </row>
    <row r="42" spans="1:13" s="1" customFormat="1" ht="20.100000000000001" customHeight="1" thickTop="1" thickBot="1">
      <c r="A42" s="38"/>
      <c r="B42" s="31" t="s">
        <v>115</v>
      </c>
      <c r="C42" s="34"/>
      <c r="D42" s="35"/>
      <c r="E42" s="36"/>
      <c r="F42" s="36"/>
      <c r="G42" s="36"/>
      <c r="H42" s="37"/>
      <c r="I42" s="267">
        <f>SUM(I36:I41)</f>
        <v>123907.15</v>
      </c>
      <c r="J42" s="266"/>
      <c r="K42" s="267"/>
      <c r="L42" s="267">
        <f>SUM(L36:L41)</f>
        <v>123907.15</v>
      </c>
      <c r="M42" s="268" t="s">
        <v>34</v>
      </c>
    </row>
    <row r="43" spans="1:13" s="7" customFormat="1" ht="20.100000000000001" customHeight="1" thickTop="1">
      <c r="A43" s="134" t="s">
        <v>19</v>
      </c>
      <c r="B43" s="83" t="s">
        <v>166</v>
      </c>
      <c r="C43" s="59"/>
      <c r="D43" s="60"/>
      <c r="E43" s="135"/>
      <c r="F43" s="113"/>
      <c r="G43" s="61"/>
      <c r="H43" s="378"/>
      <c r="I43" s="176"/>
      <c r="J43" s="176"/>
      <c r="K43" s="176"/>
      <c r="L43" s="62"/>
      <c r="M43" s="177"/>
    </row>
    <row r="44" spans="1:13" s="7" customFormat="1" ht="20.100000000000001" customHeight="1">
      <c r="A44" s="178" t="s">
        <v>116</v>
      </c>
      <c r="B44" s="211" t="s">
        <v>222</v>
      </c>
      <c r="C44" s="98" t="s">
        <v>64</v>
      </c>
      <c r="D44" s="99">
        <v>0</v>
      </c>
      <c r="E44" s="100" t="e">
        <f>E21/2</f>
        <v>#REF!</v>
      </c>
      <c r="F44" s="101"/>
      <c r="G44" s="101">
        <v>118.3</v>
      </c>
      <c r="H44" s="101">
        <v>27</v>
      </c>
      <c r="I44" s="102">
        <f>G44*H44</f>
        <v>3194.1</v>
      </c>
      <c r="J44" s="102">
        <v>29</v>
      </c>
      <c r="K44" s="102">
        <f>G44*J44</f>
        <v>3430.7</v>
      </c>
      <c r="L44" s="103">
        <f>K44+I44</f>
        <v>6624.7999999999993</v>
      </c>
      <c r="M44" s="70"/>
    </row>
    <row r="45" spans="1:13" s="7" customFormat="1" ht="20.100000000000001" customHeight="1">
      <c r="A45" s="178" t="s">
        <v>117</v>
      </c>
      <c r="B45" s="211" t="s">
        <v>223</v>
      </c>
      <c r="C45" s="98" t="s">
        <v>64</v>
      </c>
      <c r="D45" s="99">
        <v>0</v>
      </c>
      <c r="E45" s="100" t="e">
        <f>E21/2</f>
        <v>#REF!</v>
      </c>
      <c r="F45" s="101"/>
      <c r="G45" s="101">
        <v>120.3</v>
      </c>
      <c r="H45" s="101">
        <v>30</v>
      </c>
      <c r="I45" s="102">
        <f>G45*H45</f>
        <v>3609</v>
      </c>
      <c r="J45" s="102">
        <v>29</v>
      </c>
      <c r="K45" s="102">
        <f>G45*J45</f>
        <v>3488.7</v>
      </c>
      <c r="L45" s="103">
        <f>K45+I45</f>
        <v>7097.7</v>
      </c>
      <c r="M45" s="70"/>
    </row>
    <row r="46" spans="1:13" s="7" customFormat="1" ht="20.100000000000001" customHeight="1">
      <c r="A46" s="178" t="s">
        <v>118</v>
      </c>
      <c r="B46" s="211" t="s">
        <v>224</v>
      </c>
      <c r="C46" s="98" t="s">
        <v>64</v>
      </c>
      <c r="D46" s="99">
        <v>0</v>
      </c>
      <c r="E46" s="100" t="e">
        <f>#REF!+#REF!+#REF!+#REF!-26</f>
        <v>#REF!</v>
      </c>
      <c r="F46" s="100"/>
      <c r="G46" s="101">
        <v>117</v>
      </c>
      <c r="H46" s="101">
        <v>30</v>
      </c>
      <c r="I46" s="102">
        <f>G46*H46</f>
        <v>3510</v>
      </c>
      <c r="J46" s="102">
        <v>30</v>
      </c>
      <c r="K46" s="102">
        <f>G46*J46</f>
        <v>3510</v>
      </c>
      <c r="L46" s="103">
        <f>K46+I46</f>
        <v>7020</v>
      </c>
      <c r="M46" s="70"/>
    </row>
    <row r="47" spans="1:13" s="7" customFormat="1" ht="20.100000000000001" customHeight="1">
      <c r="A47" s="178" t="s">
        <v>119</v>
      </c>
      <c r="B47" s="211" t="s">
        <v>225</v>
      </c>
      <c r="C47" s="98" t="s">
        <v>64</v>
      </c>
      <c r="D47" s="99">
        <v>0</v>
      </c>
      <c r="E47" s="100" t="e">
        <f>#REF!+#REF!+#REF!+#REF!-26</f>
        <v>#REF!</v>
      </c>
      <c r="F47" s="100"/>
      <c r="G47" s="101">
        <v>70.2</v>
      </c>
      <c r="H47" s="101">
        <v>35</v>
      </c>
      <c r="I47" s="102">
        <f>G47*H47</f>
        <v>2457</v>
      </c>
      <c r="J47" s="102">
        <v>36</v>
      </c>
      <c r="K47" s="102">
        <f>G47*J47</f>
        <v>2527.2000000000003</v>
      </c>
      <c r="L47" s="103">
        <f>K47+I47</f>
        <v>4984.2000000000007</v>
      </c>
      <c r="M47" s="70"/>
    </row>
    <row r="48" spans="1:13" s="7" customFormat="1" ht="0.75" customHeight="1">
      <c r="A48" s="219"/>
      <c r="B48" s="272"/>
      <c r="C48" s="192"/>
      <c r="D48" s="193">
        <v>0</v>
      </c>
      <c r="E48" s="194">
        <v>337</v>
      </c>
      <c r="F48" s="195"/>
      <c r="G48" s="195"/>
      <c r="H48" s="195"/>
      <c r="I48" s="196"/>
      <c r="J48" s="196"/>
      <c r="K48" s="196"/>
      <c r="L48" s="197"/>
      <c r="M48" s="81"/>
    </row>
    <row r="49" spans="1:17" s="7" customFormat="1" ht="20.100000000000001" customHeight="1">
      <c r="A49" s="178" t="s">
        <v>0</v>
      </c>
      <c r="B49" s="181" t="s">
        <v>181</v>
      </c>
      <c r="C49" s="98" t="s">
        <v>173</v>
      </c>
      <c r="D49" s="99">
        <v>0</v>
      </c>
      <c r="E49" s="100" t="e">
        <f>#REF!</f>
        <v>#REF!</v>
      </c>
      <c r="F49" s="101"/>
      <c r="G49" s="101">
        <v>84.4</v>
      </c>
      <c r="H49" s="101">
        <v>35</v>
      </c>
      <c r="I49" s="102">
        <f>G49*H49</f>
        <v>2954</v>
      </c>
      <c r="J49" s="102">
        <v>25</v>
      </c>
      <c r="K49" s="102">
        <f>G49*J49</f>
        <v>2110</v>
      </c>
      <c r="L49" s="103">
        <f>K49+I49</f>
        <v>5064</v>
      </c>
      <c r="M49" s="70"/>
    </row>
    <row r="50" spans="1:17" s="7" customFormat="1" ht="20.100000000000001" customHeight="1">
      <c r="A50" s="178" t="s">
        <v>180</v>
      </c>
      <c r="B50" s="220" t="s">
        <v>196</v>
      </c>
      <c r="C50" s="98" t="s">
        <v>173</v>
      </c>
      <c r="D50" s="99">
        <v>0</v>
      </c>
      <c r="E50" s="100" t="e">
        <f>#REF!</f>
        <v>#REF!</v>
      </c>
      <c r="F50" s="100"/>
      <c r="G50" s="101">
        <v>67.11</v>
      </c>
      <c r="H50" s="101">
        <v>30</v>
      </c>
      <c r="I50" s="102">
        <f>G50*H50</f>
        <v>2013.3</v>
      </c>
      <c r="J50" s="102">
        <v>20</v>
      </c>
      <c r="K50" s="102">
        <f>G50*J50</f>
        <v>1342.2</v>
      </c>
      <c r="L50" s="103">
        <f>K50+I50</f>
        <v>3355.5</v>
      </c>
      <c r="M50" s="70"/>
    </row>
    <row r="51" spans="1:17" s="7" customFormat="1" ht="20.100000000000001" customHeight="1">
      <c r="A51" s="178" t="s">
        <v>383</v>
      </c>
      <c r="B51" s="220" t="s">
        <v>171</v>
      </c>
      <c r="C51" s="98" t="s">
        <v>168</v>
      </c>
      <c r="D51" s="99">
        <v>0</v>
      </c>
      <c r="E51" s="100" t="e">
        <f>#REF!</f>
        <v>#REF!</v>
      </c>
      <c r="F51" s="101"/>
      <c r="G51" s="101">
        <v>1</v>
      </c>
      <c r="H51" s="101">
        <v>3000</v>
      </c>
      <c r="I51" s="102">
        <f>G51*H51</f>
        <v>3000</v>
      </c>
      <c r="J51" s="102"/>
      <c r="K51" s="102">
        <f>G51*J51</f>
        <v>0</v>
      </c>
      <c r="L51" s="103">
        <f>K51+I51</f>
        <v>3000</v>
      </c>
      <c r="M51" s="104"/>
    </row>
    <row r="52" spans="1:17" s="1" customFormat="1" ht="20.100000000000001" customHeight="1" thickBot="1">
      <c r="A52" s="221"/>
      <c r="B52" s="271"/>
      <c r="C52" s="106"/>
      <c r="D52" s="107"/>
      <c r="E52" s="108"/>
      <c r="F52" s="109"/>
      <c r="G52" s="109"/>
      <c r="H52" s="109"/>
      <c r="I52" s="110"/>
      <c r="J52" s="110"/>
      <c r="K52" s="110"/>
      <c r="L52" s="111"/>
      <c r="M52" s="112"/>
    </row>
    <row r="53" spans="1:17" s="1" customFormat="1" ht="20.100000000000001" customHeight="1" thickTop="1" thickBot="1">
      <c r="A53" s="261"/>
      <c r="B53" s="262" t="s">
        <v>207</v>
      </c>
      <c r="C53" s="263"/>
      <c r="D53" s="264"/>
      <c r="E53" s="265"/>
      <c r="F53" s="265"/>
      <c r="G53" s="265"/>
      <c r="H53" s="266"/>
      <c r="I53" s="267">
        <f>SUM(I43:I52)</f>
        <v>20737.400000000001</v>
      </c>
      <c r="J53" s="266"/>
      <c r="K53" s="267">
        <f>SUM(K43:K52)</f>
        <v>16408.8</v>
      </c>
      <c r="L53" s="267">
        <f>SUM(L43:L52)</f>
        <v>37146.199999999997</v>
      </c>
      <c r="M53" s="268"/>
    </row>
    <row r="54" spans="1:17" s="1" customFormat="1" ht="20.100000000000001" customHeight="1" thickTop="1">
      <c r="A54" s="114" t="s">
        <v>20</v>
      </c>
      <c r="B54" s="115" t="s">
        <v>418</v>
      </c>
      <c r="C54" s="85"/>
      <c r="D54" s="86"/>
      <c r="E54" s="87"/>
      <c r="F54" s="66"/>
      <c r="G54" s="66"/>
      <c r="H54" s="358"/>
      <c r="I54" s="116"/>
      <c r="J54" s="116"/>
      <c r="K54" s="116"/>
      <c r="L54" s="68"/>
      <c r="M54" s="117"/>
    </row>
    <row r="55" spans="1:17" s="1" customFormat="1" ht="20.100000000000001" customHeight="1">
      <c r="A55" s="71" t="s">
        <v>120</v>
      </c>
      <c r="B55" s="88" t="s">
        <v>178</v>
      </c>
      <c r="C55" s="73"/>
      <c r="D55" s="74"/>
      <c r="E55" s="149"/>
      <c r="F55" s="92"/>
      <c r="G55" s="75"/>
      <c r="H55" s="379"/>
      <c r="I55" s="164"/>
      <c r="J55" s="164"/>
      <c r="K55" s="164"/>
      <c r="L55" s="77"/>
      <c r="M55" s="95"/>
    </row>
    <row r="56" spans="1:17" s="1" customFormat="1" ht="20.100000000000001" customHeight="1">
      <c r="A56" s="178" t="s">
        <v>121</v>
      </c>
      <c r="B56" s="179" t="s">
        <v>197</v>
      </c>
      <c r="C56" s="98" t="s">
        <v>122</v>
      </c>
      <c r="D56" s="99"/>
      <c r="E56" s="100"/>
      <c r="F56" s="101"/>
      <c r="G56" s="101">
        <v>3</v>
      </c>
      <c r="H56" s="101">
        <v>5520</v>
      </c>
      <c r="I56" s="102">
        <f t="shared" ref="I56:I62" si="8">G56*H56</f>
        <v>16560</v>
      </c>
      <c r="J56" s="102"/>
      <c r="K56" s="102"/>
      <c r="L56" s="103">
        <f t="shared" ref="L56:L62" si="9">K56+I56</f>
        <v>16560</v>
      </c>
      <c r="M56" s="104" t="s">
        <v>34</v>
      </c>
    </row>
    <row r="57" spans="1:17" s="7" customFormat="1" ht="18.899999999999999" customHeight="1">
      <c r="A57" s="178" t="s">
        <v>123</v>
      </c>
      <c r="B57" s="179" t="s">
        <v>198</v>
      </c>
      <c r="C57" s="98" t="s">
        <v>122</v>
      </c>
      <c r="D57" s="99"/>
      <c r="E57" s="100"/>
      <c r="F57" s="101"/>
      <c r="G57" s="101">
        <v>2</v>
      </c>
      <c r="H57" s="276">
        <v>23750</v>
      </c>
      <c r="I57" s="102">
        <f t="shared" si="8"/>
        <v>47500</v>
      </c>
      <c r="J57" s="249"/>
      <c r="K57" s="249"/>
      <c r="L57" s="103">
        <f t="shared" si="9"/>
        <v>47500</v>
      </c>
      <c r="M57" s="104" t="s">
        <v>34</v>
      </c>
      <c r="O57" s="273"/>
      <c r="P57" s="274"/>
      <c r="Q57" s="5"/>
    </row>
    <row r="58" spans="1:17" s="7" customFormat="1" ht="18.899999999999999" customHeight="1">
      <c r="A58" s="178" t="s">
        <v>124</v>
      </c>
      <c r="B58" s="179" t="s">
        <v>199</v>
      </c>
      <c r="C58" s="98" t="s">
        <v>122</v>
      </c>
      <c r="D58" s="99">
        <v>0</v>
      </c>
      <c r="E58" s="100">
        <v>6</v>
      </c>
      <c r="F58" s="101"/>
      <c r="G58" s="101">
        <v>1</v>
      </c>
      <c r="H58" s="276">
        <v>10500</v>
      </c>
      <c r="I58" s="102">
        <f t="shared" si="8"/>
        <v>10500</v>
      </c>
      <c r="J58" s="249"/>
      <c r="K58" s="249"/>
      <c r="L58" s="103">
        <f t="shared" si="9"/>
        <v>10500</v>
      </c>
      <c r="M58" s="104"/>
      <c r="O58" s="273">
        <v>6.38</v>
      </c>
      <c r="P58" s="274">
        <v>2500</v>
      </c>
      <c r="Q58" s="5" t="s">
        <v>209</v>
      </c>
    </row>
    <row r="59" spans="1:17" s="7" customFormat="1" ht="18.899999999999999" customHeight="1">
      <c r="A59" s="178" t="s">
        <v>125</v>
      </c>
      <c r="B59" s="179" t="s">
        <v>200</v>
      </c>
      <c r="C59" s="98" t="s">
        <v>122</v>
      </c>
      <c r="D59" s="99"/>
      <c r="E59" s="100"/>
      <c r="F59" s="101"/>
      <c r="G59" s="101">
        <v>3</v>
      </c>
      <c r="H59" s="276">
        <v>10250</v>
      </c>
      <c r="I59" s="102">
        <f t="shared" si="8"/>
        <v>30750</v>
      </c>
      <c r="J59" s="249"/>
      <c r="K59" s="249"/>
      <c r="L59" s="103">
        <f t="shared" si="9"/>
        <v>30750</v>
      </c>
      <c r="M59" s="104"/>
      <c r="O59" s="273">
        <v>5.38</v>
      </c>
      <c r="P59" s="274">
        <v>2500</v>
      </c>
      <c r="Q59" s="5" t="s">
        <v>209</v>
      </c>
    </row>
    <row r="60" spans="1:17" s="7" customFormat="1" ht="18.899999999999999" customHeight="1">
      <c r="A60" s="178" t="s">
        <v>126</v>
      </c>
      <c r="B60" s="179" t="s">
        <v>201</v>
      </c>
      <c r="C60" s="98" t="s">
        <v>122</v>
      </c>
      <c r="D60" s="99"/>
      <c r="E60" s="100"/>
      <c r="F60" s="101"/>
      <c r="G60" s="101">
        <v>1</v>
      </c>
      <c r="H60" s="101">
        <v>30250</v>
      </c>
      <c r="I60" s="102">
        <f t="shared" si="8"/>
        <v>30250</v>
      </c>
      <c r="J60" s="102"/>
      <c r="K60" s="102"/>
      <c r="L60" s="103">
        <f t="shared" si="9"/>
        <v>30250</v>
      </c>
      <c r="M60" s="104"/>
      <c r="O60" s="273">
        <v>3.44</v>
      </c>
      <c r="P60" s="274">
        <v>2500</v>
      </c>
      <c r="Q60" s="5" t="s">
        <v>209</v>
      </c>
    </row>
    <row r="61" spans="1:17" s="7" customFormat="1" ht="18.899999999999999" customHeight="1">
      <c r="A61" s="178" t="s">
        <v>127</v>
      </c>
      <c r="B61" s="179" t="s">
        <v>202</v>
      </c>
      <c r="C61" s="98" t="s">
        <v>122</v>
      </c>
      <c r="D61" s="99">
        <v>0</v>
      </c>
      <c r="E61" s="100"/>
      <c r="F61" s="101"/>
      <c r="G61" s="101">
        <v>3</v>
      </c>
      <c r="H61" s="101">
        <v>5520</v>
      </c>
      <c r="I61" s="102">
        <f t="shared" si="8"/>
        <v>16560</v>
      </c>
      <c r="J61" s="102"/>
      <c r="K61" s="102"/>
      <c r="L61" s="103">
        <f t="shared" si="9"/>
        <v>16560</v>
      </c>
      <c r="M61" s="104"/>
      <c r="O61" s="273"/>
      <c r="P61" s="274"/>
      <c r="Q61" s="275"/>
    </row>
    <row r="62" spans="1:17" s="7" customFormat="1" ht="18.899999999999999" customHeight="1">
      <c r="A62" s="178" t="s">
        <v>411</v>
      </c>
      <c r="B62" s="179" t="s">
        <v>412</v>
      </c>
      <c r="C62" s="98" t="s">
        <v>122</v>
      </c>
      <c r="D62" s="99">
        <v>0</v>
      </c>
      <c r="E62" s="100">
        <f>22+6</f>
        <v>28</v>
      </c>
      <c r="F62" s="101"/>
      <c r="G62" s="101">
        <v>3</v>
      </c>
      <c r="H62" s="101">
        <v>5520</v>
      </c>
      <c r="I62" s="102">
        <f t="shared" si="8"/>
        <v>16560</v>
      </c>
      <c r="J62" s="102"/>
      <c r="K62" s="102"/>
      <c r="L62" s="103">
        <f t="shared" si="9"/>
        <v>16560</v>
      </c>
      <c r="M62" s="104"/>
      <c r="O62" s="273"/>
      <c r="P62" s="274"/>
      <c r="Q62" s="275"/>
    </row>
    <row r="63" spans="1:17" s="7" customFormat="1" ht="18.899999999999999" customHeight="1">
      <c r="A63" s="392"/>
      <c r="M63" s="393"/>
      <c r="O63" s="273"/>
      <c r="P63" s="274"/>
      <c r="Q63" s="275"/>
    </row>
    <row r="64" spans="1:17" s="1" customFormat="1" ht="18.899999999999999" customHeight="1">
      <c r="A64" s="141" t="s">
        <v>128</v>
      </c>
      <c r="B64" s="359" t="s">
        <v>129</v>
      </c>
      <c r="C64" s="143"/>
      <c r="D64" s="144"/>
      <c r="E64" s="145"/>
      <c r="F64" s="101"/>
      <c r="G64" s="146"/>
      <c r="H64" s="380"/>
      <c r="I64" s="249"/>
      <c r="J64" s="249"/>
      <c r="K64" s="249"/>
      <c r="L64" s="147"/>
      <c r="M64" s="104"/>
      <c r="O64" s="273"/>
      <c r="P64" s="274"/>
      <c r="Q64" s="275"/>
    </row>
    <row r="65" spans="1:17" s="1" customFormat="1" ht="18.899999999999999" customHeight="1">
      <c r="A65" s="178" t="s">
        <v>130</v>
      </c>
      <c r="B65" s="179" t="s">
        <v>203</v>
      </c>
      <c r="C65" s="98" t="s">
        <v>122</v>
      </c>
      <c r="D65" s="99">
        <v>0</v>
      </c>
      <c r="E65" s="100">
        <v>4</v>
      </c>
      <c r="F65" s="101"/>
      <c r="G65" s="101">
        <v>2</v>
      </c>
      <c r="H65" s="276">
        <v>4312</v>
      </c>
      <c r="I65" s="102">
        <f>G65*H65</f>
        <v>8624</v>
      </c>
      <c r="J65" s="249"/>
      <c r="K65" s="249"/>
      <c r="L65" s="103">
        <f>K65+I65</f>
        <v>8624</v>
      </c>
      <c r="M65" s="104"/>
      <c r="O65" s="273">
        <v>1.62</v>
      </c>
      <c r="P65" s="274">
        <v>2500</v>
      </c>
      <c r="Q65" s="5" t="s">
        <v>209</v>
      </c>
    </row>
    <row r="66" spans="1:17" s="1" customFormat="1" ht="18.899999999999999" customHeight="1">
      <c r="A66" s="178" t="s">
        <v>131</v>
      </c>
      <c r="B66" s="179" t="s">
        <v>204</v>
      </c>
      <c r="C66" s="98" t="s">
        <v>122</v>
      </c>
      <c r="D66" s="99"/>
      <c r="E66" s="100">
        <v>4</v>
      </c>
      <c r="F66" s="101"/>
      <c r="G66" s="101">
        <v>2</v>
      </c>
      <c r="H66" s="276">
        <v>2000</v>
      </c>
      <c r="I66" s="102">
        <f>G66*H66</f>
        <v>4000</v>
      </c>
      <c r="J66" s="249"/>
      <c r="K66" s="249"/>
      <c r="L66" s="103">
        <f>K66+I66</f>
        <v>4000</v>
      </c>
      <c r="M66" s="104"/>
      <c r="O66" s="273">
        <v>1.0249999999999999</v>
      </c>
      <c r="P66" s="274">
        <v>3500</v>
      </c>
      <c r="Q66" s="275" t="s">
        <v>210</v>
      </c>
    </row>
    <row r="67" spans="1:17" s="1" customFormat="1" ht="18.899999999999999" customHeight="1">
      <c r="A67" s="178" t="s">
        <v>384</v>
      </c>
      <c r="B67" s="179" t="s">
        <v>385</v>
      </c>
      <c r="C67" s="98" t="s">
        <v>122</v>
      </c>
      <c r="D67" s="99"/>
      <c r="E67" s="100">
        <v>4</v>
      </c>
      <c r="F67" s="101"/>
      <c r="G67" s="101">
        <v>1</v>
      </c>
      <c r="H67" s="276">
        <v>4600</v>
      </c>
      <c r="I67" s="102">
        <f>G67*H67</f>
        <v>4600</v>
      </c>
      <c r="J67" s="249"/>
      <c r="K67" s="249"/>
      <c r="L67" s="103">
        <f>K67+I67</f>
        <v>4600</v>
      </c>
      <c r="M67" s="104"/>
      <c r="O67" s="273">
        <v>0.27500000000000002</v>
      </c>
      <c r="P67" s="274">
        <v>7800</v>
      </c>
      <c r="Q67" s="275" t="s">
        <v>211</v>
      </c>
    </row>
    <row r="68" spans="1:17" s="1" customFormat="1" ht="18.899999999999999" customHeight="1" thickBot="1">
      <c r="A68" s="178" t="s">
        <v>416</v>
      </c>
      <c r="B68" s="179" t="s">
        <v>417</v>
      </c>
      <c r="C68" s="106" t="s">
        <v>122</v>
      </c>
      <c r="D68" s="107"/>
      <c r="E68" s="108">
        <v>4</v>
      </c>
      <c r="F68" s="109"/>
      <c r="G68" s="109">
        <v>3</v>
      </c>
      <c r="H68" s="423">
        <v>750</v>
      </c>
      <c r="I68" s="110">
        <f>G68*H68</f>
        <v>2250</v>
      </c>
      <c r="J68" s="424"/>
      <c r="K68" s="424"/>
      <c r="L68" s="111">
        <f>K68+I68</f>
        <v>2250</v>
      </c>
      <c r="M68" s="112"/>
      <c r="O68" s="273">
        <v>0.68</v>
      </c>
      <c r="P68" s="274">
        <v>3500</v>
      </c>
      <c r="Q68" s="275" t="s">
        <v>210</v>
      </c>
    </row>
    <row r="69" spans="1:17" s="1" customFormat="1" ht="18.899999999999999" customHeight="1" thickTop="1" thickBot="1">
      <c r="A69" s="30"/>
      <c r="B69" s="31" t="s">
        <v>132</v>
      </c>
      <c r="C69" s="263"/>
      <c r="D69" s="264"/>
      <c r="E69" s="265"/>
      <c r="F69" s="265"/>
      <c r="G69" s="265"/>
      <c r="H69" s="266"/>
      <c r="I69" s="267">
        <f>SUM(I56:I68)</f>
        <v>188154</v>
      </c>
      <c r="J69" s="266"/>
      <c r="K69" s="267"/>
      <c r="L69" s="267">
        <f>SUM(L56:L68)</f>
        <v>188154</v>
      </c>
      <c r="M69" s="268"/>
      <c r="O69" s="273">
        <v>4.68</v>
      </c>
      <c r="P69" s="274">
        <v>2800</v>
      </c>
      <c r="Q69" s="275" t="s">
        <v>210</v>
      </c>
    </row>
    <row r="70" spans="1:17" s="1" customFormat="1" ht="18.899999999999999" customHeight="1" thickTop="1">
      <c r="A70" s="64" t="s">
        <v>21</v>
      </c>
      <c r="B70" s="65" t="s">
        <v>195</v>
      </c>
      <c r="C70" s="85"/>
      <c r="D70" s="86"/>
      <c r="E70" s="87"/>
      <c r="F70" s="66"/>
      <c r="G70" s="66"/>
      <c r="H70" s="381"/>
      <c r="I70" s="67"/>
      <c r="J70" s="67"/>
      <c r="K70" s="67"/>
      <c r="L70" s="68"/>
      <c r="M70" s="69"/>
      <c r="O70" s="273">
        <v>3.01</v>
      </c>
      <c r="P70" s="274">
        <v>2800</v>
      </c>
      <c r="Q70" s="275" t="s">
        <v>210</v>
      </c>
    </row>
    <row r="71" spans="1:17" s="1" customFormat="1" ht="18.899999999999999" customHeight="1">
      <c r="A71" s="254" t="s">
        <v>133</v>
      </c>
      <c r="B71" s="88" t="s">
        <v>386</v>
      </c>
      <c r="C71" s="89"/>
      <c r="D71" s="90"/>
      <c r="E71" s="91"/>
      <c r="F71" s="92"/>
      <c r="G71" s="92"/>
      <c r="H71" s="382"/>
      <c r="I71" s="343"/>
      <c r="J71" s="343"/>
      <c r="K71" s="343"/>
      <c r="L71" s="344"/>
      <c r="M71" s="312"/>
      <c r="O71" s="273"/>
      <c r="P71" s="274"/>
      <c r="Q71" s="275"/>
    </row>
    <row r="72" spans="1:17" s="1" customFormat="1" ht="18.899999999999999" customHeight="1">
      <c r="A72" s="96" t="s">
        <v>134</v>
      </c>
      <c r="B72" s="179" t="s">
        <v>226</v>
      </c>
      <c r="C72" s="98" t="s">
        <v>122</v>
      </c>
      <c r="D72" s="99">
        <v>0</v>
      </c>
      <c r="E72" s="100">
        <v>12</v>
      </c>
      <c r="F72" s="101"/>
      <c r="G72" s="101">
        <v>1</v>
      </c>
      <c r="H72" s="382">
        <v>4628</v>
      </c>
      <c r="I72" s="102">
        <f t="shared" ref="I72:I85" si="10">G72*H72</f>
        <v>4628</v>
      </c>
      <c r="J72" s="343"/>
      <c r="K72" s="343"/>
      <c r="L72" s="103">
        <f t="shared" ref="L72:L88" si="11">K72+I72</f>
        <v>4628</v>
      </c>
      <c r="M72" s="312"/>
      <c r="O72" s="273"/>
      <c r="P72" s="274"/>
      <c r="Q72" s="275"/>
    </row>
    <row r="73" spans="1:17" s="1" customFormat="1" ht="18.899999999999999" customHeight="1">
      <c r="A73" s="96" t="s">
        <v>135</v>
      </c>
      <c r="B73" s="224" t="s">
        <v>227</v>
      </c>
      <c r="C73" s="98" t="s">
        <v>122</v>
      </c>
      <c r="D73" s="99">
        <v>0</v>
      </c>
      <c r="E73" s="100">
        <v>28</v>
      </c>
      <c r="F73" s="101"/>
      <c r="G73" s="101">
        <v>1</v>
      </c>
      <c r="H73" s="382">
        <v>150</v>
      </c>
      <c r="I73" s="102">
        <f t="shared" si="10"/>
        <v>150</v>
      </c>
      <c r="J73" s="343"/>
      <c r="K73" s="343"/>
      <c r="L73" s="103">
        <f t="shared" si="11"/>
        <v>150</v>
      </c>
      <c r="M73" s="312"/>
      <c r="O73" s="273"/>
      <c r="P73" s="274"/>
      <c r="Q73" s="275"/>
    </row>
    <row r="74" spans="1:17" s="1" customFormat="1" ht="18.899999999999999" customHeight="1">
      <c r="A74" s="96" t="s">
        <v>136</v>
      </c>
      <c r="B74" s="224" t="s">
        <v>228</v>
      </c>
      <c r="C74" s="98" t="s">
        <v>122</v>
      </c>
      <c r="D74" s="99">
        <v>0</v>
      </c>
      <c r="E74" s="100">
        <v>28</v>
      </c>
      <c r="F74" s="101"/>
      <c r="G74" s="101">
        <v>1</v>
      </c>
      <c r="H74" s="382">
        <v>94</v>
      </c>
      <c r="I74" s="102">
        <f t="shared" si="10"/>
        <v>94</v>
      </c>
      <c r="J74" s="343"/>
      <c r="K74" s="343"/>
      <c r="L74" s="103">
        <f t="shared" si="11"/>
        <v>94</v>
      </c>
      <c r="M74" s="312"/>
      <c r="O74" s="273"/>
      <c r="P74" s="274"/>
      <c r="Q74" s="275"/>
    </row>
    <row r="75" spans="1:17" s="1" customFormat="1" ht="18.899999999999999" customHeight="1">
      <c r="A75" s="96" t="s">
        <v>137</v>
      </c>
      <c r="B75" s="179" t="s">
        <v>229</v>
      </c>
      <c r="C75" s="98" t="s">
        <v>122</v>
      </c>
      <c r="D75" s="99">
        <v>0</v>
      </c>
      <c r="E75" s="100">
        <v>16</v>
      </c>
      <c r="F75" s="101"/>
      <c r="G75" s="101">
        <v>1</v>
      </c>
      <c r="H75" s="382">
        <v>2440</v>
      </c>
      <c r="I75" s="102">
        <f t="shared" si="10"/>
        <v>2440</v>
      </c>
      <c r="J75" s="343"/>
      <c r="K75" s="343"/>
      <c r="L75" s="103">
        <f t="shared" si="11"/>
        <v>2440</v>
      </c>
      <c r="M75" s="312"/>
      <c r="O75" s="273"/>
      <c r="P75" s="274"/>
      <c r="Q75" s="275"/>
    </row>
    <row r="76" spans="1:17" s="1" customFormat="1" ht="18.899999999999999" customHeight="1">
      <c r="A76" s="96" t="s">
        <v>138</v>
      </c>
      <c r="B76" s="224" t="s">
        <v>230</v>
      </c>
      <c r="C76" s="98" t="s">
        <v>122</v>
      </c>
      <c r="D76" s="99">
        <v>0</v>
      </c>
      <c r="E76" s="100">
        <v>12</v>
      </c>
      <c r="F76" s="101"/>
      <c r="G76" s="101">
        <v>1</v>
      </c>
      <c r="H76" s="382">
        <v>894.6</v>
      </c>
      <c r="I76" s="102">
        <f t="shared" si="10"/>
        <v>894.6</v>
      </c>
      <c r="J76" s="343"/>
      <c r="K76" s="343"/>
      <c r="L76" s="103">
        <f t="shared" si="11"/>
        <v>894.6</v>
      </c>
      <c r="M76" s="312"/>
      <c r="O76" s="273"/>
      <c r="P76" s="274"/>
      <c r="Q76" s="275"/>
    </row>
    <row r="77" spans="1:17" s="1" customFormat="1" ht="18.899999999999999" customHeight="1">
      <c r="A77" s="96" t="s">
        <v>139</v>
      </c>
      <c r="B77" s="180" t="s">
        <v>231</v>
      </c>
      <c r="C77" s="98" t="s">
        <v>122</v>
      </c>
      <c r="D77" s="99">
        <v>0</v>
      </c>
      <c r="E77" s="100">
        <v>20</v>
      </c>
      <c r="F77" s="101"/>
      <c r="G77" s="101">
        <v>1</v>
      </c>
      <c r="H77" s="382">
        <v>670</v>
      </c>
      <c r="I77" s="102">
        <f t="shared" si="10"/>
        <v>670</v>
      </c>
      <c r="J77" s="343"/>
      <c r="K77" s="343"/>
      <c r="L77" s="103">
        <f t="shared" si="11"/>
        <v>670</v>
      </c>
      <c r="M77" s="312"/>
      <c r="O77" s="273"/>
      <c r="P77" s="274"/>
      <c r="Q77" s="275"/>
    </row>
    <row r="78" spans="1:17" s="1" customFormat="1" ht="18.899999999999999" customHeight="1">
      <c r="A78" s="96" t="s">
        <v>140</v>
      </c>
      <c r="B78" s="180" t="s">
        <v>232</v>
      </c>
      <c r="C78" s="98" t="s">
        <v>122</v>
      </c>
      <c r="D78" s="99">
        <v>0</v>
      </c>
      <c r="E78" s="100">
        <v>20</v>
      </c>
      <c r="F78" s="101"/>
      <c r="G78" s="101">
        <v>1</v>
      </c>
      <c r="H78" s="382">
        <v>300</v>
      </c>
      <c r="I78" s="102">
        <f t="shared" si="10"/>
        <v>300</v>
      </c>
      <c r="J78" s="343"/>
      <c r="K78" s="343"/>
      <c r="L78" s="103">
        <f t="shared" si="11"/>
        <v>300</v>
      </c>
      <c r="M78" s="312"/>
      <c r="O78" s="273"/>
      <c r="P78" s="274"/>
      <c r="Q78" s="275"/>
    </row>
    <row r="79" spans="1:17" s="1" customFormat="1" ht="18.899999999999999" customHeight="1">
      <c r="A79" s="96" t="s">
        <v>141</v>
      </c>
      <c r="B79" s="180" t="s">
        <v>233</v>
      </c>
      <c r="C79" s="98" t="s">
        <v>122</v>
      </c>
      <c r="D79" s="99">
        <v>0</v>
      </c>
      <c r="E79" s="100">
        <v>20</v>
      </c>
      <c r="F79" s="101"/>
      <c r="G79" s="101">
        <v>1</v>
      </c>
      <c r="H79" s="382">
        <v>94</v>
      </c>
      <c r="I79" s="102">
        <f t="shared" si="10"/>
        <v>94</v>
      </c>
      <c r="J79" s="343"/>
      <c r="K79" s="343"/>
      <c r="L79" s="103">
        <f t="shared" si="11"/>
        <v>94</v>
      </c>
      <c r="M79" s="312"/>
      <c r="O79" s="273"/>
      <c r="P79" s="274"/>
      <c r="Q79" s="275"/>
    </row>
    <row r="80" spans="1:17" s="1" customFormat="1" ht="18.899999999999999" customHeight="1">
      <c r="A80" s="96" t="s">
        <v>142</v>
      </c>
      <c r="B80" s="180" t="s">
        <v>245</v>
      </c>
      <c r="C80" s="98" t="s">
        <v>122</v>
      </c>
      <c r="D80" s="99">
        <v>0</v>
      </c>
      <c r="E80" s="100">
        <v>20</v>
      </c>
      <c r="F80" s="101"/>
      <c r="G80" s="101">
        <v>1</v>
      </c>
      <c r="H80" s="382">
        <v>315</v>
      </c>
      <c r="I80" s="102">
        <f t="shared" si="10"/>
        <v>315</v>
      </c>
      <c r="J80" s="343"/>
      <c r="K80" s="343"/>
      <c r="L80" s="103">
        <f t="shared" si="11"/>
        <v>315</v>
      </c>
      <c r="M80" s="312"/>
      <c r="O80" s="273"/>
      <c r="P80" s="274"/>
      <c r="Q80" s="275"/>
    </row>
    <row r="81" spans="1:17" s="1" customFormat="1" ht="18.899999999999999" customHeight="1">
      <c r="A81" s="96" t="s">
        <v>143</v>
      </c>
      <c r="B81" s="180" t="s">
        <v>234</v>
      </c>
      <c r="C81" s="98" t="s">
        <v>122</v>
      </c>
      <c r="D81" s="99">
        <v>0</v>
      </c>
      <c r="E81" s="100">
        <v>48</v>
      </c>
      <c r="F81" s="101"/>
      <c r="G81" s="101">
        <v>2</v>
      </c>
      <c r="H81" s="382">
        <v>231</v>
      </c>
      <c r="I81" s="102">
        <f t="shared" si="10"/>
        <v>462</v>
      </c>
      <c r="J81" s="343"/>
      <c r="K81" s="343"/>
      <c r="L81" s="103">
        <f t="shared" si="11"/>
        <v>462</v>
      </c>
      <c r="M81" s="312"/>
      <c r="O81" s="273"/>
      <c r="P81" s="274"/>
      <c r="Q81" s="275"/>
    </row>
    <row r="82" spans="1:17" s="1" customFormat="1" ht="18.899999999999999" customHeight="1">
      <c r="A82" s="96" t="s">
        <v>144</v>
      </c>
      <c r="B82" s="179" t="s">
        <v>246</v>
      </c>
      <c r="C82" s="98" t="s">
        <v>122</v>
      </c>
      <c r="D82" s="99">
        <v>0</v>
      </c>
      <c r="E82" s="100">
        <v>28</v>
      </c>
      <c r="F82" s="101"/>
      <c r="G82" s="101">
        <v>1</v>
      </c>
      <c r="H82" s="382">
        <v>350</v>
      </c>
      <c r="I82" s="102">
        <f t="shared" si="10"/>
        <v>350</v>
      </c>
      <c r="J82" s="343"/>
      <c r="K82" s="343"/>
      <c r="L82" s="103">
        <f t="shared" si="11"/>
        <v>350</v>
      </c>
      <c r="M82" s="312"/>
      <c r="O82" s="273"/>
      <c r="P82" s="274"/>
      <c r="Q82" s="275"/>
    </row>
    <row r="83" spans="1:17" s="1" customFormat="1" ht="18.899999999999999" customHeight="1">
      <c r="A83" s="96" t="s">
        <v>145</v>
      </c>
      <c r="B83" s="179" t="s">
        <v>235</v>
      </c>
      <c r="C83" s="98" t="s">
        <v>122</v>
      </c>
      <c r="D83" s="99">
        <v>0</v>
      </c>
      <c r="E83" s="100">
        <v>28</v>
      </c>
      <c r="F83" s="101"/>
      <c r="G83" s="101">
        <v>1</v>
      </c>
      <c r="H83" s="382">
        <v>172.2</v>
      </c>
      <c r="I83" s="102">
        <f t="shared" si="10"/>
        <v>172.2</v>
      </c>
      <c r="J83" s="343"/>
      <c r="K83" s="343"/>
      <c r="L83" s="103">
        <f t="shared" si="11"/>
        <v>172.2</v>
      </c>
      <c r="M83" s="312"/>
      <c r="O83" s="273"/>
      <c r="P83" s="274"/>
      <c r="Q83" s="275"/>
    </row>
    <row r="84" spans="1:17" s="1" customFormat="1" ht="18.899999999999999" customHeight="1">
      <c r="A84" s="96" t="s">
        <v>387</v>
      </c>
      <c r="B84" s="179" t="s">
        <v>236</v>
      </c>
      <c r="C84" s="98" t="s">
        <v>122</v>
      </c>
      <c r="D84" s="99">
        <v>0</v>
      </c>
      <c r="E84" s="100">
        <v>28</v>
      </c>
      <c r="F84" s="101"/>
      <c r="G84" s="101">
        <v>1</v>
      </c>
      <c r="H84" s="382">
        <v>90</v>
      </c>
      <c r="I84" s="102">
        <f t="shared" si="10"/>
        <v>90</v>
      </c>
      <c r="J84" s="343"/>
      <c r="K84" s="343"/>
      <c r="L84" s="103">
        <f t="shared" si="11"/>
        <v>90</v>
      </c>
      <c r="M84" s="312"/>
      <c r="O84" s="273"/>
      <c r="P84" s="274"/>
      <c r="Q84" s="275"/>
    </row>
    <row r="85" spans="1:17" s="1" customFormat="1" ht="18.899999999999999" customHeight="1">
      <c r="A85" s="96" t="s">
        <v>388</v>
      </c>
      <c r="B85" s="179" t="s">
        <v>237</v>
      </c>
      <c r="C85" s="98" t="s">
        <v>122</v>
      </c>
      <c r="D85" s="99">
        <v>0</v>
      </c>
      <c r="E85" s="100">
        <v>28</v>
      </c>
      <c r="F85" s="101"/>
      <c r="G85" s="101">
        <v>1</v>
      </c>
      <c r="H85" s="382">
        <v>570</v>
      </c>
      <c r="I85" s="102">
        <f t="shared" si="10"/>
        <v>570</v>
      </c>
      <c r="J85" s="343"/>
      <c r="K85" s="343"/>
      <c r="L85" s="103">
        <f t="shared" si="11"/>
        <v>570</v>
      </c>
      <c r="M85" s="312"/>
      <c r="O85" s="273"/>
      <c r="P85" s="274"/>
      <c r="Q85" s="275"/>
    </row>
    <row r="86" spans="1:17" s="1" customFormat="1" ht="18.899999999999999" customHeight="1">
      <c r="A86" s="96" t="s">
        <v>389</v>
      </c>
      <c r="B86" s="251" t="s">
        <v>74</v>
      </c>
      <c r="C86" s="213"/>
      <c r="D86" s="214"/>
      <c r="E86" s="215"/>
      <c r="F86" s="216"/>
      <c r="G86" s="216"/>
      <c r="H86" s="382"/>
      <c r="I86" s="343"/>
      <c r="J86" s="343"/>
      <c r="K86" s="343"/>
      <c r="L86" s="103">
        <f t="shared" si="11"/>
        <v>0</v>
      </c>
      <c r="M86" s="312"/>
      <c r="O86" s="273"/>
      <c r="P86" s="274"/>
      <c r="Q86" s="275"/>
    </row>
    <row r="87" spans="1:17" s="1" customFormat="1" ht="18.899999999999999" customHeight="1">
      <c r="A87" s="96"/>
      <c r="B87" s="253" t="s">
        <v>247</v>
      </c>
      <c r="C87" s="241" t="s">
        <v>122</v>
      </c>
      <c r="D87" s="242">
        <v>0</v>
      </c>
      <c r="E87" s="243">
        <v>20</v>
      </c>
      <c r="F87" s="244"/>
      <c r="G87" s="244">
        <v>1</v>
      </c>
      <c r="H87" s="382">
        <v>145</v>
      </c>
      <c r="I87" s="102">
        <f>G87*H87</f>
        <v>145</v>
      </c>
      <c r="J87" s="343"/>
      <c r="K87" s="343"/>
      <c r="L87" s="103">
        <f t="shared" si="11"/>
        <v>145</v>
      </c>
      <c r="M87" s="312"/>
      <c r="O87" s="273"/>
      <c r="P87" s="274"/>
      <c r="Q87" s="275"/>
    </row>
    <row r="88" spans="1:17" s="1" customFormat="1" ht="18.899999999999999" customHeight="1">
      <c r="A88" s="96"/>
      <c r="B88" s="253" t="s">
        <v>194</v>
      </c>
      <c r="C88" s="241" t="s">
        <v>122</v>
      </c>
      <c r="D88" s="242">
        <v>0</v>
      </c>
      <c r="E88" s="243">
        <v>20</v>
      </c>
      <c r="F88" s="244"/>
      <c r="G88" s="244">
        <v>1</v>
      </c>
      <c r="H88" s="382">
        <v>145</v>
      </c>
      <c r="I88" s="102">
        <f>G88*H88</f>
        <v>145</v>
      </c>
      <c r="J88" s="343"/>
      <c r="K88" s="343"/>
      <c r="L88" s="103">
        <f t="shared" si="11"/>
        <v>145</v>
      </c>
      <c r="M88" s="312"/>
      <c r="O88" s="273"/>
      <c r="P88" s="274"/>
      <c r="Q88" s="275"/>
    </row>
    <row r="89" spans="1:17" s="1" customFormat="1" ht="18.899999999999999" customHeight="1">
      <c r="A89" s="96"/>
      <c r="B89" s="278"/>
      <c r="C89" s="282"/>
      <c r="D89" s="7"/>
      <c r="E89" s="7"/>
      <c r="F89" s="7"/>
      <c r="G89" s="279"/>
      <c r="H89" s="382"/>
      <c r="I89" s="343"/>
      <c r="J89" s="343"/>
      <c r="K89" s="343"/>
      <c r="L89" s="344"/>
      <c r="M89" s="312"/>
      <c r="O89" s="273"/>
      <c r="P89" s="274"/>
      <c r="Q89" s="275"/>
    </row>
    <row r="90" spans="1:17" s="1" customFormat="1" ht="18.899999999999999" customHeight="1">
      <c r="A90" s="254" t="s">
        <v>133</v>
      </c>
      <c r="B90" s="88" t="s">
        <v>390</v>
      </c>
      <c r="C90" s="283"/>
      <c r="D90" s="280"/>
      <c r="E90" s="280"/>
      <c r="F90" s="280"/>
      <c r="G90" s="281"/>
      <c r="H90" s="93"/>
      <c r="I90" s="93"/>
      <c r="J90" s="93"/>
      <c r="K90" s="93"/>
      <c r="L90" s="94"/>
      <c r="M90" s="95"/>
      <c r="O90" s="273">
        <v>2.36</v>
      </c>
      <c r="P90" s="274">
        <v>2500</v>
      </c>
      <c r="Q90" s="5" t="s">
        <v>209</v>
      </c>
    </row>
    <row r="91" spans="1:17" s="7" customFormat="1" ht="18.899999999999999" customHeight="1">
      <c r="A91" s="96" t="s">
        <v>134</v>
      </c>
      <c r="B91" s="179" t="s">
        <v>226</v>
      </c>
      <c r="C91" s="98" t="s">
        <v>122</v>
      </c>
      <c r="D91" s="99">
        <v>0</v>
      </c>
      <c r="E91" s="100">
        <v>12</v>
      </c>
      <c r="F91" s="101"/>
      <c r="G91" s="101">
        <v>1</v>
      </c>
      <c r="H91" s="382">
        <v>4628</v>
      </c>
      <c r="I91" s="102">
        <f t="shared" ref="I91:I104" si="12">G91*H91</f>
        <v>4628</v>
      </c>
      <c r="J91" s="343"/>
      <c r="K91" s="343"/>
      <c r="L91" s="103">
        <f t="shared" ref="L91:L107" si="13">K91+I91</f>
        <v>4628</v>
      </c>
      <c r="M91" s="70"/>
      <c r="O91" s="273">
        <v>1.62</v>
      </c>
      <c r="P91" s="274">
        <v>2500</v>
      </c>
      <c r="Q91" s="5" t="s">
        <v>209</v>
      </c>
    </row>
    <row r="92" spans="1:17" s="7" customFormat="1" ht="18.899999999999999" customHeight="1">
      <c r="A92" s="96" t="s">
        <v>135</v>
      </c>
      <c r="B92" s="224" t="s">
        <v>227</v>
      </c>
      <c r="C92" s="98" t="s">
        <v>122</v>
      </c>
      <c r="D92" s="99">
        <v>0</v>
      </c>
      <c r="E92" s="100">
        <v>28</v>
      </c>
      <c r="F92" s="101"/>
      <c r="G92" s="101">
        <v>1</v>
      </c>
      <c r="H92" s="382">
        <v>150</v>
      </c>
      <c r="I92" s="102">
        <f t="shared" si="12"/>
        <v>150</v>
      </c>
      <c r="J92" s="343"/>
      <c r="K92" s="343"/>
      <c r="L92" s="103">
        <f t="shared" si="13"/>
        <v>150</v>
      </c>
      <c r="M92" s="70"/>
      <c r="O92" s="273">
        <v>3.69</v>
      </c>
      <c r="P92" s="274">
        <v>2500</v>
      </c>
      <c r="Q92" s="5" t="s">
        <v>209</v>
      </c>
    </row>
    <row r="93" spans="1:17" s="7" customFormat="1" ht="18.899999999999999" customHeight="1">
      <c r="A93" s="96" t="s">
        <v>136</v>
      </c>
      <c r="B93" s="224" t="s">
        <v>228</v>
      </c>
      <c r="C93" s="98" t="s">
        <v>122</v>
      </c>
      <c r="D93" s="99">
        <v>0</v>
      </c>
      <c r="E93" s="100">
        <v>28</v>
      </c>
      <c r="F93" s="101"/>
      <c r="G93" s="101">
        <v>1</v>
      </c>
      <c r="H93" s="382">
        <v>94</v>
      </c>
      <c r="I93" s="102">
        <f t="shared" si="12"/>
        <v>94</v>
      </c>
      <c r="J93" s="343"/>
      <c r="K93" s="343"/>
      <c r="L93" s="103">
        <f t="shared" si="13"/>
        <v>94</v>
      </c>
      <c r="M93" s="70"/>
      <c r="O93" s="273">
        <v>0.36</v>
      </c>
      <c r="P93" s="274">
        <v>7800</v>
      </c>
      <c r="Q93" s="275" t="s">
        <v>211</v>
      </c>
    </row>
    <row r="94" spans="1:17" s="7" customFormat="1" ht="20.100000000000001" customHeight="1">
      <c r="A94" s="96" t="s">
        <v>137</v>
      </c>
      <c r="B94" s="179" t="s">
        <v>229</v>
      </c>
      <c r="C94" s="98" t="s">
        <v>122</v>
      </c>
      <c r="D94" s="99">
        <v>0</v>
      </c>
      <c r="E94" s="100">
        <v>16</v>
      </c>
      <c r="F94" s="101"/>
      <c r="G94" s="101">
        <v>1</v>
      </c>
      <c r="H94" s="382">
        <v>2440</v>
      </c>
      <c r="I94" s="102">
        <f t="shared" si="12"/>
        <v>2440</v>
      </c>
      <c r="J94" s="343"/>
      <c r="K94" s="343"/>
      <c r="L94" s="103">
        <f t="shared" si="13"/>
        <v>2440</v>
      </c>
      <c r="M94" s="70"/>
    </row>
    <row r="95" spans="1:17" s="1" customFormat="1" ht="20.100000000000001" customHeight="1">
      <c r="A95" s="96" t="s">
        <v>138</v>
      </c>
      <c r="B95" s="224" t="s">
        <v>230</v>
      </c>
      <c r="C95" s="98" t="s">
        <v>122</v>
      </c>
      <c r="D95" s="99">
        <v>0</v>
      </c>
      <c r="E95" s="100">
        <v>12</v>
      </c>
      <c r="F95" s="101"/>
      <c r="G95" s="101">
        <v>1</v>
      </c>
      <c r="H95" s="382">
        <v>894.6</v>
      </c>
      <c r="I95" s="102">
        <f t="shared" si="12"/>
        <v>894.6</v>
      </c>
      <c r="J95" s="343"/>
      <c r="K95" s="343"/>
      <c r="L95" s="103">
        <f t="shared" si="13"/>
        <v>894.6</v>
      </c>
      <c r="M95" s="70"/>
    </row>
    <row r="96" spans="1:17" s="1" customFormat="1" ht="20.100000000000001" customHeight="1">
      <c r="A96" s="96" t="s">
        <v>139</v>
      </c>
      <c r="B96" s="180" t="s">
        <v>231</v>
      </c>
      <c r="C96" s="98" t="s">
        <v>122</v>
      </c>
      <c r="D96" s="99">
        <v>0</v>
      </c>
      <c r="E96" s="100">
        <v>20</v>
      </c>
      <c r="F96" s="101"/>
      <c r="G96" s="101">
        <v>1</v>
      </c>
      <c r="H96" s="382">
        <v>670</v>
      </c>
      <c r="I96" s="102">
        <f t="shared" si="12"/>
        <v>670</v>
      </c>
      <c r="J96" s="343"/>
      <c r="K96" s="343"/>
      <c r="L96" s="103">
        <f t="shared" si="13"/>
        <v>670</v>
      </c>
      <c r="M96" s="70"/>
    </row>
    <row r="97" spans="1:13" s="1" customFormat="1" ht="20.100000000000001" customHeight="1">
      <c r="A97" s="96" t="s">
        <v>140</v>
      </c>
      <c r="B97" s="180" t="s">
        <v>232</v>
      </c>
      <c r="C97" s="98" t="s">
        <v>122</v>
      </c>
      <c r="D97" s="99">
        <v>0</v>
      </c>
      <c r="E97" s="100">
        <v>20</v>
      </c>
      <c r="F97" s="101"/>
      <c r="G97" s="101">
        <v>1</v>
      </c>
      <c r="H97" s="382">
        <v>300</v>
      </c>
      <c r="I97" s="102">
        <f t="shared" si="12"/>
        <v>300</v>
      </c>
      <c r="J97" s="343"/>
      <c r="K97" s="343"/>
      <c r="L97" s="103">
        <f t="shared" si="13"/>
        <v>300</v>
      </c>
      <c r="M97" s="70"/>
    </row>
    <row r="98" spans="1:13" s="1" customFormat="1" ht="20.100000000000001" customHeight="1">
      <c r="A98" s="96" t="s">
        <v>141</v>
      </c>
      <c r="B98" s="180" t="s">
        <v>233</v>
      </c>
      <c r="C98" s="98" t="s">
        <v>122</v>
      </c>
      <c r="D98" s="99">
        <v>0</v>
      </c>
      <c r="E98" s="100">
        <v>20</v>
      </c>
      <c r="F98" s="101"/>
      <c r="G98" s="101">
        <v>1</v>
      </c>
      <c r="H98" s="382">
        <v>94</v>
      </c>
      <c r="I98" s="102">
        <f t="shared" si="12"/>
        <v>94</v>
      </c>
      <c r="J98" s="343"/>
      <c r="K98" s="343"/>
      <c r="L98" s="103">
        <f t="shared" si="13"/>
        <v>94</v>
      </c>
      <c r="M98" s="70"/>
    </row>
    <row r="99" spans="1:13" s="7" customFormat="1" ht="20.100000000000001" customHeight="1">
      <c r="A99" s="96" t="s">
        <v>142</v>
      </c>
      <c r="B99" s="180" t="s">
        <v>245</v>
      </c>
      <c r="C99" s="98" t="s">
        <v>122</v>
      </c>
      <c r="D99" s="99">
        <v>0</v>
      </c>
      <c r="E99" s="100">
        <v>20</v>
      </c>
      <c r="F99" s="101"/>
      <c r="G99" s="101">
        <v>1</v>
      </c>
      <c r="H99" s="382">
        <v>315</v>
      </c>
      <c r="I99" s="102">
        <f t="shared" si="12"/>
        <v>315</v>
      </c>
      <c r="J99" s="343"/>
      <c r="K99" s="343"/>
      <c r="L99" s="103">
        <f t="shared" si="13"/>
        <v>315</v>
      </c>
      <c r="M99" s="70"/>
    </row>
    <row r="100" spans="1:13" s="7" customFormat="1" ht="20.25" customHeight="1">
      <c r="A100" s="96" t="s">
        <v>143</v>
      </c>
      <c r="B100" s="180" t="s">
        <v>234</v>
      </c>
      <c r="C100" s="98" t="s">
        <v>122</v>
      </c>
      <c r="D100" s="99">
        <v>0</v>
      </c>
      <c r="E100" s="100">
        <v>48</v>
      </c>
      <c r="F100" s="101"/>
      <c r="G100" s="101">
        <v>2</v>
      </c>
      <c r="H100" s="382">
        <v>231</v>
      </c>
      <c r="I100" s="102">
        <f t="shared" si="12"/>
        <v>462</v>
      </c>
      <c r="J100" s="343"/>
      <c r="K100" s="343"/>
      <c r="L100" s="103">
        <f t="shared" si="13"/>
        <v>462</v>
      </c>
      <c r="M100" s="70"/>
    </row>
    <row r="101" spans="1:13" s="7" customFormat="1" ht="20.100000000000001" customHeight="1">
      <c r="A101" s="96" t="s">
        <v>144</v>
      </c>
      <c r="B101" s="179" t="s">
        <v>246</v>
      </c>
      <c r="C101" s="98" t="s">
        <v>122</v>
      </c>
      <c r="D101" s="99">
        <v>0</v>
      </c>
      <c r="E101" s="100">
        <v>28</v>
      </c>
      <c r="F101" s="101"/>
      <c r="G101" s="101">
        <v>1</v>
      </c>
      <c r="H101" s="382">
        <v>350</v>
      </c>
      <c r="I101" s="102">
        <f t="shared" si="12"/>
        <v>350</v>
      </c>
      <c r="J101" s="343"/>
      <c r="K101" s="343"/>
      <c r="L101" s="103">
        <f t="shared" si="13"/>
        <v>350</v>
      </c>
      <c r="M101" s="70"/>
    </row>
    <row r="102" spans="1:13" s="7" customFormat="1" ht="20.100000000000001" customHeight="1">
      <c r="A102" s="96" t="s">
        <v>145</v>
      </c>
      <c r="B102" s="179" t="s">
        <v>235</v>
      </c>
      <c r="C102" s="98" t="s">
        <v>122</v>
      </c>
      <c r="D102" s="99">
        <v>0</v>
      </c>
      <c r="E102" s="100">
        <v>28</v>
      </c>
      <c r="F102" s="101"/>
      <c r="G102" s="101">
        <v>1</v>
      </c>
      <c r="H102" s="382">
        <v>172.2</v>
      </c>
      <c r="I102" s="102">
        <f t="shared" si="12"/>
        <v>172.2</v>
      </c>
      <c r="J102" s="343"/>
      <c r="K102" s="343"/>
      <c r="L102" s="103">
        <f t="shared" si="13"/>
        <v>172.2</v>
      </c>
      <c r="M102" s="70"/>
    </row>
    <row r="103" spans="1:13" s="7" customFormat="1" ht="20.100000000000001" customHeight="1">
      <c r="A103" s="96" t="s">
        <v>387</v>
      </c>
      <c r="B103" s="179" t="s">
        <v>236</v>
      </c>
      <c r="C103" s="98" t="s">
        <v>122</v>
      </c>
      <c r="D103" s="99">
        <v>0</v>
      </c>
      <c r="E103" s="100">
        <v>28</v>
      </c>
      <c r="F103" s="101"/>
      <c r="G103" s="101">
        <v>1</v>
      </c>
      <c r="H103" s="382">
        <v>90</v>
      </c>
      <c r="I103" s="102">
        <f t="shared" si="12"/>
        <v>90</v>
      </c>
      <c r="J103" s="343"/>
      <c r="K103" s="343"/>
      <c r="L103" s="103">
        <f t="shared" si="13"/>
        <v>90</v>
      </c>
      <c r="M103" s="70"/>
    </row>
    <row r="104" spans="1:13" s="7" customFormat="1" ht="20.100000000000001" customHeight="1">
      <c r="A104" s="96" t="s">
        <v>388</v>
      </c>
      <c r="B104" s="179" t="s">
        <v>237</v>
      </c>
      <c r="C104" s="98" t="s">
        <v>122</v>
      </c>
      <c r="D104" s="99">
        <v>0</v>
      </c>
      <c r="E104" s="100">
        <v>28</v>
      </c>
      <c r="F104" s="101"/>
      <c r="G104" s="101">
        <v>1</v>
      </c>
      <c r="H104" s="382">
        <v>570</v>
      </c>
      <c r="I104" s="102">
        <f t="shared" si="12"/>
        <v>570</v>
      </c>
      <c r="J104" s="343"/>
      <c r="K104" s="343"/>
      <c r="L104" s="103">
        <f t="shared" si="13"/>
        <v>570</v>
      </c>
      <c r="M104" s="70"/>
    </row>
    <row r="105" spans="1:13" s="7" customFormat="1" ht="20.100000000000001" customHeight="1">
      <c r="A105" s="96" t="s">
        <v>389</v>
      </c>
      <c r="B105" s="251" t="s">
        <v>74</v>
      </c>
      <c r="C105" s="213"/>
      <c r="D105" s="214"/>
      <c r="E105" s="215"/>
      <c r="F105" s="216"/>
      <c r="G105" s="216"/>
      <c r="H105" s="382"/>
      <c r="I105" s="343"/>
      <c r="J105" s="343"/>
      <c r="K105" s="343"/>
      <c r="L105" s="103">
        <f t="shared" si="13"/>
        <v>0</v>
      </c>
      <c r="M105" s="70"/>
    </row>
    <row r="106" spans="1:13" s="7" customFormat="1" ht="20.100000000000001" customHeight="1">
      <c r="A106" s="96"/>
      <c r="B106" s="253" t="s">
        <v>247</v>
      </c>
      <c r="C106" s="241" t="s">
        <v>122</v>
      </c>
      <c r="D106" s="242">
        <v>0</v>
      </c>
      <c r="E106" s="243">
        <v>20</v>
      </c>
      <c r="F106" s="244"/>
      <c r="G106" s="244">
        <v>1</v>
      </c>
      <c r="H106" s="382">
        <v>145</v>
      </c>
      <c r="I106" s="102">
        <f>G106*H106</f>
        <v>145</v>
      </c>
      <c r="J106" s="343"/>
      <c r="K106" s="343"/>
      <c r="L106" s="103">
        <f t="shared" si="13"/>
        <v>145</v>
      </c>
      <c r="M106" s="104"/>
    </row>
    <row r="107" spans="1:13" s="7" customFormat="1" ht="18" customHeight="1">
      <c r="A107" s="250"/>
      <c r="B107" s="253" t="s">
        <v>194</v>
      </c>
      <c r="C107" s="241" t="s">
        <v>122</v>
      </c>
      <c r="D107" s="242">
        <v>0</v>
      </c>
      <c r="E107" s="243">
        <v>20</v>
      </c>
      <c r="F107" s="244"/>
      <c r="G107" s="244">
        <v>1</v>
      </c>
      <c r="H107" s="382">
        <v>145</v>
      </c>
      <c r="I107" s="102">
        <f>G107*H107</f>
        <v>145</v>
      </c>
      <c r="J107" s="343"/>
      <c r="K107" s="343"/>
      <c r="L107" s="103">
        <f t="shared" si="13"/>
        <v>145</v>
      </c>
      <c r="M107" s="218" t="s">
        <v>34</v>
      </c>
    </row>
    <row r="108" spans="1:13" s="7" customFormat="1" ht="19.5" hidden="1" customHeight="1">
      <c r="A108" s="252"/>
      <c r="B108" s="278"/>
      <c r="C108" s="282"/>
      <c r="G108" s="279"/>
      <c r="H108" s="282"/>
      <c r="I108" s="282"/>
      <c r="J108" s="282"/>
      <c r="K108" s="279"/>
      <c r="L108" s="279"/>
      <c r="M108" s="80"/>
    </row>
    <row r="109" spans="1:13" s="7" customFormat="1" ht="19.5" customHeight="1">
      <c r="A109" s="252"/>
      <c r="C109" s="282"/>
      <c r="G109" s="279"/>
      <c r="H109" s="282"/>
      <c r="I109" s="282"/>
      <c r="J109" s="282"/>
      <c r="K109" s="279"/>
      <c r="L109" s="279"/>
      <c r="M109" s="80"/>
    </row>
    <row r="110" spans="1:13" s="7" customFormat="1" ht="19.5" customHeight="1">
      <c r="A110" s="254" t="s">
        <v>133</v>
      </c>
      <c r="B110" s="88" t="s">
        <v>413</v>
      </c>
      <c r="C110" s="283"/>
      <c r="D110" s="280"/>
      <c r="E110" s="280"/>
      <c r="F110" s="280"/>
      <c r="G110" s="281"/>
      <c r="H110" s="93"/>
      <c r="I110" s="282"/>
      <c r="J110" s="282"/>
      <c r="K110" s="279"/>
      <c r="L110" s="279"/>
      <c r="M110" s="80"/>
    </row>
    <row r="111" spans="1:13" s="7" customFormat="1" ht="19.5" customHeight="1">
      <c r="A111" s="96" t="s">
        <v>134</v>
      </c>
      <c r="B111" s="179" t="s">
        <v>226</v>
      </c>
      <c r="C111" s="98" t="s">
        <v>122</v>
      </c>
      <c r="D111" s="99">
        <v>0</v>
      </c>
      <c r="E111" s="100">
        <v>12</v>
      </c>
      <c r="F111" s="101"/>
      <c r="G111" s="101">
        <v>1</v>
      </c>
      <c r="H111" s="382">
        <v>4628</v>
      </c>
      <c r="I111" s="102">
        <f t="shared" ref="I111:I124" si="14">G111*H111</f>
        <v>4628</v>
      </c>
      <c r="J111" s="343"/>
      <c r="K111" s="343"/>
      <c r="L111" s="103">
        <f t="shared" ref="L111:L127" si="15">K111+I111</f>
        <v>4628</v>
      </c>
      <c r="M111" s="80"/>
    </row>
    <row r="112" spans="1:13" s="7" customFormat="1" ht="19.5" customHeight="1">
      <c r="A112" s="96" t="s">
        <v>135</v>
      </c>
      <c r="B112" s="224" t="s">
        <v>227</v>
      </c>
      <c r="C112" s="98" t="s">
        <v>122</v>
      </c>
      <c r="D112" s="99">
        <v>0</v>
      </c>
      <c r="E112" s="100">
        <v>28</v>
      </c>
      <c r="F112" s="101"/>
      <c r="G112" s="101">
        <v>1</v>
      </c>
      <c r="H112" s="382">
        <v>150</v>
      </c>
      <c r="I112" s="102">
        <f t="shared" si="14"/>
        <v>150</v>
      </c>
      <c r="J112" s="343"/>
      <c r="K112" s="343"/>
      <c r="L112" s="103">
        <f t="shared" si="15"/>
        <v>150</v>
      </c>
      <c r="M112" s="80"/>
    </row>
    <row r="113" spans="1:13" s="7" customFormat="1" ht="19.5" customHeight="1">
      <c r="A113" s="96" t="s">
        <v>136</v>
      </c>
      <c r="B113" s="224" t="s">
        <v>228</v>
      </c>
      <c r="C113" s="98" t="s">
        <v>122</v>
      </c>
      <c r="D113" s="99">
        <v>0</v>
      </c>
      <c r="E113" s="100">
        <v>28</v>
      </c>
      <c r="F113" s="101"/>
      <c r="G113" s="101">
        <v>1</v>
      </c>
      <c r="H113" s="382">
        <v>94</v>
      </c>
      <c r="I113" s="102">
        <f t="shared" si="14"/>
        <v>94</v>
      </c>
      <c r="J113" s="343"/>
      <c r="K113" s="343"/>
      <c r="L113" s="103">
        <f t="shared" si="15"/>
        <v>94</v>
      </c>
      <c r="M113" s="80"/>
    </row>
    <row r="114" spans="1:13" s="7" customFormat="1" ht="19.5" customHeight="1">
      <c r="A114" s="96" t="s">
        <v>137</v>
      </c>
      <c r="B114" s="179" t="s">
        <v>229</v>
      </c>
      <c r="C114" s="98" t="s">
        <v>122</v>
      </c>
      <c r="D114" s="99">
        <v>0</v>
      </c>
      <c r="E114" s="100">
        <v>16</v>
      </c>
      <c r="F114" s="101"/>
      <c r="G114" s="101">
        <v>1</v>
      </c>
      <c r="H114" s="382">
        <v>2440</v>
      </c>
      <c r="I114" s="102">
        <f t="shared" si="14"/>
        <v>2440</v>
      </c>
      <c r="J114" s="343"/>
      <c r="K114" s="343"/>
      <c r="L114" s="103">
        <f t="shared" si="15"/>
        <v>2440</v>
      </c>
      <c r="M114" s="80"/>
    </row>
    <row r="115" spans="1:13" s="7" customFormat="1" ht="19.5" customHeight="1">
      <c r="A115" s="96" t="s">
        <v>138</v>
      </c>
      <c r="B115" s="224" t="s">
        <v>230</v>
      </c>
      <c r="C115" s="98" t="s">
        <v>122</v>
      </c>
      <c r="D115" s="99">
        <v>0</v>
      </c>
      <c r="E115" s="100">
        <v>12</v>
      </c>
      <c r="F115" s="101"/>
      <c r="G115" s="101">
        <v>1</v>
      </c>
      <c r="H115" s="382">
        <v>894.6</v>
      </c>
      <c r="I115" s="102">
        <f t="shared" si="14"/>
        <v>894.6</v>
      </c>
      <c r="J115" s="343"/>
      <c r="K115" s="343"/>
      <c r="L115" s="103">
        <f t="shared" si="15"/>
        <v>894.6</v>
      </c>
      <c r="M115" s="80"/>
    </row>
    <row r="116" spans="1:13" s="7" customFormat="1" ht="19.5" customHeight="1">
      <c r="A116" s="96" t="s">
        <v>139</v>
      </c>
      <c r="B116" s="180" t="s">
        <v>231</v>
      </c>
      <c r="C116" s="98" t="s">
        <v>122</v>
      </c>
      <c r="D116" s="99">
        <v>0</v>
      </c>
      <c r="E116" s="100">
        <v>20</v>
      </c>
      <c r="F116" s="101"/>
      <c r="G116" s="101">
        <v>1</v>
      </c>
      <c r="H116" s="382">
        <v>670</v>
      </c>
      <c r="I116" s="102">
        <f t="shared" si="14"/>
        <v>670</v>
      </c>
      <c r="J116" s="343"/>
      <c r="K116" s="343"/>
      <c r="L116" s="103">
        <f t="shared" si="15"/>
        <v>670</v>
      </c>
      <c r="M116" s="80"/>
    </row>
    <row r="117" spans="1:13" s="7" customFormat="1" ht="19.5" customHeight="1">
      <c r="A117" s="96" t="s">
        <v>140</v>
      </c>
      <c r="B117" s="180" t="s">
        <v>232</v>
      </c>
      <c r="C117" s="98" t="s">
        <v>122</v>
      </c>
      <c r="D117" s="99">
        <v>0</v>
      </c>
      <c r="E117" s="100">
        <v>20</v>
      </c>
      <c r="F117" s="101"/>
      <c r="G117" s="101">
        <v>1</v>
      </c>
      <c r="H117" s="382">
        <v>300</v>
      </c>
      <c r="I117" s="102">
        <f t="shared" si="14"/>
        <v>300</v>
      </c>
      <c r="J117" s="343"/>
      <c r="K117" s="343"/>
      <c r="L117" s="103">
        <f t="shared" si="15"/>
        <v>300</v>
      </c>
      <c r="M117" s="80"/>
    </row>
    <row r="118" spans="1:13" s="7" customFormat="1" ht="19.5" customHeight="1">
      <c r="A118" s="96" t="s">
        <v>141</v>
      </c>
      <c r="B118" s="180" t="s">
        <v>233</v>
      </c>
      <c r="C118" s="98" t="s">
        <v>122</v>
      </c>
      <c r="D118" s="99">
        <v>0</v>
      </c>
      <c r="E118" s="100">
        <v>20</v>
      </c>
      <c r="F118" s="101"/>
      <c r="G118" s="101">
        <v>1</v>
      </c>
      <c r="H118" s="382">
        <v>94</v>
      </c>
      <c r="I118" s="102">
        <f t="shared" si="14"/>
        <v>94</v>
      </c>
      <c r="J118" s="343"/>
      <c r="K118" s="343"/>
      <c r="L118" s="103">
        <f t="shared" si="15"/>
        <v>94</v>
      </c>
      <c r="M118" s="80"/>
    </row>
    <row r="119" spans="1:13" s="7" customFormat="1" ht="19.5" customHeight="1">
      <c r="A119" s="96" t="s">
        <v>142</v>
      </c>
      <c r="B119" s="180" t="s">
        <v>245</v>
      </c>
      <c r="C119" s="98" t="s">
        <v>122</v>
      </c>
      <c r="D119" s="99">
        <v>0</v>
      </c>
      <c r="E119" s="100">
        <v>20</v>
      </c>
      <c r="F119" s="101"/>
      <c r="G119" s="101">
        <v>1</v>
      </c>
      <c r="H119" s="382">
        <v>315</v>
      </c>
      <c r="I119" s="102">
        <f t="shared" si="14"/>
        <v>315</v>
      </c>
      <c r="J119" s="343"/>
      <c r="K119" s="343"/>
      <c r="L119" s="103">
        <f t="shared" si="15"/>
        <v>315</v>
      </c>
      <c r="M119" s="80"/>
    </row>
    <row r="120" spans="1:13" s="7" customFormat="1" ht="19.5" customHeight="1">
      <c r="A120" s="96" t="s">
        <v>143</v>
      </c>
      <c r="B120" s="180" t="s">
        <v>234</v>
      </c>
      <c r="C120" s="98" t="s">
        <v>122</v>
      </c>
      <c r="D120" s="99">
        <v>0</v>
      </c>
      <c r="E120" s="100">
        <v>48</v>
      </c>
      <c r="F120" s="101"/>
      <c r="G120" s="101">
        <v>2</v>
      </c>
      <c r="H120" s="382">
        <v>231</v>
      </c>
      <c r="I120" s="102">
        <f t="shared" si="14"/>
        <v>462</v>
      </c>
      <c r="J120" s="343"/>
      <c r="K120" s="343"/>
      <c r="L120" s="103">
        <f t="shared" si="15"/>
        <v>462</v>
      </c>
      <c r="M120" s="80"/>
    </row>
    <row r="121" spans="1:13" s="7" customFormat="1" ht="19.5" customHeight="1">
      <c r="A121" s="96" t="s">
        <v>144</v>
      </c>
      <c r="B121" s="179" t="s">
        <v>246</v>
      </c>
      <c r="C121" s="98" t="s">
        <v>122</v>
      </c>
      <c r="D121" s="99">
        <v>0</v>
      </c>
      <c r="E121" s="100">
        <v>28</v>
      </c>
      <c r="F121" s="101"/>
      <c r="G121" s="101">
        <v>1</v>
      </c>
      <c r="H121" s="382">
        <v>350</v>
      </c>
      <c r="I121" s="102">
        <f t="shared" si="14"/>
        <v>350</v>
      </c>
      <c r="J121" s="343"/>
      <c r="K121" s="343"/>
      <c r="L121" s="103">
        <f t="shared" si="15"/>
        <v>350</v>
      </c>
      <c r="M121" s="80"/>
    </row>
    <row r="122" spans="1:13" s="7" customFormat="1" ht="19.5" customHeight="1">
      <c r="A122" s="96" t="s">
        <v>145</v>
      </c>
      <c r="B122" s="179" t="s">
        <v>235</v>
      </c>
      <c r="C122" s="98" t="s">
        <v>122</v>
      </c>
      <c r="D122" s="99">
        <v>0</v>
      </c>
      <c r="E122" s="100">
        <v>28</v>
      </c>
      <c r="F122" s="101"/>
      <c r="G122" s="101">
        <v>1</v>
      </c>
      <c r="H122" s="382">
        <v>172.2</v>
      </c>
      <c r="I122" s="102">
        <f t="shared" si="14"/>
        <v>172.2</v>
      </c>
      <c r="J122" s="343"/>
      <c r="K122" s="343"/>
      <c r="L122" s="103">
        <f t="shared" si="15"/>
        <v>172.2</v>
      </c>
      <c r="M122" s="80"/>
    </row>
    <row r="123" spans="1:13" s="7" customFormat="1" ht="19.5" customHeight="1">
      <c r="A123" s="96" t="s">
        <v>387</v>
      </c>
      <c r="B123" s="179" t="s">
        <v>236</v>
      </c>
      <c r="C123" s="98" t="s">
        <v>122</v>
      </c>
      <c r="D123" s="99">
        <v>0</v>
      </c>
      <c r="E123" s="100">
        <v>28</v>
      </c>
      <c r="F123" s="101"/>
      <c r="G123" s="101">
        <v>1</v>
      </c>
      <c r="H123" s="382">
        <v>90</v>
      </c>
      <c r="I123" s="102">
        <f t="shared" si="14"/>
        <v>90</v>
      </c>
      <c r="J123" s="343"/>
      <c r="K123" s="343"/>
      <c r="L123" s="103">
        <f t="shared" si="15"/>
        <v>90</v>
      </c>
      <c r="M123" s="80"/>
    </row>
    <row r="124" spans="1:13" s="7" customFormat="1" ht="19.5" customHeight="1">
      <c r="A124" s="96" t="s">
        <v>388</v>
      </c>
      <c r="B124" s="179" t="s">
        <v>237</v>
      </c>
      <c r="C124" s="98" t="s">
        <v>122</v>
      </c>
      <c r="D124" s="99">
        <v>0</v>
      </c>
      <c r="E124" s="100">
        <v>28</v>
      </c>
      <c r="F124" s="101"/>
      <c r="G124" s="101">
        <v>1</v>
      </c>
      <c r="H124" s="382">
        <v>570</v>
      </c>
      <c r="I124" s="102">
        <f t="shared" si="14"/>
        <v>570</v>
      </c>
      <c r="J124" s="343"/>
      <c r="K124" s="343"/>
      <c r="L124" s="103">
        <f t="shared" si="15"/>
        <v>570</v>
      </c>
      <c r="M124" s="80"/>
    </row>
    <row r="125" spans="1:13" s="7" customFormat="1" ht="19.5" customHeight="1">
      <c r="A125" s="96" t="s">
        <v>389</v>
      </c>
      <c r="B125" s="251" t="s">
        <v>74</v>
      </c>
      <c r="C125" s="213"/>
      <c r="D125" s="214"/>
      <c r="E125" s="215"/>
      <c r="F125" s="216"/>
      <c r="G125" s="216"/>
      <c r="H125" s="382"/>
      <c r="I125" s="343"/>
      <c r="J125" s="343"/>
      <c r="K125" s="343"/>
      <c r="L125" s="103">
        <f t="shared" si="15"/>
        <v>0</v>
      </c>
      <c r="M125" s="80"/>
    </row>
    <row r="126" spans="1:13" s="7" customFormat="1" ht="19.5" customHeight="1">
      <c r="A126" s="96"/>
      <c r="B126" s="253" t="s">
        <v>247</v>
      </c>
      <c r="C126" s="241" t="s">
        <v>122</v>
      </c>
      <c r="D126" s="242">
        <v>0</v>
      </c>
      <c r="E126" s="243">
        <v>20</v>
      </c>
      <c r="F126" s="244"/>
      <c r="G126" s="244">
        <v>1</v>
      </c>
      <c r="H126" s="382">
        <v>145</v>
      </c>
      <c r="I126" s="102">
        <f>G126*H126</f>
        <v>145</v>
      </c>
      <c r="J126" s="343"/>
      <c r="K126" s="343"/>
      <c r="L126" s="103">
        <f t="shared" si="15"/>
        <v>145</v>
      </c>
      <c r="M126" s="80"/>
    </row>
    <row r="127" spans="1:13" s="7" customFormat="1" ht="19.5" customHeight="1">
      <c r="A127" s="250"/>
      <c r="B127" s="253" t="s">
        <v>194</v>
      </c>
      <c r="C127" s="241" t="s">
        <v>122</v>
      </c>
      <c r="D127" s="242">
        <v>0</v>
      </c>
      <c r="E127" s="243">
        <v>20</v>
      </c>
      <c r="F127" s="244"/>
      <c r="G127" s="244">
        <v>1</v>
      </c>
      <c r="H127" s="382">
        <v>145</v>
      </c>
      <c r="I127" s="102">
        <f>G127*H127</f>
        <v>145</v>
      </c>
      <c r="J127" s="343"/>
      <c r="K127" s="343"/>
      <c r="L127" s="103">
        <f t="shared" si="15"/>
        <v>145</v>
      </c>
      <c r="M127" s="80"/>
    </row>
    <row r="128" spans="1:13" s="7" customFormat="1" ht="20.100000000000001" customHeight="1" thickBot="1">
      <c r="A128" s="360"/>
      <c r="C128" s="283"/>
      <c r="D128" s="280"/>
      <c r="E128" s="280"/>
      <c r="F128" s="280"/>
      <c r="G128" s="281"/>
      <c r="H128" s="283"/>
      <c r="I128" s="283"/>
      <c r="J128" s="283"/>
      <c r="K128" s="281"/>
      <c r="L128" s="281"/>
      <c r="M128" s="80"/>
    </row>
    <row r="129" spans="1:13" s="7" customFormat="1" ht="20.100000000000001" customHeight="1" thickTop="1" thickBot="1">
      <c r="A129" s="30"/>
      <c r="B129" s="31" t="s">
        <v>391</v>
      </c>
      <c r="C129" s="34"/>
      <c r="D129" s="35"/>
      <c r="E129" s="36"/>
      <c r="F129" s="36"/>
      <c r="G129" s="36"/>
      <c r="H129" s="37"/>
      <c r="I129" s="23">
        <v>47181</v>
      </c>
      <c r="J129" s="37"/>
      <c r="K129" s="23"/>
      <c r="L129" s="23">
        <v>47181</v>
      </c>
      <c r="M129" s="24"/>
    </row>
    <row r="130" spans="1:13" s="7" customFormat="1" ht="20.100000000000001" customHeight="1" thickTop="1">
      <c r="A130" s="394"/>
      <c r="B130" s="361"/>
      <c r="C130" s="362"/>
      <c r="D130" s="1"/>
      <c r="E130" s="1"/>
      <c r="F130" s="1"/>
      <c r="G130" s="361"/>
      <c r="H130" s="383"/>
      <c r="I130" s="362"/>
      <c r="J130" s="362"/>
      <c r="K130" s="362"/>
      <c r="L130" s="362"/>
      <c r="M130" s="391"/>
    </row>
    <row r="131" spans="1:13" s="7" customFormat="1" ht="20.100000000000001" customHeight="1">
      <c r="A131" s="64" t="s">
        <v>22</v>
      </c>
      <c r="B131" s="65" t="s">
        <v>146</v>
      </c>
      <c r="C131" s="166"/>
      <c r="D131" s="167"/>
      <c r="E131" s="66"/>
      <c r="F131" s="66"/>
      <c r="G131" s="66"/>
      <c r="H131" s="381"/>
      <c r="I131" s="67"/>
      <c r="J131" s="67"/>
      <c r="K131" s="67"/>
      <c r="L131" s="68"/>
      <c r="M131" s="69"/>
    </row>
    <row r="132" spans="1:13" s="7" customFormat="1" ht="20.100000000000001" customHeight="1">
      <c r="A132" s="227" t="s">
        <v>147</v>
      </c>
      <c r="B132" s="233" t="s">
        <v>248</v>
      </c>
      <c r="C132" s="230"/>
      <c r="D132" s="231"/>
      <c r="E132" s="101"/>
      <c r="F132" s="101"/>
      <c r="G132" s="165"/>
      <c r="H132" s="381"/>
      <c r="I132" s="381"/>
      <c r="J132" s="381"/>
      <c r="K132" s="381"/>
      <c r="L132" s="288"/>
      <c r="M132" s="398"/>
    </row>
    <row r="133" spans="1:13" s="7" customFormat="1" ht="20.100000000000001" customHeight="1">
      <c r="A133" s="229" t="s">
        <v>170</v>
      </c>
      <c r="B133" s="97" t="s">
        <v>238</v>
      </c>
      <c r="C133" s="230" t="s">
        <v>169</v>
      </c>
      <c r="D133" s="231"/>
      <c r="E133" s="101"/>
      <c r="F133" s="101"/>
      <c r="G133" s="165">
        <v>541</v>
      </c>
      <c r="H133" s="165">
        <v>42</v>
      </c>
      <c r="I133" s="381">
        <f>G133*H133</f>
        <v>22722</v>
      </c>
      <c r="J133" s="381"/>
      <c r="K133" s="381"/>
      <c r="L133" s="288">
        <f>K133+I133</f>
        <v>22722</v>
      </c>
      <c r="M133" s="395"/>
    </row>
    <row r="134" spans="1:13" s="7" customFormat="1" ht="20.100000000000001" customHeight="1">
      <c r="A134" s="229" t="s">
        <v>188</v>
      </c>
      <c r="B134" s="277" t="s">
        <v>189</v>
      </c>
      <c r="C134" s="269" t="s">
        <v>172</v>
      </c>
      <c r="D134" s="270"/>
      <c r="E134" s="118"/>
      <c r="F134" s="118"/>
      <c r="G134" s="165"/>
      <c r="H134" s="165"/>
      <c r="I134" s="381">
        <v>6000</v>
      </c>
      <c r="J134" s="381"/>
      <c r="K134" s="381"/>
      <c r="L134" s="288">
        <v>6000</v>
      </c>
      <c r="M134" s="395"/>
    </row>
    <row r="135" spans="1:13" s="7" customFormat="1" ht="19.5" customHeight="1" thickBot="1">
      <c r="A135" s="229"/>
      <c r="B135" s="97"/>
      <c r="C135" s="230"/>
      <c r="D135" s="231"/>
      <c r="E135" s="101"/>
      <c r="F135" s="101"/>
      <c r="G135" s="195"/>
      <c r="H135" s="195"/>
      <c r="I135" s="396"/>
      <c r="J135" s="397"/>
      <c r="K135" s="396"/>
      <c r="L135" s="396"/>
      <c r="M135" s="232"/>
    </row>
    <row r="136" spans="1:13" s="7" customFormat="1" ht="19.5" customHeight="1" thickTop="1" thickBot="1">
      <c r="A136" s="30"/>
      <c r="B136" s="31" t="s">
        <v>148</v>
      </c>
      <c r="C136" s="34"/>
      <c r="D136" s="35"/>
      <c r="E136" s="36"/>
      <c r="F136" s="36"/>
      <c r="G136" s="36"/>
      <c r="H136" s="37"/>
      <c r="I136" s="23">
        <f>SUM(I131:I135)</f>
        <v>28722</v>
      </c>
      <c r="J136" s="37"/>
      <c r="K136" s="23"/>
      <c r="L136" s="23">
        <f>SUM(L131:L135)</f>
        <v>28722</v>
      </c>
      <c r="M136" s="24"/>
    </row>
    <row r="137" spans="1:13" s="7" customFormat="1" ht="20.25" customHeight="1" thickTop="1">
      <c r="A137" s="339" t="s">
        <v>23</v>
      </c>
      <c r="B137" s="340" t="s">
        <v>360</v>
      </c>
      <c r="C137" s="168" t="s">
        <v>34</v>
      </c>
      <c r="D137" s="169"/>
      <c r="E137" s="170"/>
      <c r="F137" s="170"/>
      <c r="G137" s="170"/>
      <c r="H137" s="377"/>
      <c r="I137" s="171"/>
      <c r="J137" s="171"/>
      <c r="K137" s="171"/>
      <c r="L137" s="172"/>
      <c r="M137" s="173"/>
    </row>
    <row r="138" spans="1:13" s="7" customFormat="1" ht="20.100000000000001" customHeight="1">
      <c r="A138" s="227" t="s">
        <v>149</v>
      </c>
      <c r="B138" s="341" t="s">
        <v>361</v>
      </c>
      <c r="C138" s="342"/>
      <c r="D138" s="228"/>
      <c r="E138" s="92"/>
      <c r="F138" s="92"/>
      <c r="G138" s="92"/>
      <c r="H138" s="93"/>
      <c r="I138" s="93"/>
      <c r="J138" s="93"/>
      <c r="K138" s="93"/>
      <c r="L138" s="94"/>
      <c r="M138" s="95"/>
    </row>
    <row r="139" spans="1:13" s="7" customFormat="1" ht="20.100000000000001" customHeight="1">
      <c r="A139" s="229"/>
      <c r="B139" s="234" t="s">
        <v>362</v>
      </c>
      <c r="C139" s="230" t="s">
        <v>363</v>
      </c>
      <c r="D139" s="99">
        <v>0</v>
      </c>
      <c r="E139" s="100">
        <f>32*2</f>
        <v>64</v>
      </c>
      <c r="F139" s="101"/>
      <c r="G139" s="101">
        <v>16</v>
      </c>
      <c r="H139" s="101">
        <v>540</v>
      </c>
      <c r="I139" s="102">
        <f t="shared" ref="I139:I145" si="16">G139*H139</f>
        <v>8640</v>
      </c>
      <c r="J139" s="102"/>
      <c r="K139" s="102"/>
      <c r="L139" s="103">
        <f t="shared" ref="L139:L145" si="17">K139+I139</f>
        <v>8640</v>
      </c>
      <c r="M139" s="70"/>
    </row>
    <row r="140" spans="1:13" s="7" customFormat="1" ht="20.100000000000001" customHeight="1">
      <c r="A140" s="229"/>
      <c r="B140" s="234" t="s">
        <v>364</v>
      </c>
      <c r="C140" s="98" t="s">
        <v>64</v>
      </c>
      <c r="D140" s="99">
        <v>0</v>
      </c>
      <c r="E140" s="100">
        <f>4.38*2</f>
        <v>8.76</v>
      </c>
      <c r="F140" s="101"/>
      <c r="G140" s="101">
        <v>2.2000000000000002</v>
      </c>
      <c r="H140" s="101">
        <v>470</v>
      </c>
      <c r="I140" s="102">
        <f t="shared" si="16"/>
        <v>1034</v>
      </c>
      <c r="J140" s="102"/>
      <c r="K140" s="102"/>
      <c r="L140" s="103">
        <f t="shared" si="17"/>
        <v>1034</v>
      </c>
      <c r="M140" s="70"/>
    </row>
    <row r="141" spans="1:13" s="7" customFormat="1" ht="20.100000000000001" customHeight="1">
      <c r="A141" s="229"/>
      <c r="B141" s="255" t="s">
        <v>365</v>
      </c>
      <c r="C141" s="98" t="s">
        <v>102</v>
      </c>
      <c r="D141" s="99">
        <v>0</v>
      </c>
      <c r="E141" s="100">
        <f>6*3.12*2</f>
        <v>37.44</v>
      </c>
      <c r="F141" s="101"/>
      <c r="G141" s="101">
        <v>8.2200000000000006</v>
      </c>
      <c r="H141" s="101">
        <v>70</v>
      </c>
      <c r="I141" s="102">
        <f t="shared" si="16"/>
        <v>575.40000000000009</v>
      </c>
      <c r="J141" s="102"/>
      <c r="K141" s="102"/>
      <c r="L141" s="103">
        <f t="shared" si="17"/>
        <v>575.40000000000009</v>
      </c>
      <c r="M141" s="70"/>
    </row>
    <row r="142" spans="1:13" s="7" customFormat="1" ht="20.100000000000001" customHeight="1">
      <c r="A142" s="229"/>
      <c r="B142" s="234" t="s">
        <v>366</v>
      </c>
      <c r="C142" s="98" t="s">
        <v>168</v>
      </c>
      <c r="D142" s="99"/>
      <c r="E142" s="100"/>
      <c r="F142" s="101"/>
      <c r="G142" s="101">
        <v>1</v>
      </c>
      <c r="H142" s="101">
        <v>12000</v>
      </c>
      <c r="I142" s="102">
        <f t="shared" si="16"/>
        <v>12000</v>
      </c>
      <c r="J142" s="102"/>
      <c r="K142" s="102"/>
      <c r="L142" s="103">
        <f t="shared" si="17"/>
        <v>12000</v>
      </c>
      <c r="M142" s="70"/>
    </row>
    <row r="143" spans="1:13" s="7" customFormat="1" ht="20.100000000000001" customHeight="1">
      <c r="A143" s="229"/>
      <c r="B143" s="220" t="s">
        <v>367</v>
      </c>
      <c r="C143" s="98" t="s">
        <v>168</v>
      </c>
      <c r="D143" s="99"/>
      <c r="E143" s="100"/>
      <c r="F143" s="101"/>
      <c r="G143" s="101">
        <v>1</v>
      </c>
      <c r="H143" s="101">
        <v>2500</v>
      </c>
      <c r="I143" s="102">
        <f t="shared" si="16"/>
        <v>2500</v>
      </c>
      <c r="J143" s="102"/>
      <c r="K143" s="102"/>
      <c r="L143" s="103">
        <f t="shared" si="17"/>
        <v>2500</v>
      </c>
      <c r="M143" s="70"/>
    </row>
    <row r="144" spans="1:13" s="7" customFormat="1" ht="20.100000000000001" customHeight="1">
      <c r="A144" s="229"/>
      <c r="B144" s="220" t="s">
        <v>368</v>
      </c>
      <c r="C144" s="98" t="s">
        <v>168</v>
      </c>
      <c r="D144" s="99"/>
      <c r="E144" s="100"/>
      <c r="F144" s="101"/>
      <c r="G144" s="101">
        <v>1</v>
      </c>
      <c r="H144" s="101">
        <v>3500</v>
      </c>
      <c r="I144" s="102">
        <f t="shared" si="16"/>
        <v>3500</v>
      </c>
      <c r="J144" s="102"/>
      <c r="K144" s="102"/>
      <c r="L144" s="103">
        <f t="shared" si="17"/>
        <v>3500</v>
      </c>
      <c r="M144" s="70"/>
    </row>
    <row r="145" spans="1:13" s="1" customFormat="1" ht="39" customHeight="1">
      <c r="A145" s="229"/>
      <c r="B145" s="234" t="s">
        <v>369</v>
      </c>
      <c r="C145" s="98" t="s">
        <v>102</v>
      </c>
      <c r="D145" s="99">
        <v>0</v>
      </c>
      <c r="E145" s="100">
        <f>6*3.12*2</f>
        <v>37.44</v>
      </c>
      <c r="F145" s="101"/>
      <c r="G145" s="101">
        <v>6.2</v>
      </c>
      <c r="H145" s="101">
        <v>1800</v>
      </c>
      <c r="I145" s="102">
        <f t="shared" si="16"/>
        <v>11160</v>
      </c>
      <c r="J145" s="102"/>
      <c r="K145" s="102"/>
      <c r="L145" s="103">
        <f t="shared" si="17"/>
        <v>11160</v>
      </c>
      <c r="M145" s="70"/>
    </row>
    <row r="146" spans="1:13" s="1" customFormat="1" ht="20.100000000000001" customHeight="1" thickBot="1">
      <c r="A146" s="363"/>
      <c r="B146" s="184"/>
      <c r="C146" s="106"/>
      <c r="D146" s="107"/>
      <c r="E146" s="108"/>
      <c r="F146" s="109"/>
      <c r="G146" s="109"/>
      <c r="H146" s="364"/>
      <c r="I146" s="110"/>
      <c r="J146" s="364"/>
      <c r="K146" s="110"/>
      <c r="L146" s="111"/>
      <c r="M146" s="70"/>
    </row>
    <row r="147" spans="1:13" s="7" customFormat="1" ht="20.100000000000001" customHeight="1" thickTop="1" thickBot="1">
      <c r="A147" s="30"/>
      <c r="B147" s="31" t="s">
        <v>150</v>
      </c>
      <c r="C147" s="34"/>
      <c r="D147" s="35"/>
      <c r="E147" s="36"/>
      <c r="F147" s="36"/>
      <c r="G147" s="36"/>
      <c r="H147" s="37"/>
      <c r="I147" s="267">
        <f>SUM(I137:I146)</f>
        <v>39409.4</v>
      </c>
      <c r="J147" s="37"/>
      <c r="K147" s="23"/>
      <c r="L147" s="267">
        <f>SUM(L137:L146)</f>
        <v>39409.4</v>
      </c>
      <c r="M147" s="24"/>
    </row>
    <row r="148" spans="1:13" s="7" customFormat="1" ht="20.100000000000001" customHeight="1" thickTop="1">
      <c r="A148" s="64" t="s">
        <v>370</v>
      </c>
      <c r="B148" s="65" t="s">
        <v>151</v>
      </c>
      <c r="C148" s="166" t="s">
        <v>34</v>
      </c>
      <c r="D148" s="167"/>
      <c r="E148" s="66"/>
      <c r="F148" s="66"/>
      <c r="G148" s="66"/>
      <c r="H148" s="381"/>
      <c r="I148" s="67"/>
      <c r="J148" s="67"/>
      <c r="K148" s="67"/>
      <c r="L148" s="68"/>
      <c r="M148" s="391"/>
    </row>
    <row r="149" spans="1:13" s="7" customFormat="1" ht="20.100000000000001" customHeight="1">
      <c r="A149" s="235" t="s">
        <v>371</v>
      </c>
      <c r="B149" s="236" t="s">
        <v>239</v>
      </c>
      <c r="C149" s="98" t="s">
        <v>392</v>
      </c>
      <c r="D149" s="99">
        <v>0</v>
      </c>
      <c r="E149" s="100">
        <v>530</v>
      </c>
      <c r="F149" s="101"/>
      <c r="G149" s="101">
        <v>2</v>
      </c>
      <c r="H149" s="101">
        <v>1650</v>
      </c>
      <c r="I149" s="102">
        <f t="shared" ref="I149:I160" si="18">G149*H149</f>
        <v>3300</v>
      </c>
      <c r="J149" s="102"/>
      <c r="K149" s="102"/>
      <c r="L149" s="103">
        <f t="shared" ref="L149:L160" si="19">K149+I149</f>
        <v>3300</v>
      </c>
      <c r="M149" s="69"/>
    </row>
    <row r="150" spans="1:13" s="7" customFormat="1" ht="20.100000000000001" customHeight="1">
      <c r="A150" s="229" t="s">
        <v>372</v>
      </c>
      <c r="B150" s="236" t="s">
        <v>240</v>
      </c>
      <c r="C150" s="98" t="s">
        <v>392</v>
      </c>
      <c r="D150" s="99">
        <v>0</v>
      </c>
      <c r="E150" s="100">
        <v>530</v>
      </c>
      <c r="F150" s="101"/>
      <c r="G150" s="101">
        <v>2</v>
      </c>
      <c r="H150" s="101">
        <v>5375</v>
      </c>
      <c r="I150" s="102">
        <f t="shared" si="18"/>
        <v>10750</v>
      </c>
      <c r="J150" s="102"/>
      <c r="K150" s="102"/>
      <c r="L150" s="103">
        <f t="shared" si="19"/>
        <v>10750</v>
      </c>
      <c r="M150" s="104"/>
    </row>
    <row r="151" spans="1:13" s="7" customFormat="1" ht="20.100000000000001" customHeight="1">
      <c r="A151" s="229" t="s">
        <v>393</v>
      </c>
      <c r="B151" s="236" t="s">
        <v>250</v>
      </c>
      <c r="C151" s="98" t="s">
        <v>392</v>
      </c>
      <c r="D151" s="289"/>
      <c r="E151" s="290"/>
      <c r="F151" s="291"/>
      <c r="G151" s="365">
        <v>1</v>
      </c>
      <c r="H151" s="365">
        <v>13750</v>
      </c>
      <c r="I151" s="102">
        <f t="shared" si="18"/>
        <v>13750</v>
      </c>
      <c r="J151" s="366"/>
      <c r="K151" s="366"/>
      <c r="L151" s="103">
        <f t="shared" si="19"/>
        <v>13750</v>
      </c>
      <c r="M151" s="104"/>
    </row>
    <row r="152" spans="1:13" s="7" customFormat="1" ht="20.100000000000001" customHeight="1">
      <c r="A152" s="229" t="s">
        <v>394</v>
      </c>
      <c r="B152" s="236" t="s">
        <v>251</v>
      </c>
      <c r="C152" s="98" t="s">
        <v>392</v>
      </c>
      <c r="D152" s="289"/>
      <c r="E152" s="290"/>
      <c r="F152" s="291"/>
      <c r="G152" s="365">
        <v>2</v>
      </c>
      <c r="H152" s="365">
        <v>24250</v>
      </c>
      <c r="I152" s="102">
        <f t="shared" si="18"/>
        <v>48500</v>
      </c>
      <c r="J152" s="366"/>
      <c r="K152" s="366"/>
      <c r="L152" s="103">
        <f t="shared" si="19"/>
        <v>48500</v>
      </c>
      <c r="M152" s="104"/>
    </row>
    <row r="153" spans="1:13" s="7" customFormat="1" ht="20.100000000000001" customHeight="1">
      <c r="A153" s="229" t="s">
        <v>395</v>
      </c>
      <c r="B153" s="236" t="s">
        <v>396</v>
      </c>
      <c r="C153" s="98" t="s">
        <v>392</v>
      </c>
      <c r="D153" s="289"/>
      <c r="E153" s="290"/>
      <c r="F153" s="291"/>
      <c r="G153" s="365">
        <v>2</v>
      </c>
      <c r="H153" s="365">
        <v>18500</v>
      </c>
      <c r="I153" s="102">
        <f t="shared" si="18"/>
        <v>37000</v>
      </c>
      <c r="J153" s="366"/>
      <c r="K153" s="366"/>
      <c r="L153" s="103">
        <f t="shared" si="19"/>
        <v>37000</v>
      </c>
      <c r="M153" s="104"/>
    </row>
    <row r="154" spans="1:13" s="7" customFormat="1" ht="20.100000000000001" customHeight="1">
      <c r="A154" s="229" t="s">
        <v>397</v>
      </c>
      <c r="B154" s="236" t="s">
        <v>398</v>
      </c>
      <c r="C154" s="98" t="s">
        <v>392</v>
      </c>
      <c r="D154" s="289"/>
      <c r="E154" s="290"/>
      <c r="F154" s="291"/>
      <c r="G154" s="365">
        <v>2</v>
      </c>
      <c r="H154" s="365">
        <v>12000</v>
      </c>
      <c r="I154" s="102">
        <f t="shared" si="18"/>
        <v>24000</v>
      </c>
      <c r="J154" s="366"/>
      <c r="K154" s="366"/>
      <c r="L154" s="103">
        <f t="shared" si="19"/>
        <v>24000</v>
      </c>
      <c r="M154" s="104"/>
    </row>
    <row r="155" spans="1:13" s="7" customFormat="1" ht="20.100000000000001" customHeight="1">
      <c r="A155" s="229" t="s">
        <v>399</v>
      </c>
      <c r="B155" s="236" t="s">
        <v>400</v>
      </c>
      <c r="C155" s="98" t="s">
        <v>392</v>
      </c>
      <c r="D155" s="289"/>
      <c r="E155" s="290"/>
      <c r="F155" s="291"/>
      <c r="G155" s="365">
        <v>1</v>
      </c>
      <c r="H155" s="365">
        <v>8750</v>
      </c>
      <c r="I155" s="102">
        <f t="shared" si="18"/>
        <v>8750</v>
      </c>
      <c r="J155" s="366"/>
      <c r="K155" s="366"/>
      <c r="L155" s="103">
        <f t="shared" si="19"/>
        <v>8750</v>
      </c>
      <c r="M155" s="104"/>
    </row>
    <row r="156" spans="1:13" s="7" customFormat="1" ht="20.100000000000001" customHeight="1">
      <c r="A156" s="229" t="s">
        <v>401</v>
      </c>
      <c r="B156" s="236" t="s">
        <v>402</v>
      </c>
      <c r="C156" s="98" t="s">
        <v>392</v>
      </c>
      <c r="D156" s="289"/>
      <c r="E156" s="290"/>
      <c r="F156" s="291"/>
      <c r="G156" s="365">
        <v>1</v>
      </c>
      <c r="H156" s="365">
        <v>5000</v>
      </c>
      <c r="I156" s="102">
        <f t="shared" si="18"/>
        <v>5000</v>
      </c>
      <c r="J156" s="366"/>
      <c r="K156" s="366"/>
      <c r="L156" s="103">
        <f t="shared" si="19"/>
        <v>5000</v>
      </c>
      <c r="M156" s="104"/>
    </row>
    <row r="157" spans="1:13" s="7" customFormat="1" ht="20.100000000000001" customHeight="1">
      <c r="A157" s="229" t="s">
        <v>403</v>
      </c>
      <c r="B157" s="236" t="s">
        <v>404</v>
      </c>
      <c r="C157" s="98" t="s">
        <v>392</v>
      </c>
      <c r="D157" s="289"/>
      <c r="E157" s="290"/>
      <c r="F157" s="291"/>
      <c r="G157" s="365">
        <v>1</v>
      </c>
      <c r="H157" s="365">
        <v>7000</v>
      </c>
      <c r="I157" s="102">
        <f t="shared" si="18"/>
        <v>7000</v>
      </c>
      <c r="J157" s="366"/>
      <c r="K157" s="366"/>
      <c r="L157" s="103">
        <f t="shared" si="19"/>
        <v>7000</v>
      </c>
      <c r="M157" s="104"/>
    </row>
    <row r="158" spans="1:13" s="7" customFormat="1" ht="20.100000000000001" customHeight="1">
      <c r="A158" s="229" t="s">
        <v>405</v>
      </c>
      <c r="B158" s="236" t="s">
        <v>406</v>
      </c>
      <c r="C158" s="98" t="s">
        <v>392</v>
      </c>
      <c r="D158" s="289"/>
      <c r="E158" s="290"/>
      <c r="F158" s="291"/>
      <c r="G158" s="365">
        <v>1</v>
      </c>
      <c r="H158" s="365">
        <v>10750</v>
      </c>
      <c r="I158" s="102">
        <f t="shared" si="18"/>
        <v>10750</v>
      </c>
      <c r="J158" s="366"/>
      <c r="K158" s="366"/>
      <c r="L158" s="103">
        <f t="shared" si="19"/>
        <v>10750</v>
      </c>
      <c r="M158" s="104"/>
    </row>
    <row r="159" spans="1:13" s="7" customFormat="1" ht="20.100000000000001" customHeight="1">
      <c r="A159" s="229" t="s">
        <v>407</v>
      </c>
      <c r="B159" s="236" t="s">
        <v>408</v>
      </c>
      <c r="C159" s="98" t="s">
        <v>392</v>
      </c>
      <c r="D159" s="289"/>
      <c r="E159" s="290"/>
      <c r="F159" s="291"/>
      <c r="G159" s="365">
        <v>1</v>
      </c>
      <c r="H159" s="365">
        <v>4750</v>
      </c>
      <c r="I159" s="102">
        <f t="shared" si="18"/>
        <v>4750</v>
      </c>
      <c r="J159" s="366"/>
      <c r="K159" s="366"/>
      <c r="L159" s="103">
        <f t="shared" si="19"/>
        <v>4750</v>
      </c>
      <c r="M159" s="104"/>
    </row>
    <row r="160" spans="1:13" s="7" customFormat="1" ht="20.25" customHeight="1">
      <c r="A160" s="229" t="s">
        <v>414</v>
      </c>
      <c r="B160" s="236" t="s">
        <v>373</v>
      </c>
      <c r="C160" s="98" t="s">
        <v>392</v>
      </c>
      <c r="D160" s="99">
        <v>0</v>
      </c>
      <c r="E160" s="100">
        <f>6*3.12*2</f>
        <v>37.44</v>
      </c>
      <c r="F160" s="101"/>
      <c r="G160" s="101">
        <v>1</v>
      </c>
      <c r="H160" s="101">
        <v>35987</v>
      </c>
      <c r="I160" s="102">
        <f t="shared" si="18"/>
        <v>35987</v>
      </c>
      <c r="J160" s="102"/>
      <c r="K160" s="102"/>
      <c r="L160" s="103">
        <f t="shared" si="19"/>
        <v>35987</v>
      </c>
      <c r="M160" s="104"/>
    </row>
    <row r="161" spans="1:13" s="7" customFormat="1" ht="20.100000000000001" customHeight="1" thickBot="1">
      <c r="A161" s="367"/>
      <c r="B161" s="368"/>
      <c r="C161" s="369"/>
      <c r="D161" s="107"/>
      <c r="E161" s="108"/>
      <c r="F161" s="109"/>
      <c r="G161" s="109"/>
      <c r="H161" s="110"/>
      <c r="I161" s="110"/>
      <c r="J161" s="110"/>
      <c r="K161" s="110"/>
      <c r="L161" s="111"/>
      <c r="M161" s="70"/>
    </row>
    <row r="162" spans="1:13" s="7" customFormat="1" ht="23.25" customHeight="1" thickTop="1" thickBot="1">
      <c r="A162" s="30"/>
      <c r="B162" s="31" t="s">
        <v>374</v>
      </c>
      <c r="C162" s="34"/>
      <c r="D162" s="35"/>
      <c r="E162" s="36"/>
      <c r="F162" s="36"/>
      <c r="G162" s="36"/>
      <c r="H162" s="37"/>
      <c r="I162" s="23">
        <f>SUM(I149:I161)</f>
        <v>209537</v>
      </c>
      <c r="J162" s="37"/>
      <c r="K162" s="23"/>
      <c r="L162" s="23">
        <f>SUM(L149:L161)</f>
        <v>209537</v>
      </c>
      <c r="M162" s="24"/>
    </row>
    <row r="163" spans="1:13" s="7" customFormat="1" ht="23.25" customHeight="1" thickTop="1" thickBot="1">
      <c r="A163" s="32"/>
      <c r="B163" s="33" t="s">
        <v>152</v>
      </c>
      <c r="C163" s="33"/>
      <c r="D163" s="370"/>
      <c r="E163" s="27"/>
      <c r="F163" s="27"/>
      <c r="G163" s="27"/>
      <c r="H163" s="384"/>
      <c r="I163" s="28">
        <f>I19+I33+I42+I53+I69+I129+I136+I147+I162</f>
        <v>848157.67</v>
      </c>
      <c r="J163" s="28"/>
      <c r="K163" s="28">
        <f>K19+K33+K42+K53+K69+K129+K136+K147+K162</f>
        <v>143237.74</v>
      </c>
      <c r="L163" s="28">
        <f>L19+L33+L42+L53+L69+L129+L136+L147+L162</f>
        <v>991395.41</v>
      </c>
      <c r="M163" s="29"/>
    </row>
    <row r="164" spans="1:13" s="7" customFormat="1" ht="20.100000000000001" customHeight="1">
      <c r="A164" s="1"/>
      <c r="B164" s="1"/>
      <c r="C164" s="1"/>
      <c r="D164" s="1"/>
      <c r="E164" s="1"/>
      <c r="F164" s="1"/>
      <c r="G164" s="1"/>
      <c r="I164" s="1"/>
      <c r="J164" s="1"/>
      <c r="K164" s="1"/>
      <c r="L164" s="1"/>
      <c r="M164" s="1"/>
    </row>
    <row r="165" spans="1:13" s="7" customFormat="1" ht="20.100000000000001" customHeight="1"/>
    <row r="166" spans="1:13" s="7" customFormat="1" ht="20.100000000000001" customHeight="1"/>
    <row r="167" spans="1:13" s="7" customFormat="1" ht="20.100000000000001" customHeight="1"/>
    <row r="168" spans="1:13" s="7" customFormat="1" ht="20.100000000000001" customHeight="1"/>
    <row r="169" spans="1:13" s="7" customFormat="1" ht="20.100000000000001" customHeight="1"/>
    <row r="170" spans="1:13" s="7" customFormat="1" ht="20.100000000000001" customHeight="1"/>
    <row r="171" spans="1:13" s="7" customFormat="1" ht="20.100000000000001" customHeight="1"/>
    <row r="172" spans="1:13" s="7" customFormat="1" ht="20.100000000000001" customHeight="1"/>
    <row r="173" spans="1:13" s="7" customFormat="1" ht="20.100000000000001" customHeight="1"/>
    <row r="174" spans="1:13" s="1" customFormat="1" ht="20.100000000000001" customHeight="1">
      <c r="H174" s="7"/>
    </row>
    <row r="175" spans="1:13" s="1" customFormat="1" ht="20.100000000000001" customHeight="1">
      <c r="H175" s="7"/>
    </row>
    <row r="176" spans="1:13" s="7" customFormat="1" ht="20.100000000000001" customHeight="1"/>
    <row r="177" spans="8:8" s="7" customFormat="1" ht="20.100000000000001" customHeight="1"/>
    <row r="178" spans="8:8" s="7" customFormat="1" ht="20.100000000000001" customHeight="1"/>
    <row r="179" spans="8:8" s="7" customFormat="1" ht="20.100000000000001" customHeight="1"/>
    <row r="180" spans="8:8" s="7" customFormat="1" ht="20.100000000000001" customHeight="1"/>
    <row r="181" spans="8:8" s="7" customFormat="1" ht="20.100000000000001" customHeight="1"/>
    <row r="182" spans="8:8" s="7" customFormat="1" ht="20.100000000000001" customHeight="1"/>
    <row r="183" spans="8:8" s="7" customFormat="1" ht="34.5" customHeight="1"/>
    <row r="184" spans="8:8" s="7" customFormat="1" ht="20.25" customHeight="1"/>
    <row r="185" spans="8:8" s="7" customFormat="1" ht="20.100000000000001" customHeight="1"/>
    <row r="186" spans="8:8" s="1" customFormat="1" ht="20.100000000000001" customHeight="1">
      <c r="H186" s="7"/>
    </row>
    <row r="187" spans="8:8" s="1" customFormat="1" ht="20.100000000000001" customHeight="1">
      <c r="H187" s="7"/>
    </row>
    <row r="188" spans="8:8" s="7" customFormat="1" ht="20.100000000000001" customHeight="1"/>
    <row r="189" spans="8:8" s="7" customFormat="1" ht="20.100000000000001" customHeight="1"/>
    <row r="190" spans="8:8" s="7" customFormat="1" ht="20.100000000000001" customHeight="1"/>
    <row r="191" spans="8:8" s="7" customFormat="1" ht="40.5" customHeight="1"/>
    <row r="192" spans="8:8" s="7" customFormat="1" ht="21" customHeight="1"/>
    <row r="193" spans="8:8" s="7" customFormat="1" ht="20.100000000000001" customHeight="1"/>
    <row r="194" spans="8:8" s="1" customFormat="1" ht="20.100000000000001" customHeight="1">
      <c r="H194" s="7"/>
    </row>
    <row r="195" spans="8:8" s="7" customFormat="1" ht="20.100000000000001" customHeight="1"/>
    <row r="196" spans="8:8" s="1" customFormat="1" ht="20.100000000000001" customHeight="1">
      <c r="H196" s="7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71"/>
  <sheetViews>
    <sheetView view="pageBreakPreview" zoomScale="80" zoomScaleNormal="75" workbookViewId="0">
      <pane xSplit="7" ySplit="8" topLeftCell="H66" activePane="bottomRight" state="frozen"/>
      <selection activeCell="P4" sqref="P4"/>
      <selection pane="topRight" activeCell="P4" sqref="P4"/>
      <selection pane="bottomLeft" activeCell="P4" sqref="P4"/>
      <selection pane="bottomRight" activeCell="I78" sqref="I78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74" t="s">
        <v>37</v>
      </c>
      <c r="B1" s="201"/>
      <c r="C1" s="201"/>
      <c r="D1" s="202"/>
      <c r="E1" s="203"/>
      <c r="F1" s="203"/>
      <c r="G1" s="203"/>
      <c r="H1" s="204"/>
      <c r="I1" s="203"/>
      <c r="J1" s="203"/>
      <c r="K1" s="203"/>
      <c r="L1" s="204"/>
      <c r="M1" s="205"/>
    </row>
    <row r="2" spans="1:13" s="1" customFormat="1" ht="20.100000000000001" customHeight="1">
      <c r="A2" s="175" t="s">
        <v>46</v>
      </c>
      <c r="B2" s="206"/>
      <c r="C2" s="206"/>
      <c r="D2" s="207"/>
      <c r="E2" s="208"/>
      <c r="F2" s="208"/>
      <c r="G2" s="208"/>
      <c r="H2" s="209"/>
      <c r="I2" s="208"/>
      <c r="J2" s="208"/>
      <c r="K2" s="208"/>
      <c r="L2" s="209"/>
      <c r="M2" s="210"/>
    </row>
    <row r="3" spans="1:13" s="1" customFormat="1" ht="20.100000000000001" customHeight="1">
      <c r="A3" s="120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1"/>
      <c r="C3" s="122"/>
      <c r="D3" s="151"/>
      <c r="E3" s="123"/>
      <c r="F3" s="123"/>
      <c r="G3" s="123"/>
      <c r="H3" s="124"/>
      <c r="I3" s="124"/>
      <c r="J3" s="152"/>
      <c r="K3" s="152"/>
      <c r="L3" s="126"/>
      <c r="M3" s="127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20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22"/>
      <c r="C4" s="122"/>
      <c r="D4" s="151"/>
      <c r="E4" s="123"/>
      <c r="F4" s="123"/>
      <c r="G4" s="123"/>
      <c r="H4" s="124"/>
      <c r="I4" s="124"/>
      <c r="J4" s="435" t="s">
        <v>243</v>
      </c>
      <c r="K4" s="435"/>
      <c r="L4" s="435"/>
      <c r="M4" s="436"/>
    </row>
    <row r="5" spans="1:13" s="1" customFormat="1" ht="20.100000000000001" customHeight="1" thickBot="1">
      <c r="A5" s="120" t="s">
        <v>419</v>
      </c>
      <c r="B5" s="122"/>
      <c r="C5" s="122"/>
      <c r="D5" s="151"/>
      <c r="E5" s="123"/>
      <c r="F5" s="123"/>
      <c r="G5" s="123"/>
      <c r="H5" s="124"/>
      <c r="I5" s="124"/>
      <c r="J5" s="125"/>
      <c r="K5" s="125"/>
      <c r="L5" s="123"/>
      <c r="M5" s="127"/>
    </row>
    <row r="6" spans="1:13" s="13" customFormat="1" ht="20.100000000000001" customHeight="1">
      <c r="A6" s="457" t="s">
        <v>3</v>
      </c>
      <c r="B6" s="459" t="s">
        <v>4</v>
      </c>
      <c r="C6" s="459" t="s">
        <v>38</v>
      </c>
      <c r="D6" s="18" t="s">
        <v>47</v>
      </c>
      <c r="E6" s="371" t="s">
        <v>39</v>
      </c>
      <c r="F6" s="371" t="s">
        <v>39</v>
      </c>
      <c r="G6" s="461" t="s">
        <v>39</v>
      </c>
      <c r="H6" s="453" t="s">
        <v>40</v>
      </c>
      <c r="I6" s="454"/>
      <c r="J6" s="455" t="s">
        <v>41</v>
      </c>
      <c r="K6" s="456"/>
      <c r="L6" s="19" t="s">
        <v>6</v>
      </c>
      <c r="M6" s="451" t="s">
        <v>42</v>
      </c>
    </row>
    <row r="7" spans="1:13" s="13" customFormat="1" ht="20.100000000000001" customHeight="1" thickBot="1">
      <c r="A7" s="458"/>
      <c r="B7" s="460"/>
      <c r="C7" s="460"/>
      <c r="D7" s="20" t="s">
        <v>48</v>
      </c>
      <c r="E7" s="372"/>
      <c r="F7" s="372"/>
      <c r="G7" s="462"/>
      <c r="H7" s="21" t="s">
        <v>43</v>
      </c>
      <c r="I7" s="21" t="s">
        <v>44</v>
      </c>
      <c r="J7" s="21" t="s">
        <v>43</v>
      </c>
      <c r="K7" s="21" t="s">
        <v>44</v>
      </c>
      <c r="L7" s="22" t="s">
        <v>45</v>
      </c>
      <c r="M7" s="452"/>
    </row>
    <row r="8" spans="1:13" s="1" customFormat="1" ht="20.100000000000001" customHeight="1">
      <c r="A8" s="17" t="s">
        <v>153</v>
      </c>
      <c r="B8" s="14" t="s">
        <v>1</v>
      </c>
      <c r="C8" s="9"/>
      <c r="D8" s="541"/>
      <c r="E8" s="542"/>
      <c r="F8" s="543"/>
      <c r="G8" s="544"/>
      <c r="H8" s="545"/>
      <c r="I8" s="545"/>
      <c r="J8" s="545"/>
      <c r="K8" s="545"/>
      <c r="L8" s="546"/>
      <c r="M8" s="15"/>
    </row>
    <row r="9" spans="1:13">
      <c r="A9" s="293" t="s">
        <v>258</v>
      </c>
      <c r="B9" s="78" t="s">
        <v>259</v>
      </c>
      <c r="C9" s="79"/>
      <c r="D9" s="547">
        <v>0</v>
      </c>
      <c r="E9" s="548">
        <v>1</v>
      </c>
      <c r="F9" s="549"/>
      <c r="G9" s="549"/>
      <c r="H9" s="550"/>
      <c r="I9" s="551"/>
      <c r="J9" s="550"/>
      <c r="K9" s="551"/>
      <c r="L9" s="552"/>
      <c r="M9" s="237"/>
    </row>
    <row r="10" spans="1:13" ht="18" customHeight="1">
      <c r="A10" s="238"/>
      <c r="B10" s="211" t="s">
        <v>260</v>
      </c>
      <c r="C10" s="98" t="s">
        <v>122</v>
      </c>
      <c r="D10" s="490"/>
      <c r="E10" s="491"/>
      <c r="F10" s="491"/>
      <c r="G10" s="492">
        <v>1</v>
      </c>
      <c r="H10" s="549">
        <v>1465</v>
      </c>
      <c r="I10" s="493">
        <f t="shared" ref="I10:I16" si="0">G10*H10</f>
        <v>1465</v>
      </c>
      <c r="J10" s="493">
        <v>110</v>
      </c>
      <c r="K10" s="493">
        <f>G10*J10</f>
        <v>110</v>
      </c>
      <c r="L10" s="494">
        <f t="shared" ref="L10:L16" si="1">SUM(I10+K10)</f>
        <v>1575</v>
      </c>
      <c r="M10" s="70"/>
    </row>
    <row r="11" spans="1:13" ht="18" customHeight="1">
      <c r="A11" s="238"/>
      <c r="B11" s="211" t="s">
        <v>261</v>
      </c>
      <c r="C11" s="98" t="s">
        <v>122</v>
      </c>
      <c r="D11" s="490"/>
      <c r="E11" s="491"/>
      <c r="F11" s="491"/>
      <c r="G11" s="492">
        <v>1</v>
      </c>
      <c r="H11" s="549">
        <v>1100</v>
      </c>
      <c r="I11" s="493">
        <f t="shared" si="0"/>
        <v>1100</v>
      </c>
      <c r="J11" s="493">
        <v>110</v>
      </c>
      <c r="K11" s="493">
        <f t="shared" ref="K11:K16" si="2">G11*J11</f>
        <v>110</v>
      </c>
      <c r="L11" s="494">
        <f t="shared" si="1"/>
        <v>1210</v>
      </c>
      <c r="M11" s="70"/>
    </row>
    <row r="12" spans="1:13" ht="18" customHeight="1">
      <c r="A12" s="238"/>
      <c r="B12" s="211" t="s">
        <v>262</v>
      </c>
      <c r="C12" s="98" t="s">
        <v>122</v>
      </c>
      <c r="D12" s="490">
        <v>0</v>
      </c>
      <c r="E12" s="491">
        <v>12</v>
      </c>
      <c r="F12" s="492"/>
      <c r="G12" s="492">
        <v>6</v>
      </c>
      <c r="H12" s="549">
        <v>110</v>
      </c>
      <c r="I12" s="493">
        <f t="shared" si="0"/>
        <v>660</v>
      </c>
      <c r="J12" s="493">
        <v>110</v>
      </c>
      <c r="K12" s="493">
        <f t="shared" si="2"/>
        <v>660</v>
      </c>
      <c r="L12" s="494">
        <f t="shared" si="1"/>
        <v>1320</v>
      </c>
      <c r="M12" s="70"/>
    </row>
    <row r="13" spans="1:13" ht="18" customHeight="1">
      <c r="A13" s="238"/>
      <c r="B13" s="211" t="s">
        <v>263</v>
      </c>
      <c r="C13" s="98" t="s">
        <v>122</v>
      </c>
      <c r="D13" s="490">
        <v>0</v>
      </c>
      <c r="E13" s="491">
        <v>12</v>
      </c>
      <c r="F13" s="492"/>
      <c r="G13" s="492">
        <v>3</v>
      </c>
      <c r="H13" s="549">
        <v>1450</v>
      </c>
      <c r="I13" s="493">
        <f t="shared" si="0"/>
        <v>4350</v>
      </c>
      <c r="J13" s="493">
        <v>110</v>
      </c>
      <c r="K13" s="493">
        <f t="shared" si="2"/>
        <v>330</v>
      </c>
      <c r="L13" s="494">
        <f t="shared" si="1"/>
        <v>4680</v>
      </c>
      <c r="M13" s="70"/>
    </row>
    <row r="14" spans="1:13" ht="18" customHeight="1">
      <c r="A14" s="238"/>
      <c r="B14" s="211" t="s">
        <v>264</v>
      </c>
      <c r="C14" s="98" t="s">
        <v>122</v>
      </c>
      <c r="D14" s="490">
        <v>0</v>
      </c>
      <c r="E14" s="491">
        <v>12</v>
      </c>
      <c r="F14" s="492"/>
      <c r="G14" s="492">
        <v>3</v>
      </c>
      <c r="H14" s="549">
        <v>1450</v>
      </c>
      <c r="I14" s="493">
        <f t="shared" si="0"/>
        <v>4350</v>
      </c>
      <c r="J14" s="493">
        <v>110</v>
      </c>
      <c r="K14" s="493">
        <f t="shared" si="2"/>
        <v>330</v>
      </c>
      <c r="L14" s="494">
        <f t="shared" si="1"/>
        <v>4680</v>
      </c>
      <c r="M14" s="70"/>
    </row>
    <row r="15" spans="1:13" ht="18" customHeight="1">
      <c r="A15" s="238"/>
      <c r="B15" s="211" t="s">
        <v>265</v>
      </c>
      <c r="C15" s="98" t="s">
        <v>122</v>
      </c>
      <c r="D15" s="490">
        <v>0</v>
      </c>
      <c r="E15" s="491">
        <v>12</v>
      </c>
      <c r="F15" s="492"/>
      <c r="G15" s="492">
        <v>1</v>
      </c>
      <c r="H15" s="549">
        <v>800</v>
      </c>
      <c r="I15" s="553">
        <f t="shared" si="0"/>
        <v>800</v>
      </c>
      <c r="J15" s="553">
        <v>200</v>
      </c>
      <c r="K15" s="493">
        <f t="shared" si="2"/>
        <v>200</v>
      </c>
      <c r="L15" s="494">
        <f t="shared" si="1"/>
        <v>1000</v>
      </c>
      <c r="M15" s="70"/>
    </row>
    <row r="16" spans="1:13" ht="18" customHeight="1" thickBot="1">
      <c r="A16" s="238"/>
      <c r="B16" s="211" t="s">
        <v>266</v>
      </c>
      <c r="C16" s="98" t="s">
        <v>122</v>
      </c>
      <c r="D16" s="490">
        <v>0</v>
      </c>
      <c r="E16" s="491">
        <v>12</v>
      </c>
      <c r="F16" s="492"/>
      <c r="G16" s="492">
        <v>1</v>
      </c>
      <c r="H16" s="549">
        <v>1900</v>
      </c>
      <c r="I16" s="553">
        <f t="shared" si="0"/>
        <v>1900</v>
      </c>
      <c r="J16" s="553">
        <v>400</v>
      </c>
      <c r="K16" s="493">
        <f t="shared" si="2"/>
        <v>400</v>
      </c>
      <c r="L16" s="494">
        <f t="shared" si="1"/>
        <v>2300</v>
      </c>
      <c r="M16" s="70"/>
    </row>
    <row r="17" spans="1:13" s="7" customFormat="1" ht="15" thickTop="1" thickBot="1">
      <c r="A17" s="239"/>
      <c r="B17" s="31" t="s">
        <v>154</v>
      </c>
      <c r="C17" s="34"/>
      <c r="D17" s="554"/>
      <c r="E17" s="555"/>
      <c r="F17" s="555"/>
      <c r="G17" s="555"/>
      <c r="H17" s="556"/>
      <c r="I17" s="557">
        <f>SUM(I10:I16)</f>
        <v>14625</v>
      </c>
      <c r="J17" s="556"/>
      <c r="K17" s="557">
        <f>SUM(K10:K16)</f>
        <v>2140</v>
      </c>
      <c r="L17" s="557">
        <f>SUM(L10:L16)</f>
        <v>16765</v>
      </c>
      <c r="M17" s="24"/>
    </row>
    <row r="18" spans="1:13" ht="20.100000000000001" customHeight="1" thickTop="1">
      <c r="A18" s="82" t="s">
        <v>167</v>
      </c>
      <c r="B18" s="83" t="s">
        <v>267</v>
      </c>
      <c r="C18" s="59"/>
      <c r="D18" s="506"/>
      <c r="E18" s="558"/>
      <c r="F18" s="559"/>
      <c r="G18" s="508"/>
      <c r="H18" s="509"/>
      <c r="I18" s="509"/>
      <c r="J18" s="509"/>
      <c r="K18" s="509"/>
      <c r="L18" s="524"/>
      <c r="M18" s="63"/>
    </row>
    <row r="19" spans="1:13" ht="20.100000000000001" customHeight="1">
      <c r="A19" s="238"/>
      <c r="B19" s="179" t="s">
        <v>268</v>
      </c>
      <c r="C19" s="98" t="s">
        <v>269</v>
      </c>
      <c r="D19" s="490">
        <v>0</v>
      </c>
      <c r="E19" s="491"/>
      <c r="F19" s="491">
        <v>3</v>
      </c>
      <c r="G19" s="492">
        <v>40</v>
      </c>
      <c r="H19" s="492">
        <v>112.31</v>
      </c>
      <c r="I19" s="493">
        <f>G19*H19</f>
        <v>4492.3999999999996</v>
      </c>
      <c r="J19" s="492">
        <v>30</v>
      </c>
      <c r="K19" s="493">
        <f>G19*J19</f>
        <v>1200</v>
      </c>
      <c r="L19" s="494">
        <f>SUM(I19+K19)</f>
        <v>5692.4</v>
      </c>
      <c r="M19" s="70"/>
    </row>
    <row r="20" spans="1:13" ht="18" customHeight="1">
      <c r="A20" s="238"/>
      <c r="B20" s="211" t="s">
        <v>270</v>
      </c>
      <c r="C20" s="98" t="s">
        <v>269</v>
      </c>
      <c r="D20" s="490"/>
      <c r="E20" s="491"/>
      <c r="F20" s="491"/>
      <c r="G20" s="492">
        <f>15</f>
        <v>15</v>
      </c>
      <c r="H20" s="492">
        <v>34.76</v>
      </c>
      <c r="I20" s="493">
        <f>G20*H20</f>
        <v>521.4</v>
      </c>
      <c r="J20" s="492">
        <v>16</v>
      </c>
      <c r="K20" s="493">
        <f>G20*J20</f>
        <v>240</v>
      </c>
      <c r="L20" s="494">
        <f t="shared" ref="L20:L33" si="3">SUM(I20+K20)</f>
        <v>761.4</v>
      </c>
      <c r="M20" s="70"/>
    </row>
    <row r="21" spans="1:13" ht="18" customHeight="1">
      <c r="A21" s="238"/>
      <c r="B21" s="211" t="s">
        <v>271</v>
      </c>
      <c r="C21" s="98" t="s">
        <v>269</v>
      </c>
      <c r="D21" s="490"/>
      <c r="E21" s="491"/>
      <c r="F21" s="491"/>
      <c r="G21" s="492">
        <f>40+230+160</f>
        <v>430</v>
      </c>
      <c r="H21" s="492">
        <v>12.13</v>
      </c>
      <c r="I21" s="493">
        <f t="shared" ref="I21:I33" si="4">G21*H21</f>
        <v>5215.9000000000005</v>
      </c>
      <c r="J21" s="492">
        <v>10</v>
      </c>
      <c r="K21" s="493">
        <f t="shared" ref="K21:K33" si="5">G21*J21</f>
        <v>4300</v>
      </c>
      <c r="L21" s="494">
        <f t="shared" si="3"/>
        <v>9515.9000000000015</v>
      </c>
      <c r="M21" s="70"/>
    </row>
    <row r="22" spans="1:13" ht="18" customHeight="1">
      <c r="A22" s="238"/>
      <c r="B22" s="179" t="s">
        <v>272</v>
      </c>
      <c r="C22" s="98" t="s">
        <v>269</v>
      </c>
      <c r="D22" s="490"/>
      <c r="E22" s="491"/>
      <c r="F22" s="491"/>
      <c r="G22" s="492">
        <f>20+480+115+195+80+30</f>
        <v>920</v>
      </c>
      <c r="H22" s="492">
        <v>8.0399999999999991</v>
      </c>
      <c r="I22" s="493">
        <f t="shared" si="4"/>
        <v>7396.7999999999993</v>
      </c>
      <c r="J22" s="492">
        <v>7</v>
      </c>
      <c r="K22" s="493">
        <f t="shared" si="5"/>
        <v>6440</v>
      </c>
      <c r="L22" s="494">
        <f t="shared" si="3"/>
        <v>13836.8</v>
      </c>
      <c r="M22" s="70"/>
    </row>
    <row r="23" spans="1:13" ht="18" customHeight="1">
      <c r="A23" s="238"/>
      <c r="B23" s="179" t="s">
        <v>273</v>
      </c>
      <c r="C23" s="98" t="s">
        <v>269</v>
      </c>
      <c r="D23" s="490">
        <v>0</v>
      </c>
      <c r="E23" s="491">
        <v>12</v>
      </c>
      <c r="F23" s="492"/>
      <c r="G23" s="492">
        <f>30</f>
        <v>30</v>
      </c>
      <c r="H23" s="492">
        <v>20.59</v>
      </c>
      <c r="I23" s="493">
        <f>G23*H23</f>
        <v>617.70000000000005</v>
      </c>
      <c r="J23" s="492">
        <v>12</v>
      </c>
      <c r="K23" s="493">
        <f>G23*J23</f>
        <v>360</v>
      </c>
      <c r="L23" s="494">
        <f>SUM(I23+K23)</f>
        <v>977.7</v>
      </c>
      <c r="M23" s="70"/>
    </row>
    <row r="24" spans="1:13" ht="18" customHeight="1">
      <c r="A24" s="238"/>
      <c r="B24" s="179" t="s">
        <v>274</v>
      </c>
      <c r="C24" s="98" t="s">
        <v>269</v>
      </c>
      <c r="D24" s="490">
        <v>0</v>
      </c>
      <c r="E24" s="491">
        <v>12</v>
      </c>
      <c r="F24" s="492"/>
      <c r="G24" s="492">
        <f>30</f>
        <v>30</v>
      </c>
      <c r="H24" s="492">
        <v>17.63</v>
      </c>
      <c r="I24" s="493">
        <f t="shared" si="4"/>
        <v>528.9</v>
      </c>
      <c r="J24" s="492">
        <v>10</v>
      </c>
      <c r="K24" s="493">
        <f t="shared" si="5"/>
        <v>300</v>
      </c>
      <c r="L24" s="494">
        <f t="shared" si="3"/>
        <v>828.9</v>
      </c>
      <c r="M24" s="70"/>
    </row>
    <row r="25" spans="1:13" ht="18" customHeight="1">
      <c r="A25" s="238"/>
      <c r="B25" s="179" t="s">
        <v>275</v>
      </c>
      <c r="C25" s="98" t="s">
        <v>269</v>
      </c>
      <c r="D25" s="490">
        <v>0</v>
      </c>
      <c r="E25" s="491">
        <v>12</v>
      </c>
      <c r="F25" s="492"/>
      <c r="G25" s="492">
        <f>60</f>
        <v>60</v>
      </c>
      <c r="H25" s="549">
        <v>4.8</v>
      </c>
      <c r="I25" s="553">
        <f t="shared" si="4"/>
        <v>288</v>
      </c>
      <c r="J25" s="549">
        <v>3</v>
      </c>
      <c r="K25" s="493">
        <f t="shared" si="5"/>
        <v>180</v>
      </c>
      <c r="L25" s="494">
        <f t="shared" si="3"/>
        <v>468</v>
      </c>
      <c r="M25" s="70"/>
    </row>
    <row r="26" spans="1:13" ht="18" customHeight="1">
      <c r="A26" s="238"/>
      <c r="B26" s="179" t="s">
        <v>276</v>
      </c>
      <c r="C26" s="98" t="s">
        <v>269</v>
      </c>
      <c r="D26" s="490">
        <v>0</v>
      </c>
      <c r="E26" s="491">
        <v>12</v>
      </c>
      <c r="F26" s="492"/>
      <c r="G26" s="492">
        <f>12</f>
        <v>12</v>
      </c>
      <c r="H26" s="549">
        <v>9.35</v>
      </c>
      <c r="I26" s="493">
        <f t="shared" si="4"/>
        <v>112.19999999999999</v>
      </c>
      <c r="J26" s="492">
        <v>6</v>
      </c>
      <c r="K26" s="493">
        <f t="shared" si="5"/>
        <v>72</v>
      </c>
      <c r="L26" s="494">
        <f t="shared" si="3"/>
        <v>184.2</v>
      </c>
      <c r="M26" s="70"/>
    </row>
    <row r="27" spans="1:13" ht="18" customHeight="1">
      <c r="A27" s="238"/>
      <c r="B27" s="179" t="s">
        <v>277</v>
      </c>
      <c r="C27" s="98" t="s">
        <v>269</v>
      </c>
      <c r="D27" s="490">
        <v>0</v>
      </c>
      <c r="E27" s="491">
        <v>12</v>
      </c>
      <c r="F27" s="492"/>
      <c r="G27" s="492">
        <f>56</f>
        <v>56</v>
      </c>
      <c r="H27" s="492">
        <v>39</v>
      </c>
      <c r="I27" s="493">
        <f t="shared" si="4"/>
        <v>2184</v>
      </c>
      <c r="J27" s="492">
        <v>12</v>
      </c>
      <c r="K27" s="493">
        <f t="shared" si="5"/>
        <v>672</v>
      </c>
      <c r="L27" s="494">
        <f t="shared" si="3"/>
        <v>2856</v>
      </c>
      <c r="M27" s="70"/>
    </row>
    <row r="28" spans="1:13" ht="18" customHeight="1">
      <c r="A28" s="238"/>
      <c r="B28" s="179" t="s">
        <v>279</v>
      </c>
      <c r="C28" s="98" t="s">
        <v>269</v>
      </c>
      <c r="D28" s="490">
        <v>0</v>
      </c>
      <c r="E28" s="491">
        <v>12</v>
      </c>
      <c r="F28" s="492"/>
      <c r="G28" s="492">
        <f>10</f>
        <v>10</v>
      </c>
      <c r="H28" s="492">
        <v>16</v>
      </c>
      <c r="I28" s="493">
        <f t="shared" si="4"/>
        <v>160</v>
      </c>
      <c r="J28" s="492">
        <v>19</v>
      </c>
      <c r="K28" s="493">
        <f t="shared" si="5"/>
        <v>190</v>
      </c>
      <c r="L28" s="494">
        <f t="shared" si="3"/>
        <v>350</v>
      </c>
      <c r="M28" s="70"/>
    </row>
    <row r="29" spans="1:13" ht="18" customHeight="1">
      <c r="A29" s="238"/>
      <c r="B29" s="179" t="s">
        <v>280</v>
      </c>
      <c r="C29" s="98" t="s">
        <v>269</v>
      </c>
      <c r="D29" s="490">
        <v>0</v>
      </c>
      <c r="E29" s="491">
        <v>12</v>
      </c>
      <c r="F29" s="492"/>
      <c r="G29" s="492">
        <f>15</f>
        <v>15</v>
      </c>
      <c r="H29" s="492">
        <v>22</v>
      </c>
      <c r="I29" s="493">
        <f t="shared" si="4"/>
        <v>330</v>
      </c>
      <c r="J29" s="492">
        <v>18</v>
      </c>
      <c r="K29" s="493">
        <f t="shared" si="5"/>
        <v>270</v>
      </c>
      <c r="L29" s="494">
        <f t="shared" si="3"/>
        <v>600</v>
      </c>
      <c r="M29" s="70"/>
    </row>
    <row r="30" spans="1:13" ht="18" customHeight="1">
      <c r="A30" s="238"/>
      <c r="B30" s="179" t="s">
        <v>281</v>
      </c>
      <c r="C30" s="98" t="s">
        <v>269</v>
      </c>
      <c r="D30" s="490">
        <v>0</v>
      </c>
      <c r="E30" s="491">
        <v>12</v>
      </c>
      <c r="F30" s="492"/>
      <c r="G30" s="492">
        <f>20</f>
        <v>20</v>
      </c>
      <c r="H30" s="492">
        <v>77.28</v>
      </c>
      <c r="I30" s="493">
        <f t="shared" si="4"/>
        <v>1545.6</v>
      </c>
      <c r="J30" s="492">
        <v>35</v>
      </c>
      <c r="K30" s="493">
        <f t="shared" si="5"/>
        <v>700</v>
      </c>
      <c r="L30" s="494">
        <f t="shared" si="3"/>
        <v>2245.6</v>
      </c>
      <c r="M30" s="70"/>
    </row>
    <row r="31" spans="1:13" ht="18" customHeight="1">
      <c r="A31" s="238"/>
      <c r="B31" s="179" t="s">
        <v>282</v>
      </c>
      <c r="C31" s="98" t="s">
        <v>269</v>
      </c>
      <c r="D31" s="490">
        <v>0</v>
      </c>
      <c r="E31" s="491">
        <v>12</v>
      </c>
      <c r="F31" s="492"/>
      <c r="G31" s="492">
        <f>13</f>
        <v>13</v>
      </c>
      <c r="H31" s="549">
        <v>18.149999999999999</v>
      </c>
      <c r="I31" s="493">
        <f t="shared" si="4"/>
        <v>235.95</v>
      </c>
      <c r="J31" s="492">
        <v>23</v>
      </c>
      <c r="K31" s="493">
        <f t="shared" si="5"/>
        <v>299</v>
      </c>
      <c r="L31" s="494">
        <f t="shared" si="3"/>
        <v>534.95000000000005</v>
      </c>
      <c r="M31" s="70"/>
    </row>
    <row r="32" spans="1:13" ht="18" customHeight="1">
      <c r="A32" s="238"/>
      <c r="B32" s="179" t="s">
        <v>283</v>
      </c>
      <c r="C32" s="98" t="s">
        <v>269</v>
      </c>
      <c r="D32" s="490">
        <v>0</v>
      </c>
      <c r="E32" s="491">
        <v>12</v>
      </c>
      <c r="F32" s="492"/>
      <c r="G32" s="492">
        <f>60+12+20+210+115+65+80+10</f>
        <v>572</v>
      </c>
      <c r="H32" s="549">
        <v>14.04</v>
      </c>
      <c r="I32" s="493">
        <f t="shared" si="4"/>
        <v>8030.8799999999992</v>
      </c>
      <c r="J32" s="492">
        <v>20</v>
      </c>
      <c r="K32" s="493">
        <f t="shared" si="5"/>
        <v>11440</v>
      </c>
      <c r="L32" s="494">
        <f t="shared" si="3"/>
        <v>19470.879999999997</v>
      </c>
      <c r="M32" s="70"/>
    </row>
    <row r="33" spans="1:13" ht="18" customHeight="1">
      <c r="A33" s="238"/>
      <c r="B33" s="179" t="s">
        <v>284</v>
      </c>
      <c r="C33" s="98" t="s">
        <v>269</v>
      </c>
      <c r="D33" s="490">
        <v>0</v>
      </c>
      <c r="E33" s="491">
        <v>12</v>
      </c>
      <c r="F33" s="492"/>
      <c r="G33" s="492">
        <f>56</f>
        <v>56</v>
      </c>
      <c r="H33" s="549">
        <v>4.4000000000000004</v>
      </c>
      <c r="I33" s="493">
        <f t="shared" si="4"/>
        <v>246.40000000000003</v>
      </c>
      <c r="J33" s="492">
        <v>11</v>
      </c>
      <c r="K33" s="493">
        <f t="shared" si="5"/>
        <v>616</v>
      </c>
      <c r="L33" s="494">
        <f t="shared" si="3"/>
        <v>862.40000000000009</v>
      </c>
      <c r="M33" s="70"/>
    </row>
    <row r="34" spans="1:13" ht="18" customHeight="1" thickBot="1">
      <c r="A34" s="238"/>
      <c r="B34" s="179" t="s">
        <v>443</v>
      </c>
      <c r="C34" s="98" t="s">
        <v>278</v>
      </c>
      <c r="D34" s="490">
        <v>0</v>
      </c>
      <c r="E34" s="491">
        <v>12</v>
      </c>
      <c r="F34" s="492"/>
      <c r="G34" s="492">
        <v>1</v>
      </c>
      <c r="H34" s="549"/>
      <c r="I34" s="493"/>
      <c r="J34" s="492"/>
      <c r="K34" s="493"/>
      <c r="L34" s="549">
        <f>(SUM(I19:I33)+SUM(K19:K33))*0.1</f>
        <v>5918.5130000000008</v>
      </c>
      <c r="M34" s="70"/>
    </row>
    <row r="35" spans="1:13" ht="18" customHeight="1" thickTop="1" thickBot="1">
      <c r="A35" s="239"/>
      <c r="B35" s="31" t="s">
        <v>285</v>
      </c>
      <c r="C35" s="34"/>
      <c r="D35" s="554"/>
      <c r="E35" s="555"/>
      <c r="F35" s="555"/>
      <c r="G35" s="555"/>
      <c r="H35" s="556"/>
      <c r="I35" s="557">
        <f>SUM(I19:I33)</f>
        <v>31906.130000000005</v>
      </c>
      <c r="J35" s="556"/>
      <c r="K35" s="557">
        <f>SUM(K19:K33)</f>
        <v>27279</v>
      </c>
      <c r="L35" s="557">
        <f>SUM(L19:L34)</f>
        <v>65103.642999999996</v>
      </c>
      <c r="M35" s="24" t="s">
        <v>34</v>
      </c>
    </row>
    <row r="36" spans="1:13" s="7" customFormat="1" ht="14.4" thickTop="1">
      <c r="A36" s="82" t="s">
        <v>286</v>
      </c>
      <c r="B36" s="83" t="s">
        <v>287</v>
      </c>
      <c r="C36" s="59"/>
      <c r="D36" s="506"/>
      <c r="E36" s="558"/>
      <c r="F36" s="559"/>
      <c r="G36" s="508"/>
      <c r="H36" s="509"/>
      <c r="I36" s="509"/>
      <c r="J36" s="509"/>
      <c r="K36" s="509"/>
      <c r="L36" s="524"/>
      <c r="M36" s="63"/>
    </row>
    <row r="37" spans="1:13" ht="20.100000000000001" customHeight="1">
      <c r="A37" s="238"/>
      <c r="B37" s="179" t="s">
        <v>288</v>
      </c>
      <c r="C37" s="98" t="s">
        <v>289</v>
      </c>
      <c r="D37" s="490">
        <v>0</v>
      </c>
      <c r="E37" s="491"/>
      <c r="F37" s="491">
        <v>3</v>
      </c>
      <c r="G37" s="492">
        <v>10</v>
      </c>
      <c r="H37" s="549">
        <v>420</v>
      </c>
      <c r="I37" s="493">
        <f t="shared" ref="I37:I43" si="6">G37*H37</f>
        <v>4200</v>
      </c>
      <c r="J37" s="493">
        <v>115</v>
      </c>
      <c r="K37" s="493">
        <f t="shared" ref="K37:K43" si="7">G37*J37</f>
        <v>1150</v>
      </c>
      <c r="L37" s="494">
        <f t="shared" ref="L37:L43" si="8">SUM(I37+K37)</f>
        <v>5350</v>
      </c>
      <c r="M37" s="70"/>
    </row>
    <row r="38" spans="1:13" ht="35.25" customHeight="1">
      <c r="A38" s="238"/>
      <c r="B38" s="179" t="s">
        <v>290</v>
      </c>
      <c r="C38" s="98" t="s">
        <v>291</v>
      </c>
      <c r="D38" s="490"/>
      <c r="E38" s="491"/>
      <c r="F38" s="491"/>
      <c r="G38" s="492">
        <v>13</v>
      </c>
      <c r="H38" s="549">
        <v>250</v>
      </c>
      <c r="I38" s="493">
        <f t="shared" si="6"/>
        <v>3250</v>
      </c>
      <c r="J38" s="493">
        <v>115</v>
      </c>
      <c r="K38" s="493">
        <f t="shared" si="7"/>
        <v>1495</v>
      </c>
      <c r="L38" s="494">
        <f t="shared" si="8"/>
        <v>4745</v>
      </c>
      <c r="M38" s="70"/>
    </row>
    <row r="39" spans="1:13" ht="35.25" customHeight="1">
      <c r="A39" s="238"/>
      <c r="B39" s="179" t="s">
        <v>292</v>
      </c>
      <c r="C39" s="98" t="s">
        <v>291</v>
      </c>
      <c r="D39" s="490"/>
      <c r="E39" s="491"/>
      <c r="F39" s="491"/>
      <c r="G39" s="492">
        <v>6</v>
      </c>
      <c r="H39" s="549">
        <v>250</v>
      </c>
      <c r="I39" s="493">
        <f t="shared" si="6"/>
        <v>1500</v>
      </c>
      <c r="J39" s="493">
        <v>115</v>
      </c>
      <c r="K39" s="493">
        <f t="shared" si="7"/>
        <v>690</v>
      </c>
      <c r="L39" s="494">
        <f t="shared" si="8"/>
        <v>2190</v>
      </c>
      <c r="M39" s="70"/>
    </row>
    <row r="40" spans="1:13" ht="35.25" customHeight="1">
      <c r="A40" s="238"/>
      <c r="B40" s="179" t="s">
        <v>293</v>
      </c>
      <c r="C40" s="98" t="s">
        <v>291</v>
      </c>
      <c r="D40" s="490"/>
      <c r="E40" s="491"/>
      <c r="F40" s="491"/>
      <c r="G40" s="492">
        <v>1</v>
      </c>
      <c r="H40" s="549">
        <v>320</v>
      </c>
      <c r="I40" s="493">
        <f t="shared" si="6"/>
        <v>320</v>
      </c>
      <c r="J40" s="493">
        <v>115</v>
      </c>
      <c r="K40" s="493">
        <f t="shared" si="7"/>
        <v>115</v>
      </c>
      <c r="L40" s="494">
        <f t="shared" si="8"/>
        <v>435</v>
      </c>
      <c r="M40" s="70"/>
    </row>
    <row r="41" spans="1:13" ht="18" customHeight="1">
      <c r="A41" s="238"/>
      <c r="B41" s="179" t="s">
        <v>444</v>
      </c>
      <c r="C41" s="98" t="s">
        <v>291</v>
      </c>
      <c r="D41" s="490"/>
      <c r="E41" s="491"/>
      <c r="F41" s="491"/>
      <c r="G41" s="492">
        <v>1</v>
      </c>
      <c r="H41" s="549">
        <v>320</v>
      </c>
      <c r="I41" s="493">
        <f t="shared" si="6"/>
        <v>320</v>
      </c>
      <c r="J41" s="493">
        <v>115</v>
      </c>
      <c r="K41" s="493">
        <f t="shared" si="7"/>
        <v>115</v>
      </c>
      <c r="L41" s="494">
        <f t="shared" si="8"/>
        <v>435</v>
      </c>
      <c r="M41" s="70"/>
    </row>
    <row r="42" spans="1:13" ht="18" customHeight="1">
      <c r="A42" s="238"/>
      <c r="B42" s="179" t="s">
        <v>294</v>
      </c>
      <c r="C42" s="98" t="s">
        <v>289</v>
      </c>
      <c r="D42" s="490">
        <v>0</v>
      </c>
      <c r="E42" s="491"/>
      <c r="F42" s="491">
        <v>3</v>
      </c>
      <c r="G42" s="492">
        <f>(2*G37)+G38+G39</f>
        <v>39</v>
      </c>
      <c r="H42" s="549">
        <v>120</v>
      </c>
      <c r="I42" s="493">
        <f t="shared" si="6"/>
        <v>4680</v>
      </c>
      <c r="J42" s="553"/>
      <c r="K42" s="493">
        <f t="shared" si="7"/>
        <v>0</v>
      </c>
      <c r="L42" s="494">
        <f t="shared" si="8"/>
        <v>4680</v>
      </c>
      <c r="M42" s="70"/>
    </row>
    <row r="43" spans="1:13" ht="18" customHeight="1" thickBot="1">
      <c r="A43" s="238"/>
      <c r="B43" s="179" t="s">
        <v>295</v>
      </c>
      <c r="C43" s="98" t="s">
        <v>291</v>
      </c>
      <c r="D43" s="490"/>
      <c r="E43" s="491"/>
      <c r="F43" s="491"/>
      <c r="G43" s="492">
        <f>G40+G41</f>
        <v>2</v>
      </c>
      <c r="H43" s="549">
        <v>220</v>
      </c>
      <c r="I43" s="493">
        <f t="shared" si="6"/>
        <v>440</v>
      </c>
      <c r="J43" s="553"/>
      <c r="K43" s="493">
        <f t="shared" si="7"/>
        <v>0</v>
      </c>
      <c r="L43" s="494">
        <f t="shared" si="8"/>
        <v>440</v>
      </c>
      <c r="M43" s="70"/>
    </row>
    <row r="44" spans="1:13" s="7" customFormat="1" ht="15" thickTop="1" thickBot="1">
      <c r="A44" s="239"/>
      <c r="B44" s="31" t="s">
        <v>296</v>
      </c>
      <c r="C44" s="34"/>
      <c r="D44" s="554"/>
      <c r="E44" s="555"/>
      <c r="F44" s="555"/>
      <c r="G44" s="555"/>
      <c r="H44" s="556"/>
      <c r="I44" s="557">
        <f>SUM(I37:I43)</f>
        <v>14710</v>
      </c>
      <c r="J44" s="556"/>
      <c r="K44" s="557">
        <f>SUM(K37:K43)</f>
        <v>3565</v>
      </c>
      <c r="L44" s="557">
        <f>SUM(L37:L43)</f>
        <v>18275</v>
      </c>
      <c r="M44" s="24" t="s">
        <v>34</v>
      </c>
    </row>
    <row r="45" spans="1:13" ht="20.100000000000001" customHeight="1" thickTop="1">
      <c r="A45" s="82" t="s">
        <v>297</v>
      </c>
      <c r="B45" s="83" t="s">
        <v>298</v>
      </c>
      <c r="C45" s="59"/>
      <c r="D45" s="506"/>
      <c r="E45" s="558"/>
      <c r="F45" s="559"/>
      <c r="G45" s="508"/>
      <c r="H45" s="509"/>
      <c r="I45" s="509"/>
      <c r="J45" s="509"/>
      <c r="K45" s="509"/>
      <c r="L45" s="524"/>
      <c r="M45" s="63"/>
    </row>
    <row r="46" spans="1:13" ht="20.100000000000001" customHeight="1">
      <c r="A46" s="238"/>
      <c r="B46" s="179" t="s">
        <v>299</v>
      </c>
      <c r="C46" s="98" t="s">
        <v>289</v>
      </c>
      <c r="D46" s="490">
        <v>0</v>
      </c>
      <c r="E46" s="491"/>
      <c r="F46" s="491">
        <v>3</v>
      </c>
      <c r="G46" s="492">
        <f>3+16+6</f>
        <v>25</v>
      </c>
      <c r="H46" s="492">
        <v>30</v>
      </c>
      <c r="I46" s="493">
        <f t="shared" ref="I46:I55" si="9">G46*H46</f>
        <v>750</v>
      </c>
      <c r="J46" s="493">
        <v>80</v>
      </c>
      <c r="K46" s="493">
        <f t="shared" ref="K46:K55" si="10">G46*J46</f>
        <v>2000</v>
      </c>
      <c r="L46" s="494">
        <f>SUM(I46+K46)</f>
        <v>2750</v>
      </c>
      <c r="M46" s="70"/>
    </row>
    <row r="47" spans="1:13" ht="18" customHeight="1">
      <c r="A47" s="238"/>
      <c r="B47" s="179" t="s">
        <v>359</v>
      </c>
      <c r="C47" s="98" t="s">
        <v>291</v>
      </c>
      <c r="D47" s="490"/>
      <c r="E47" s="491"/>
      <c r="F47" s="491"/>
      <c r="G47" s="560">
        <f>2</f>
        <v>2</v>
      </c>
      <c r="H47" s="492">
        <v>56</v>
      </c>
      <c r="I47" s="493">
        <f t="shared" si="9"/>
        <v>112</v>
      </c>
      <c r="J47" s="493">
        <v>85</v>
      </c>
      <c r="K47" s="493">
        <f t="shared" si="10"/>
        <v>170</v>
      </c>
      <c r="L47" s="494">
        <f>SUM(I47+K47)</f>
        <v>282</v>
      </c>
      <c r="M47" s="70"/>
    </row>
    <row r="48" spans="1:13" ht="18" customHeight="1">
      <c r="A48" s="238"/>
      <c r="B48" s="179" t="s">
        <v>300</v>
      </c>
      <c r="C48" s="98" t="s">
        <v>291</v>
      </c>
      <c r="D48" s="490"/>
      <c r="E48" s="491"/>
      <c r="F48" s="491"/>
      <c r="G48" s="492">
        <v>3</v>
      </c>
      <c r="H48" s="492">
        <v>22</v>
      </c>
      <c r="I48" s="493">
        <f t="shared" si="9"/>
        <v>66</v>
      </c>
      <c r="J48" s="553"/>
      <c r="K48" s="493">
        <f>G48*J48</f>
        <v>0</v>
      </c>
      <c r="L48" s="494">
        <f t="shared" ref="L48:L55" si="11">SUM(I48+K48)</f>
        <v>66</v>
      </c>
      <c r="M48" s="70"/>
    </row>
    <row r="49" spans="1:13" ht="18" customHeight="1">
      <c r="A49" s="238"/>
      <c r="B49" s="179" t="s">
        <v>301</v>
      </c>
      <c r="C49" s="98" t="s">
        <v>291</v>
      </c>
      <c r="D49" s="490"/>
      <c r="E49" s="491"/>
      <c r="F49" s="491"/>
      <c r="G49" s="492">
        <v>8</v>
      </c>
      <c r="H49" s="492">
        <v>22</v>
      </c>
      <c r="I49" s="493">
        <f t="shared" si="9"/>
        <v>176</v>
      </c>
      <c r="J49" s="553"/>
      <c r="K49" s="493">
        <f t="shared" si="10"/>
        <v>0</v>
      </c>
      <c r="L49" s="494">
        <f t="shared" si="11"/>
        <v>176</v>
      </c>
      <c r="M49" s="70"/>
    </row>
    <row r="50" spans="1:13" ht="18" customHeight="1">
      <c r="A50" s="238"/>
      <c r="B50" s="179" t="s">
        <v>358</v>
      </c>
      <c r="C50" s="98" t="s">
        <v>291</v>
      </c>
      <c r="D50" s="490">
        <v>0</v>
      </c>
      <c r="E50" s="491">
        <v>12</v>
      </c>
      <c r="F50" s="492"/>
      <c r="G50" s="560">
        <v>2</v>
      </c>
      <c r="H50" s="492">
        <v>22</v>
      </c>
      <c r="I50" s="493">
        <f t="shared" si="9"/>
        <v>44</v>
      </c>
      <c r="J50" s="553"/>
      <c r="K50" s="493">
        <f t="shared" si="10"/>
        <v>0</v>
      </c>
      <c r="L50" s="494">
        <f t="shared" si="11"/>
        <v>44</v>
      </c>
      <c r="M50" s="70"/>
    </row>
    <row r="51" spans="1:13" ht="18" customHeight="1">
      <c r="A51" s="238"/>
      <c r="B51" s="179" t="s">
        <v>302</v>
      </c>
      <c r="C51" s="98" t="s">
        <v>291</v>
      </c>
      <c r="D51" s="490">
        <v>0</v>
      </c>
      <c r="E51" s="491">
        <v>12</v>
      </c>
      <c r="F51" s="492"/>
      <c r="G51" s="492">
        <v>4</v>
      </c>
      <c r="H51" s="492">
        <v>22</v>
      </c>
      <c r="I51" s="493">
        <f t="shared" si="9"/>
        <v>88</v>
      </c>
      <c r="J51" s="553"/>
      <c r="K51" s="493">
        <f t="shared" si="10"/>
        <v>0</v>
      </c>
      <c r="L51" s="494">
        <f t="shared" si="11"/>
        <v>88</v>
      </c>
      <c r="M51" s="70"/>
    </row>
    <row r="52" spans="1:13" ht="18" customHeight="1">
      <c r="A52" s="238"/>
      <c r="B52" s="179" t="s">
        <v>303</v>
      </c>
      <c r="C52" s="98" t="s">
        <v>291</v>
      </c>
      <c r="D52" s="490">
        <v>0</v>
      </c>
      <c r="E52" s="491">
        <v>12</v>
      </c>
      <c r="F52" s="492"/>
      <c r="G52" s="492">
        <v>14</v>
      </c>
      <c r="H52" s="492">
        <v>130</v>
      </c>
      <c r="I52" s="493">
        <f t="shared" si="9"/>
        <v>1820</v>
      </c>
      <c r="J52" s="553">
        <v>90</v>
      </c>
      <c r="K52" s="493">
        <f t="shared" si="10"/>
        <v>1260</v>
      </c>
      <c r="L52" s="494">
        <f t="shared" si="11"/>
        <v>3080</v>
      </c>
      <c r="M52" s="70"/>
    </row>
    <row r="53" spans="1:13" ht="18" customHeight="1">
      <c r="A53" s="238"/>
      <c r="B53" s="179" t="s">
        <v>304</v>
      </c>
      <c r="C53" s="98" t="s">
        <v>291</v>
      </c>
      <c r="D53" s="490">
        <v>0</v>
      </c>
      <c r="E53" s="491">
        <v>12</v>
      </c>
      <c r="F53" s="492"/>
      <c r="G53" s="492">
        <v>1</v>
      </c>
      <c r="H53" s="492">
        <v>130</v>
      </c>
      <c r="I53" s="493">
        <f t="shared" si="9"/>
        <v>130</v>
      </c>
      <c r="J53" s="553">
        <v>115</v>
      </c>
      <c r="K53" s="493">
        <f t="shared" si="10"/>
        <v>115</v>
      </c>
      <c r="L53" s="494">
        <f t="shared" si="11"/>
        <v>245</v>
      </c>
      <c r="M53" s="70"/>
    </row>
    <row r="54" spans="1:13" ht="18" customHeight="1">
      <c r="A54" s="238"/>
      <c r="B54" s="179" t="s">
        <v>305</v>
      </c>
      <c r="C54" s="98" t="s">
        <v>291</v>
      </c>
      <c r="D54" s="490">
        <v>0</v>
      </c>
      <c r="E54" s="491">
        <v>12</v>
      </c>
      <c r="F54" s="492"/>
      <c r="G54" s="492">
        <v>14</v>
      </c>
      <c r="H54" s="492">
        <v>22</v>
      </c>
      <c r="I54" s="493">
        <f t="shared" si="9"/>
        <v>308</v>
      </c>
      <c r="J54" s="553"/>
      <c r="K54" s="493">
        <f t="shared" si="10"/>
        <v>0</v>
      </c>
      <c r="L54" s="494">
        <f t="shared" si="11"/>
        <v>308</v>
      </c>
      <c r="M54" s="70"/>
    </row>
    <row r="55" spans="1:13" ht="18" customHeight="1" thickBot="1">
      <c r="A55" s="238"/>
      <c r="B55" s="179" t="s">
        <v>306</v>
      </c>
      <c r="C55" s="98" t="s">
        <v>291</v>
      </c>
      <c r="D55" s="490">
        <v>0</v>
      </c>
      <c r="E55" s="491">
        <v>12</v>
      </c>
      <c r="F55" s="492"/>
      <c r="G55" s="492">
        <v>1</v>
      </c>
      <c r="H55" s="492">
        <v>22</v>
      </c>
      <c r="I55" s="493">
        <f t="shared" si="9"/>
        <v>22</v>
      </c>
      <c r="J55" s="553"/>
      <c r="K55" s="493">
        <f t="shared" si="10"/>
        <v>0</v>
      </c>
      <c r="L55" s="494">
        <f t="shared" si="11"/>
        <v>22</v>
      </c>
      <c r="M55" s="70"/>
    </row>
    <row r="56" spans="1:13" s="7" customFormat="1" ht="15" thickTop="1" thickBot="1">
      <c r="A56" s="239"/>
      <c r="B56" s="31" t="s">
        <v>307</v>
      </c>
      <c r="C56" s="34"/>
      <c r="D56" s="554"/>
      <c r="E56" s="555"/>
      <c r="F56" s="555"/>
      <c r="G56" s="555"/>
      <c r="H56" s="556"/>
      <c r="I56" s="557">
        <f>SUM(I46:I55)</f>
        <v>3516</v>
      </c>
      <c r="J56" s="556"/>
      <c r="K56" s="557">
        <f>SUM(K46:K55)</f>
        <v>3545</v>
      </c>
      <c r="L56" s="557">
        <f>SUM(L46:L55)</f>
        <v>7061</v>
      </c>
      <c r="M56" s="24" t="s">
        <v>34</v>
      </c>
    </row>
    <row r="57" spans="1:13" ht="20.100000000000001" customHeight="1" thickTop="1">
      <c r="A57" s="82" t="s">
        <v>308</v>
      </c>
      <c r="B57" s="83" t="s">
        <v>309</v>
      </c>
      <c r="C57" s="59"/>
      <c r="D57" s="506"/>
      <c r="E57" s="558"/>
      <c r="F57" s="559"/>
      <c r="G57" s="508"/>
      <c r="H57" s="509"/>
      <c r="I57" s="509"/>
      <c r="J57" s="509"/>
      <c r="K57" s="509"/>
      <c r="L57" s="524"/>
      <c r="M57" s="63"/>
    </row>
    <row r="58" spans="1:13" ht="20.100000000000001" customHeight="1">
      <c r="A58" s="238"/>
      <c r="B58" s="179" t="s">
        <v>310</v>
      </c>
      <c r="C58" s="98" t="s">
        <v>289</v>
      </c>
      <c r="D58" s="490">
        <v>0</v>
      </c>
      <c r="E58" s="491"/>
      <c r="F58" s="491">
        <v>3</v>
      </c>
      <c r="G58" s="492">
        <v>3</v>
      </c>
      <c r="H58" s="492">
        <v>300</v>
      </c>
      <c r="I58" s="493">
        <f t="shared" ref="I58:I64" si="12">G58*H58</f>
        <v>900</v>
      </c>
      <c r="J58" s="493">
        <v>90</v>
      </c>
      <c r="K58" s="493">
        <f t="shared" ref="K58:K64" si="13">G58*J58</f>
        <v>270</v>
      </c>
      <c r="L58" s="494">
        <f t="shared" ref="L58:L64" si="14">SUM(I58+K58)</f>
        <v>1170</v>
      </c>
      <c r="M58" s="70"/>
    </row>
    <row r="59" spans="1:13" ht="18" customHeight="1">
      <c r="A59" s="238"/>
      <c r="B59" s="179" t="s">
        <v>311</v>
      </c>
      <c r="C59" s="98" t="s">
        <v>291</v>
      </c>
      <c r="D59" s="490"/>
      <c r="E59" s="491"/>
      <c r="F59" s="491"/>
      <c r="G59" s="560">
        <v>3</v>
      </c>
      <c r="H59" s="492">
        <v>330</v>
      </c>
      <c r="I59" s="493">
        <f t="shared" si="12"/>
        <v>990</v>
      </c>
      <c r="J59" s="493">
        <v>90</v>
      </c>
      <c r="K59" s="493">
        <f t="shared" si="13"/>
        <v>270</v>
      </c>
      <c r="L59" s="494">
        <f t="shared" si="14"/>
        <v>1260</v>
      </c>
      <c r="M59" s="70"/>
    </row>
    <row r="60" spans="1:13" ht="18" customHeight="1">
      <c r="A60" s="238"/>
      <c r="B60" s="179" t="s">
        <v>312</v>
      </c>
      <c r="C60" s="98" t="s">
        <v>291</v>
      </c>
      <c r="D60" s="490"/>
      <c r="E60" s="491"/>
      <c r="F60" s="491"/>
      <c r="G60" s="492">
        <v>1</v>
      </c>
      <c r="H60" s="492">
        <v>950</v>
      </c>
      <c r="I60" s="493">
        <f t="shared" si="12"/>
        <v>950</v>
      </c>
      <c r="J60" s="493">
        <v>115</v>
      </c>
      <c r="K60" s="493">
        <f t="shared" si="13"/>
        <v>115</v>
      </c>
      <c r="L60" s="494">
        <f t="shared" si="14"/>
        <v>1065</v>
      </c>
      <c r="M60" s="70"/>
    </row>
    <row r="61" spans="1:13" ht="18" customHeight="1">
      <c r="A61" s="238"/>
      <c r="B61" s="179" t="s">
        <v>313</v>
      </c>
      <c r="C61" s="98" t="s">
        <v>291</v>
      </c>
      <c r="D61" s="490"/>
      <c r="E61" s="491"/>
      <c r="F61" s="491"/>
      <c r="G61" s="492">
        <v>3</v>
      </c>
      <c r="H61" s="492">
        <v>140</v>
      </c>
      <c r="I61" s="493">
        <f t="shared" si="12"/>
        <v>420</v>
      </c>
      <c r="J61" s="493">
        <v>90</v>
      </c>
      <c r="K61" s="493">
        <f t="shared" si="13"/>
        <v>270</v>
      </c>
      <c r="L61" s="494">
        <f t="shared" si="14"/>
        <v>690</v>
      </c>
      <c r="M61" s="70"/>
    </row>
    <row r="62" spans="1:13" ht="18" customHeight="1">
      <c r="A62" s="238"/>
      <c r="B62" s="179" t="s">
        <v>314</v>
      </c>
      <c r="C62" s="98" t="s">
        <v>291</v>
      </c>
      <c r="D62" s="490">
        <v>0</v>
      </c>
      <c r="E62" s="491">
        <v>12</v>
      </c>
      <c r="F62" s="492"/>
      <c r="G62" s="560">
        <v>1</v>
      </c>
      <c r="H62" s="492">
        <v>200</v>
      </c>
      <c r="I62" s="493">
        <f t="shared" si="12"/>
        <v>200</v>
      </c>
      <c r="J62" s="493">
        <v>90</v>
      </c>
      <c r="K62" s="493">
        <f t="shared" si="13"/>
        <v>90</v>
      </c>
      <c r="L62" s="494">
        <f t="shared" si="14"/>
        <v>290</v>
      </c>
      <c r="M62" s="70"/>
    </row>
    <row r="63" spans="1:13" ht="18" customHeight="1">
      <c r="A63" s="238"/>
      <c r="B63" s="179" t="s">
        <v>315</v>
      </c>
      <c r="C63" s="98" t="s">
        <v>291</v>
      </c>
      <c r="D63" s="490">
        <v>0</v>
      </c>
      <c r="E63" s="491">
        <v>12</v>
      </c>
      <c r="F63" s="492"/>
      <c r="G63" s="492">
        <v>1</v>
      </c>
      <c r="H63" s="492">
        <v>300</v>
      </c>
      <c r="I63" s="493">
        <f t="shared" si="12"/>
        <v>300</v>
      </c>
      <c r="J63" s="493">
        <v>80</v>
      </c>
      <c r="K63" s="493">
        <f t="shared" si="13"/>
        <v>80</v>
      </c>
      <c r="L63" s="494">
        <f t="shared" si="14"/>
        <v>380</v>
      </c>
      <c r="M63" s="70"/>
    </row>
    <row r="64" spans="1:13" ht="18" customHeight="1" thickBot="1">
      <c r="A64" s="238"/>
      <c r="B64" s="179" t="s">
        <v>316</v>
      </c>
      <c r="C64" s="98" t="s">
        <v>291</v>
      </c>
      <c r="D64" s="490">
        <v>0</v>
      </c>
      <c r="E64" s="491">
        <v>12</v>
      </c>
      <c r="F64" s="492"/>
      <c r="G64" s="492">
        <v>1</v>
      </c>
      <c r="H64" s="492">
        <v>200</v>
      </c>
      <c r="I64" s="493">
        <f t="shared" si="12"/>
        <v>200</v>
      </c>
      <c r="J64" s="493">
        <v>80</v>
      </c>
      <c r="K64" s="493">
        <f t="shared" si="13"/>
        <v>80</v>
      </c>
      <c r="L64" s="494">
        <f t="shared" si="14"/>
        <v>280</v>
      </c>
      <c r="M64" s="70"/>
    </row>
    <row r="65" spans="1:13" s="7" customFormat="1" ht="15" thickTop="1" thickBot="1">
      <c r="A65" s="239"/>
      <c r="B65" s="31" t="s">
        <v>317</v>
      </c>
      <c r="C65" s="34"/>
      <c r="D65" s="554"/>
      <c r="E65" s="555"/>
      <c r="F65" s="555"/>
      <c r="G65" s="555"/>
      <c r="H65" s="556"/>
      <c r="I65" s="557">
        <f>SUM(I58:I64)</f>
        <v>3960</v>
      </c>
      <c r="J65" s="556"/>
      <c r="K65" s="557">
        <f>SUM(K58:K64)</f>
        <v>1175</v>
      </c>
      <c r="L65" s="557">
        <f>SUM(L58:L64)</f>
        <v>5135</v>
      </c>
      <c r="M65" s="24" t="s">
        <v>34</v>
      </c>
    </row>
    <row r="66" spans="1:13" ht="20.100000000000001" customHeight="1" thickTop="1">
      <c r="A66" s="82" t="s">
        <v>318</v>
      </c>
      <c r="B66" s="83" t="s">
        <v>26</v>
      </c>
      <c r="C66" s="59"/>
      <c r="D66" s="506"/>
      <c r="E66" s="558"/>
      <c r="F66" s="559"/>
      <c r="G66" s="508"/>
      <c r="H66" s="509"/>
      <c r="I66" s="509"/>
      <c r="J66" s="509"/>
      <c r="K66" s="509"/>
      <c r="L66" s="524"/>
      <c r="M66" s="63"/>
    </row>
    <row r="67" spans="1:13" ht="20.100000000000001" customHeight="1" thickBot="1">
      <c r="A67" s="238"/>
      <c r="B67" s="179" t="s">
        <v>445</v>
      </c>
      <c r="C67" s="98" t="s">
        <v>289</v>
      </c>
      <c r="D67" s="490">
        <v>0</v>
      </c>
      <c r="E67" s="491"/>
      <c r="F67" s="491">
        <v>3</v>
      </c>
      <c r="G67" s="492">
        <v>1</v>
      </c>
      <c r="H67" s="549"/>
      <c r="I67" s="553">
        <f>G67*H67</f>
        <v>0</v>
      </c>
      <c r="J67" s="553"/>
      <c r="K67" s="493">
        <f>G67*J67</f>
        <v>0</v>
      </c>
      <c r="L67" s="494">
        <f>SUM(I67+K67)</f>
        <v>0</v>
      </c>
      <c r="M67" s="294" t="s">
        <v>319</v>
      </c>
    </row>
    <row r="68" spans="1:13" s="7" customFormat="1" ht="15" thickTop="1" thickBot="1">
      <c r="A68" s="239"/>
      <c r="B68" s="31" t="s">
        <v>320</v>
      </c>
      <c r="C68" s="34"/>
      <c r="D68" s="554"/>
      <c r="E68" s="555"/>
      <c r="F68" s="555"/>
      <c r="G68" s="555"/>
      <c r="H68" s="556"/>
      <c r="I68" s="557">
        <f>SUM(I67:I67)</f>
        <v>0</v>
      </c>
      <c r="J68" s="556"/>
      <c r="K68" s="557">
        <f>SUM(K67:K67)</f>
        <v>0</v>
      </c>
      <c r="L68" s="557">
        <f>SUM(L67:L67)</f>
        <v>0</v>
      </c>
      <c r="M68" s="24" t="s">
        <v>34</v>
      </c>
    </row>
    <row r="69" spans="1:13" s="298" customFormat="1" ht="15" thickTop="1" thickBot="1">
      <c r="A69" s="295"/>
      <c r="B69" s="296" t="s">
        <v>155</v>
      </c>
      <c r="C69" s="296"/>
      <c r="D69" s="561"/>
      <c r="E69" s="562"/>
      <c r="F69" s="562"/>
      <c r="G69" s="562"/>
      <c r="H69" s="563"/>
      <c r="I69" s="564">
        <f>I17+I35+I44+I56+I65+I68</f>
        <v>68717.13</v>
      </c>
      <c r="J69" s="563"/>
      <c r="K69" s="564">
        <f>K17+K35+K44+K56+K65+K68</f>
        <v>37704</v>
      </c>
      <c r="L69" s="564">
        <f>L17+L35+L44+L56+L65+L68</f>
        <v>112339.643</v>
      </c>
      <c r="M69" s="297"/>
    </row>
    <row r="71" spans="1:13">
      <c r="M71" s="5" t="s">
        <v>34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3"/>
  <sheetViews>
    <sheetView view="pageBreakPreview" zoomScale="80" zoomScaleNormal="75" workbookViewId="0">
      <pane xSplit="7" ySplit="8" topLeftCell="H84" activePane="bottomRight" state="frozen"/>
      <selection activeCell="P4" sqref="P4"/>
      <selection pane="topRight" activeCell="P4" sqref="P4"/>
      <selection pane="bottomLeft" activeCell="P4" sqref="P4"/>
      <selection pane="bottomRight" activeCell="B48" sqref="B48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74" t="s">
        <v>37</v>
      </c>
      <c r="B1" s="201"/>
      <c r="C1" s="201"/>
      <c r="D1" s="202"/>
      <c r="E1" s="203"/>
      <c r="F1" s="203"/>
      <c r="G1" s="203"/>
      <c r="H1" s="204"/>
      <c r="I1" s="203"/>
      <c r="J1" s="203"/>
      <c r="K1" s="203"/>
      <c r="L1" s="204"/>
      <c r="M1" s="205"/>
    </row>
    <row r="2" spans="1:13" s="1" customFormat="1" ht="20.100000000000001" customHeight="1">
      <c r="A2" s="175" t="s">
        <v>46</v>
      </c>
      <c r="B2" s="206"/>
      <c r="C2" s="206"/>
      <c r="D2" s="207"/>
      <c r="E2" s="208"/>
      <c r="F2" s="208"/>
      <c r="G2" s="208"/>
      <c r="H2" s="209"/>
      <c r="I2" s="208"/>
      <c r="J2" s="208"/>
      <c r="K2" s="208"/>
      <c r="L2" s="209"/>
      <c r="M2" s="210"/>
    </row>
    <row r="3" spans="1:13" s="1" customFormat="1" ht="20.100000000000001" customHeight="1">
      <c r="A3" s="120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1"/>
      <c r="C3" s="122"/>
      <c r="D3" s="151"/>
      <c r="E3" s="123"/>
      <c r="F3" s="123"/>
      <c r="G3" s="123"/>
      <c r="H3" s="124"/>
      <c r="I3" s="124"/>
      <c r="J3" s="152"/>
      <c r="K3" s="152"/>
      <c r="L3" s="126"/>
      <c r="M3" s="127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20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22"/>
      <c r="C4" s="122"/>
      <c r="D4" s="151"/>
      <c r="E4" s="123"/>
      <c r="F4" s="123"/>
      <c r="G4" s="123"/>
      <c r="H4" s="124"/>
      <c r="I4" s="124"/>
      <c r="J4" s="435" t="s">
        <v>243</v>
      </c>
      <c r="K4" s="435"/>
      <c r="L4" s="435"/>
      <c r="M4" s="436"/>
    </row>
    <row r="5" spans="1:13" s="1" customFormat="1" ht="20.100000000000001" customHeight="1" thickBot="1">
      <c r="A5" s="120" t="s">
        <v>419</v>
      </c>
      <c r="B5" s="122"/>
      <c r="C5" s="122"/>
      <c r="D5" s="151"/>
      <c r="E5" s="123"/>
      <c r="F5" s="123"/>
      <c r="G5" s="123"/>
      <c r="H5" s="124"/>
      <c r="I5" s="124"/>
      <c r="J5" s="125"/>
      <c r="K5" s="125"/>
      <c r="L5" s="123"/>
      <c r="M5" s="127"/>
    </row>
    <row r="6" spans="1:13" s="13" customFormat="1" ht="20.100000000000001" customHeight="1">
      <c r="A6" s="457" t="s">
        <v>3</v>
      </c>
      <c r="B6" s="459" t="s">
        <v>4</v>
      </c>
      <c r="C6" s="459" t="s">
        <v>38</v>
      </c>
      <c r="D6" s="18" t="s">
        <v>47</v>
      </c>
      <c r="E6" s="371" t="s">
        <v>39</v>
      </c>
      <c r="F6" s="371" t="s">
        <v>39</v>
      </c>
      <c r="G6" s="461" t="s">
        <v>39</v>
      </c>
      <c r="H6" s="453" t="s">
        <v>40</v>
      </c>
      <c r="I6" s="454"/>
      <c r="J6" s="455" t="s">
        <v>41</v>
      </c>
      <c r="K6" s="456"/>
      <c r="L6" s="19" t="s">
        <v>6</v>
      </c>
      <c r="M6" s="451" t="s">
        <v>42</v>
      </c>
    </row>
    <row r="7" spans="1:13" s="13" customFormat="1" ht="20.100000000000001" customHeight="1" thickBot="1">
      <c r="A7" s="458"/>
      <c r="B7" s="460"/>
      <c r="C7" s="460"/>
      <c r="D7" s="20" t="s">
        <v>48</v>
      </c>
      <c r="E7" s="372"/>
      <c r="F7" s="372"/>
      <c r="G7" s="462"/>
      <c r="H7" s="21" t="s">
        <v>43</v>
      </c>
      <c r="I7" s="21" t="s">
        <v>44</v>
      </c>
      <c r="J7" s="21" t="s">
        <v>43</v>
      </c>
      <c r="K7" s="21" t="s">
        <v>44</v>
      </c>
      <c r="L7" s="22" t="s">
        <v>45</v>
      </c>
      <c r="M7" s="452"/>
    </row>
    <row r="8" spans="1:13" s="1" customFormat="1" ht="20.100000000000001" customHeight="1">
      <c r="A8" s="17" t="s">
        <v>156</v>
      </c>
      <c r="B8" s="14" t="s">
        <v>321</v>
      </c>
      <c r="C8" s="9"/>
      <c r="D8" s="541"/>
      <c r="E8" s="565"/>
      <c r="F8" s="566"/>
      <c r="G8" s="567"/>
      <c r="H8" s="568"/>
      <c r="I8" s="568"/>
      <c r="J8" s="568"/>
      <c r="K8" s="568"/>
      <c r="L8" s="569"/>
      <c r="M8" s="15"/>
    </row>
    <row r="9" spans="1:13">
      <c r="A9" s="299" t="str">
        <f>A18</f>
        <v>D1</v>
      </c>
      <c r="B9" s="300" t="str">
        <f>B18</f>
        <v>ระบบท่อน้ำประปา</v>
      </c>
      <c r="C9" s="79"/>
      <c r="D9" s="547"/>
      <c r="E9" s="570"/>
      <c r="F9" s="571"/>
      <c r="G9" s="571"/>
      <c r="H9" s="572"/>
      <c r="I9" s="573">
        <f>I41</f>
        <v>25216.682124999999</v>
      </c>
      <c r="J9" s="572"/>
      <c r="K9" s="573">
        <f>K41</f>
        <v>13410.517062499997</v>
      </c>
      <c r="L9" s="574">
        <f>L41</f>
        <v>38627.199187500002</v>
      </c>
      <c r="M9" s="237"/>
    </row>
    <row r="10" spans="1:13" ht="18" customHeight="1">
      <c r="A10" s="238" t="str">
        <f>A42</f>
        <v>D2</v>
      </c>
      <c r="B10" s="211" t="str">
        <f>B42</f>
        <v>ระบบท่อระบายทิ้ง น้ำเสียและน้ำโสโครก</v>
      </c>
      <c r="C10" s="98"/>
      <c r="D10" s="490"/>
      <c r="E10" s="575"/>
      <c r="F10" s="575"/>
      <c r="G10" s="576"/>
      <c r="H10" s="571"/>
      <c r="I10" s="577">
        <f>I57</f>
        <v>16256.719000000001</v>
      </c>
      <c r="J10" s="577"/>
      <c r="K10" s="577">
        <f>K57</f>
        <v>11807.036249999997</v>
      </c>
      <c r="L10" s="578">
        <f>L57</f>
        <v>28063.755249999998</v>
      </c>
      <c r="M10" s="70"/>
    </row>
    <row r="11" spans="1:13" ht="18" customHeight="1">
      <c r="A11" s="238" t="str">
        <f>A58</f>
        <v>D3</v>
      </c>
      <c r="B11" s="211" t="str">
        <f>B58</f>
        <v>งานระบบท่ออากาศ</v>
      </c>
      <c r="C11" s="98"/>
      <c r="D11" s="490"/>
      <c r="E11" s="575"/>
      <c r="F11" s="575"/>
      <c r="G11" s="576"/>
      <c r="H11" s="571"/>
      <c r="I11" s="577">
        <f>I69</f>
        <v>1269.675</v>
      </c>
      <c r="J11" s="577"/>
      <c r="K11" s="577">
        <f>K69</f>
        <v>2194.6275000000001</v>
      </c>
      <c r="L11" s="578">
        <f>L69</f>
        <v>3464.3024999999998</v>
      </c>
      <c r="M11" s="70"/>
    </row>
    <row r="12" spans="1:13" ht="18" customHeight="1">
      <c r="A12" s="238" t="str">
        <f>A70</f>
        <v>D4</v>
      </c>
      <c r="B12" s="211" t="str">
        <f>B70</f>
        <v>งานระบบท่อระบายน้ำฝนของอาคาร</v>
      </c>
      <c r="C12" s="98"/>
      <c r="D12" s="490"/>
      <c r="E12" s="575"/>
      <c r="F12" s="576"/>
      <c r="G12" s="576"/>
      <c r="H12" s="571"/>
      <c r="I12" s="577">
        <f>I76</f>
        <v>4918.7624999999998</v>
      </c>
      <c r="J12" s="577"/>
      <c r="K12" s="577">
        <f>K76</f>
        <v>2251.5</v>
      </c>
      <c r="L12" s="578">
        <f>L76</f>
        <v>7170.2624999999998</v>
      </c>
      <c r="M12" s="70"/>
    </row>
    <row r="13" spans="1:13" ht="18" customHeight="1">
      <c r="A13" s="238" t="str">
        <f>A77</f>
        <v>D5</v>
      </c>
      <c r="B13" s="211" t="str">
        <f>B77</f>
        <v>งานระบบระบายน้ำรอบพื้นที่</v>
      </c>
      <c r="C13" s="98"/>
      <c r="D13" s="490"/>
      <c r="E13" s="575"/>
      <c r="F13" s="576"/>
      <c r="G13" s="576"/>
      <c r="H13" s="571"/>
      <c r="I13" s="577">
        <f>I92</f>
        <v>24593.333333333336</v>
      </c>
      <c r="J13" s="577"/>
      <c r="K13" s="577">
        <f>K92</f>
        <v>5451</v>
      </c>
      <c r="L13" s="578">
        <f>L92</f>
        <v>30044.333333333336</v>
      </c>
      <c r="M13" s="70"/>
    </row>
    <row r="14" spans="1:13" ht="18" customHeight="1">
      <c r="A14" s="238"/>
      <c r="B14" s="211"/>
      <c r="C14" s="98"/>
      <c r="D14" s="490"/>
      <c r="E14" s="575"/>
      <c r="F14" s="576"/>
      <c r="G14" s="576"/>
      <c r="H14" s="571"/>
      <c r="I14" s="577"/>
      <c r="J14" s="577"/>
      <c r="K14" s="577"/>
      <c r="L14" s="578"/>
      <c r="M14" s="70"/>
    </row>
    <row r="15" spans="1:13" ht="18" customHeight="1">
      <c r="A15" s="238"/>
      <c r="B15" s="211"/>
      <c r="C15" s="98"/>
      <c r="D15" s="490"/>
      <c r="E15" s="575"/>
      <c r="F15" s="576"/>
      <c r="G15" s="576"/>
      <c r="H15" s="571"/>
      <c r="I15" s="579"/>
      <c r="J15" s="579"/>
      <c r="K15" s="577"/>
      <c r="L15" s="578"/>
      <c r="M15" s="70"/>
    </row>
    <row r="16" spans="1:13" ht="18" customHeight="1" thickBot="1">
      <c r="A16" s="238"/>
      <c r="B16" s="211"/>
      <c r="C16" s="98"/>
      <c r="D16" s="490"/>
      <c r="E16" s="575"/>
      <c r="F16" s="576"/>
      <c r="G16" s="576"/>
      <c r="H16" s="571"/>
      <c r="I16" s="579"/>
      <c r="J16" s="579"/>
      <c r="K16" s="577"/>
      <c r="L16" s="578"/>
      <c r="M16" s="70"/>
    </row>
    <row r="17" spans="1:13" s="7" customFormat="1" ht="15" thickTop="1" thickBot="1">
      <c r="A17" s="239"/>
      <c r="B17" s="31" t="s">
        <v>157</v>
      </c>
      <c r="C17" s="34"/>
      <c r="D17" s="554"/>
      <c r="E17" s="580"/>
      <c r="F17" s="580"/>
      <c r="G17" s="580"/>
      <c r="H17" s="581"/>
      <c r="I17" s="582">
        <f>SUM(I9:I16)</f>
        <v>72255.171958333347</v>
      </c>
      <c r="J17" s="581"/>
      <c r="K17" s="582">
        <f>SUM(K9:K16)</f>
        <v>35114.680812499995</v>
      </c>
      <c r="L17" s="582">
        <f>SUM(L9:L16)</f>
        <v>107369.85277083333</v>
      </c>
      <c r="M17" s="24"/>
    </row>
    <row r="18" spans="1:13" ht="20.100000000000001" customHeight="1" thickTop="1">
      <c r="A18" s="82" t="s">
        <v>322</v>
      </c>
      <c r="B18" s="83" t="s">
        <v>323</v>
      </c>
      <c r="C18" s="59"/>
      <c r="D18" s="506"/>
      <c r="E18" s="583"/>
      <c r="F18" s="584"/>
      <c r="G18" s="585"/>
      <c r="H18" s="586"/>
      <c r="I18" s="586"/>
      <c r="J18" s="586"/>
      <c r="K18" s="586"/>
      <c r="L18" s="587"/>
      <c r="M18" s="63"/>
    </row>
    <row r="19" spans="1:13" ht="20.100000000000001" customHeight="1">
      <c r="A19" s="238"/>
      <c r="B19" s="179" t="s">
        <v>324</v>
      </c>
      <c r="C19" s="98"/>
      <c r="D19" s="490"/>
      <c r="E19" s="575"/>
      <c r="F19" s="575"/>
      <c r="G19" s="576"/>
      <c r="H19" s="576"/>
      <c r="I19" s="577"/>
      <c r="J19" s="576"/>
      <c r="K19" s="577"/>
      <c r="L19" s="578"/>
      <c r="M19" s="70"/>
    </row>
    <row r="20" spans="1:13" ht="18" customHeight="1">
      <c r="A20" s="238"/>
      <c r="B20" s="211" t="s">
        <v>325</v>
      </c>
      <c r="C20" s="79">
        <f>7+2+3.5</f>
        <v>12.5</v>
      </c>
      <c r="D20" s="547"/>
      <c r="E20" s="570"/>
      <c r="F20" s="570"/>
      <c r="G20" s="571" t="s">
        <v>326</v>
      </c>
      <c r="H20" s="571">
        <f>39.9/4</f>
        <v>9.9749999999999996</v>
      </c>
      <c r="I20" s="579">
        <f>C20*H20</f>
        <v>124.6875</v>
      </c>
      <c r="J20" s="571">
        <v>30</v>
      </c>
      <c r="K20" s="579">
        <f>C20*J20</f>
        <v>375</v>
      </c>
      <c r="L20" s="574">
        <f>I20+K20</f>
        <v>499.6875</v>
      </c>
      <c r="M20" s="70"/>
    </row>
    <row r="21" spans="1:13" ht="18" customHeight="1">
      <c r="A21" s="238"/>
      <c r="B21" s="211" t="s">
        <v>327</v>
      </c>
      <c r="C21" s="79">
        <f>20.5+2.6+14.5+5.1+12.5+5</f>
        <v>60.2</v>
      </c>
      <c r="D21" s="547"/>
      <c r="E21" s="570"/>
      <c r="F21" s="570"/>
      <c r="G21" s="571" t="s">
        <v>326</v>
      </c>
      <c r="H21" s="571">
        <f>50.35/4</f>
        <v>12.5875</v>
      </c>
      <c r="I21" s="579">
        <f>C21*H21</f>
        <v>757.76750000000004</v>
      </c>
      <c r="J21" s="571">
        <v>30</v>
      </c>
      <c r="K21" s="579">
        <f>C21*J21</f>
        <v>1806</v>
      </c>
      <c r="L21" s="574">
        <f>I21+K21</f>
        <v>2563.7674999999999</v>
      </c>
      <c r="M21" s="70"/>
    </row>
    <row r="22" spans="1:13" ht="18" customHeight="1">
      <c r="A22" s="238"/>
      <c r="B22" s="211" t="s">
        <v>446</v>
      </c>
      <c r="C22" s="79">
        <f>5.77+3.5</f>
        <v>9.27</v>
      </c>
      <c r="D22" s="547"/>
      <c r="E22" s="570"/>
      <c r="F22" s="570"/>
      <c r="G22" s="571" t="s">
        <v>326</v>
      </c>
      <c r="H22" s="571">
        <f>66.5/4</f>
        <v>16.625</v>
      </c>
      <c r="I22" s="579">
        <f>C22*H22</f>
        <v>154.11374999999998</v>
      </c>
      <c r="J22" s="571">
        <v>30</v>
      </c>
      <c r="K22" s="579">
        <f>C22*J22</f>
        <v>278.09999999999997</v>
      </c>
      <c r="L22" s="574">
        <f>I22+K22</f>
        <v>432.21374999999995</v>
      </c>
      <c r="M22" s="70"/>
    </row>
    <row r="23" spans="1:13" ht="18" customHeight="1">
      <c r="A23" s="238"/>
      <c r="B23" s="179" t="s">
        <v>328</v>
      </c>
      <c r="C23" s="79">
        <v>1</v>
      </c>
      <c r="D23" s="547"/>
      <c r="E23" s="570"/>
      <c r="F23" s="570"/>
      <c r="G23" s="571" t="s">
        <v>35</v>
      </c>
      <c r="H23" s="571">
        <f>SUM(I20:I22)*0.1</f>
        <v>103.656875</v>
      </c>
      <c r="I23" s="579">
        <f>C23*H23</f>
        <v>103.656875</v>
      </c>
      <c r="J23" s="571">
        <f>H23*0.3</f>
        <v>31.0970625</v>
      </c>
      <c r="K23" s="579">
        <f>C23*J23</f>
        <v>31.0970625</v>
      </c>
      <c r="L23" s="574">
        <f>I23+K23</f>
        <v>134.75393750000001</v>
      </c>
      <c r="M23" s="70"/>
    </row>
    <row r="24" spans="1:13" ht="18" customHeight="1">
      <c r="A24" s="238"/>
      <c r="B24" s="179" t="s">
        <v>329</v>
      </c>
      <c r="C24" s="79"/>
      <c r="D24" s="547"/>
      <c r="E24" s="570"/>
      <c r="F24" s="571"/>
      <c r="G24" s="571"/>
      <c r="H24" s="571"/>
      <c r="I24" s="579"/>
      <c r="J24" s="571"/>
      <c r="K24" s="579"/>
      <c r="L24" s="574"/>
      <c r="M24" s="70"/>
    </row>
    <row r="25" spans="1:13" ht="18" customHeight="1">
      <c r="A25" s="238"/>
      <c r="B25" s="179" t="s">
        <v>330</v>
      </c>
      <c r="C25" s="79">
        <v>4</v>
      </c>
      <c r="D25" s="547"/>
      <c r="E25" s="570"/>
      <c r="F25" s="571"/>
      <c r="G25" s="571" t="s">
        <v>122</v>
      </c>
      <c r="H25" s="571">
        <v>105</v>
      </c>
      <c r="I25" s="579">
        <f t="shared" ref="I25:I38" si="0">C25*H25</f>
        <v>420</v>
      </c>
      <c r="J25" s="571">
        <v>100</v>
      </c>
      <c r="K25" s="579">
        <f t="shared" ref="K25:K38" si="1">C25*J25</f>
        <v>400</v>
      </c>
      <c r="L25" s="574">
        <f t="shared" ref="L25:L38" si="2">I25+K25</f>
        <v>820</v>
      </c>
      <c r="M25" s="70"/>
    </row>
    <row r="26" spans="1:13" ht="18" customHeight="1">
      <c r="A26" s="238"/>
      <c r="B26" s="179" t="s">
        <v>331</v>
      </c>
      <c r="C26" s="79">
        <v>6</v>
      </c>
      <c r="D26" s="547"/>
      <c r="E26" s="570"/>
      <c r="F26" s="571"/>
      <c r="G26" s="571" t="s">
        <v>122</v>
      </c>
      <c r="H26" s="571">
        <v>264</v>
      </c>
      <c r="I26" s="579">
        <f t="shared" si="0"/>
        <v>1584</v>
      </c>
      <c r="J26" s="571">
        <v>150</v>
      </c>
      <c r="K26" s="579">
        <f t="shared" si="1"/>
        <v>900</v>
      </c>
      <c r="L26" s="574">
        <f t="shared" si="2"/>
        <v>2484</v>
      </c>
      <c r="M26" s="70"/>
    </row>
    <row r="27" spans="1:13" ht="18" customHeight="1">
      <c r="A27" s="238"/>
      <c r="B27" s="179" t="s">
        <v>332</v>
      </c>
      <c r="C27" s="79">
        <v>1</v>
      </c>
      <c r="D27" s="547"/>
      <c r="E27" s="570"/>
      <c r="F27" s="571"/>
      <c r="G27" s="571" t="s">
        <v>122</v>
      </c>
      <c r="H27" s="571">
        <v>1135</v>
      </c>
      <c r="I27" s="579">
        <f t="shared" si="0"/>
        <v>1135</v>
      </c>
      <c r="J27" s="571">
        <v>100</v>
      </c>
      <c r="K27" s="579">
        <f t="shared" si="1"/>
        <v>100</v>
      </c>
      <c r="L27" s="574">
        <f t="shared" si="2"/>
        <v>1235</v>
      </c>
      <c r="M27" s="70"/>
    </row>
    <row r="28" spans="1:13" ht="18" customHeight="1">
      <c r="A28" s="238"/>
      <c r="B28" s="179" t="s">
        <v>333</v>
      </c>
      <c r="C28" s="79">
        <v>4</v>
      </c>
      <c r="D28" s="547"/>
      <c r="E28" s="570"/>
      <c r="F28" s="571"/>
      <c r="G28" s="571" t="s">
        <v>122</v>
      </c>
      <c r="H28" s="571">
        <v>155</v>
      </c>
      <c r="I28" s="579">
        <f t="shared" si="0"/>
        <v>620</v>
      </c>
      <c r="J28" s="571">
        <v>50</v>
      </c>
      <c r="K28" s="579">
        <f t="shared" si="1"/>
        <v>200</v>
      </c>
      <c r="L28" s="574">
        <f t="shared" si="2"/>
        <v>820</v>
      </c>
      <c r="M28" s="70"/>
    </row>
    <row r="29" spans="1:13" ht="18" customHeight="1">
      <c r="A29" s="238"/>
      <c r="B29" s="179" t="s">
        <v>334</v>
      </c>
      <c r="C29" s="79">
        <v>1</v>
      </c>
      <c r="D29" s="547"/>
      <c r="E29" s="570"/>
      <c r="F29" s="571"/>
      <c r="G29" s="571" t="s">
        <v>122</v>
      </c>
      <c r="H29" s="571">
        <v>11600</v>
      </c>
      <c r="I29" s="579">
        <f t="shared" si="0"/>
        <v>11600</v>
      </c>
      <c r="J29" s="571">
        <f>H29*0.3</f>
        <v>3480</v>
      </c>
      <c r="K29" s="579">
        <f t="shared" si="1"/>
        <v>3480</v>
      </c>
      <c r="L29" s="574">
        <f t="shared" si="2"/>
        <v>15080</v>
      </c>
      <c r="M29" s="70"/>
    </row>
    <row r="30" spans="1:13" ht="18" customHeight="1">
      <c r="A30" s="238"/>
      <c r="B30" s="179" t="s">
        <v>335</v>
      </c>
      <c r="C30" s="79">
        <v>1</v>
      </c>
      <c r="D30" s="547"/>
      <c r="E30" s="570"/>
      <c r="F30" s="571"/>
      <c r="G30" s="571" t="s">
        <v>122</v>
      </c>
      <c r="H30" s="571">
        <v>4590</v>
      </c>
      <c r="I30" s="579">
        <f t="shared" si="0"/>
        <v>4590</v>
      </c>
      <c r="J30" s="571">
        <f>H30*0.3</f>
        <v>1377</v>
      </c>
      <c r="K30" s="579">
        <f t="shared" si="1"/>
        <v>1377</v>
      </c>
      <c r="L30" s="574">
        <f t="shared" si="2"/>
        <v>5967</v>
      </c>
      <c r="M30" s="70"/>
    </row>
    <row r="31" spans="1:13" ht="18" customHeight="1">
      <c r="A31" s="238"/>
      <c r="B31" s="179" t="s">
        <v>328</v>
      </c>
      <c r="C31" s="79">
        <v>1</v>
      </c>
      <c r="D31" s="547"/>
      <c r="E31" s="570"/>
      <c r="F31" s="571"/>
      <c r="G31" s="571" t="s">
        <v>35</v>
      </c>
      <c r="H31" s="571">
        <f>SUM(I25:I30)*0.1</f>
        <v>1994.9</v>
      </c>
      <c r="I31" s="579">
        <f t="shared" si="0"/>
        <v>1994.9</v>
      </c>
      <c r="J31" s="571">
        <f>H31*0.3</f>
        <v>598.47</v>
      </c>
      <c r="K31" s="579">
        <f t="shared" si="1"/>
        <v>598.47</v>
      </c>
      <c r="L31" s="574">
        <f t="shared" si="2"/>
        <v>2593.37</v>
      </c>
      <c r="M31" s="70"/>
    </row>
    <row r="32" spans="1:13" ht="18" customHeight="1">
      <c r="A32" s="238"/>
      <c r="B32" s="588" t="s">
        <v>447</v>
      </c>
      <c r="C32" s="79"/>
      <c r="D32" s="547"/>
      <c r="E32" s="570"/>
      <c r="F32" s="571"/>
      <c r="G32" s="571"/>
      <c r="H32" s="571"/>
      <c r="I32" s="579">
        <f t="shared" si="0"/>
        <v>0</v>
      </c>
      <c r="J32" s="571"/>
      <c r="K32" s="579">
        <f t="shared" si="1"/>
        <v>0</v>
      </c>
      <c r="L32" s="574">
        <f t="shared" si="2"/>
        <v>0</v>
      </c>
      <c r="M32" s="70"/>
    </row>
    <row r="33" spans="1:13" ht="18" customHeight="1">
      <c r="A33" s="238"/>
      <c r="B33" s="179" t="s">
        <v>448</v>
      </c>
      <c r="C33" s="79">
        <v>4</v>
      </c>
      <c r="D33" s="547"/>
      <c r="E33" s="570"/>
      <c r="F33" s="571"/>
      <c r="G33" s="571" t="s">
        <v>52</v>
      </c>
      <c r="H33" s="571">
        <f>150.82*6/2</f>
        <v>452.46</v>
      </c>
      <c r="I33" s="579">
        <f t="shared" si="0"/>
        <v>1809.84</v>
      </c>
      <c r="J33" s="571">
        <v>548</v>
      </c>
      <c r="K33" s="579">
        <f t="shared" si="1"/>
        <v>2192</v>
      </c>
      <c r="L33" s="574">
        <f t="shared" si="2"/>
        <v>4001.84</v>
      </c>
      <c r="M33" s="70"/>
    </row>
    <row r="34" spans="1:13" ht="18" customHeight="1">
      <c r="A34" s="238"/>
      <c r="B34" s="179" t="s">
        <v>449</v>
      </c>
      <c r="C34" s="79">
        <v>4</v>
      </c>
      <c r="D34" s="547"/>
      <c r="E34" s="570"/>
      <c r="F34" s="571"/>
      <c r="G34" s="571" t="s">
        <v>52</v>
      </c>
      <c r="H34" s="571"/>
      <c r="I34" s="579">
        <f t="shared" si="0"/>
        <v>0</v>
      </c>
      <c r="J34" s="571">
        <v>400</v>
      </c>
      <c r="K34" s="579">
        <f t="shared" si="1"/>
        <v>1600</v>
      </c>
      <c r="L34" s="574">
        <f t="shared" si="2"/>
        <v>1600</v>
      </c>
      <c r="M34" s="70"/>
    </row>
    <row r="35" spans="1:13" ht="18" customHeight="1">
      <c r="A35" s="238"/>
      <c r="B35" s="179" t="s">
        <v>450</v>
      </c>
      <c r="C35" s="79">
        <f>1*0.05</f>
        <v>0.05</v>
      </c>
      <c r="D35" s="547"/>
      <c r="E35" s="570"/>
      <c r="F35" s="571"/>
      <c r="G35" s="571" t="s">
        <v>451</v>
      </c>
      <c r="H35" s="571">
        <v>453.33</v>
      </c>
      <c r="I35" s="579">
        <f t="shared" si="0"/>
        <v>22.666499999999999</v>
      </c>
      <c r="J35" s="571">
        <v>91</v>
      </c>
      <c r="K35" s="579">
        <f t="shared" si="1"/>
        <v>4.55</v>
      </c>
      <c r="L35" s="574">
        <f t="shared" si="2"/>
        <v>27.2165</v>
      </c>
      <c r="M35" s="70"/>
    </row>
    <row r="36" spans="1:13" ht="18" customHeight="1">
      <c r="A36" s="238"/>
      <c r="B36" s="179" t="s">
        <v>429</v>
      </c>
      <c r="C36" s="79">
        <v>0.05</v>
      </c>
      <c r="D36" s="547"/>
      <c r="E36" s="570"/>
      <c r="F36" s="571"/>
      <c r="G36" s="571" t="s">
        <v>451</v>
      </c>
      <c r="H36" s="571">
        <v>2034</v>
      </c>
      <c r="I36" s="579">
        <f t="shared" si="0"/>
        <v>101.7</v>
      </c>
      <c r="J36" s="571">
        <v>398</v>
      </c>
      <c r="K36" s="579">
        <f t="shared" si="1"/>
        <v>19.900000000000002</v>
      </c>
      <c r="L36" s="574">
        <f t="shared" si="2"/>
        <v>121.60000000000001</v>
      </c>
      <c r="M36" s="70"/>
    </row>
    <row r="37" spans="1:13" s="7" customFormat="1">
      <c r="A37" s="238"/>
      <c r="B37" s="179" t="s">
        <v>452</v>
      </c>
      <c r="C37" s="79">
        <f>1*1*0.05</f>
        <v>0.05</v>
      </c>
      <c r="D37" s="547"/>
      <c r="E37" s="570"/>
      <c r="F37" s="571"/>
      <c r="G37" s="571" t="s">
        <v>451</v>
      </c>
      <c r="H37" s="571">
        <v>2367</v>
      </c>
      <c r="I37" s="579">
        <f t="shared" si="0"/>
        <v>118.35000000000001</v>
      </c>
      <c r="J37" s="571">
        <v>436</v>
      </c>
      <c r="K37" s="579">
        <f t="shared" si="1"/>
        <v>21.8</v>
      </c>
      <c r="L37" s="574">
        <f t="shared" si="2"/>
        <v>140.15</v>
      </c>
      <c r="M37" s="70"/>
    </row>
    <row r="38" spans="1:13" ht="20.100000000000001" customHeight="1">
      <c r="A38" s="238"/>
      <c r="B38" s="179" t="s">
        <v>453</v>
      </c>
      <c r="C38" s="79">
        <f>4*0.1*0.5</f>
        <v>0.2</v>
      </c>
      <c r="D38" s="547"/>
      <c r="E38" s="570"/>
      <c r="F38" s="571"/>
      <c r="G38" s="571" t="s">
        <v>36</v>
      </c>
      <c r="H38" s="571">
        <v>400</v>
      </c>
      <c r="I38" s="579">
        <f t="shared" si="0"/>
        <v>80</v>
      </c>
      <c r="J38" s="571">
        <v>133</v>
      </c>
      <c r="K38" s="579">
        <f t="shared" si="1"/>
        <v>26.6</v>
      </c>
      <c r="L38" s="574">
        <f t="shared" si="2"/>
        <v>106.6</v>
      </c>
      <c r="M38" s="70"/>
    </row>
    <row r="39" spans="1:13">
      <c r="A39" s="238"/>
      <c r="B39" s="179"/>
      <c r="C39" s="79"/>
      <c r="D39" s="547"/>
      <c r="E39" s="570"/>
      <c r="F39" s="571"/>
      <c r="G39" s="571"/>
      <c r="H39" s="571"/>
      <c r="I39" s="579"/>
      <c r="J39" s="571"/>
      <c r="K39" s="579"/>
      <c r="L39" s="574"/>
      <c r="M39" s="70"/>
    </row>
    <row r="40" spans="1:13" ht="14.4" thickBot="1">
      <c r="A40" s="238"/>
      <c r="B40" s="179"/>
      <c r="C40" s="79"/>
      <c r="D40" s="547"/>
      <c r="E40" s="570"/>
      <c r="F40" s="571"/>
      <c r="G40" s="571"/>
      <c r="H40" s="571"/>
      <c r="I40" s="579"/>
      <c r="J40" s="571"/>
      <c r="K40" s="579"/>
      <c r="L40" s="574"/>
      <c r="M40" s="70"/>
    </row>
    <row r="41" spans="1:13" ht="15" thickTop="1" thickBot="1">
      <c r="A41" s="239"/>
      <c r="B41" s="31" t="s">
        <v>336</v>
      </c>
      <c r="C41" s="34"/>
      <c r="D41" s="554"/>
      <c r="E41" s="580"/>
      <c r="F41" s="580"/>
      <c r="G41" s="580"/>
      <c r="H41" s="581"/>
      <c r="I41" s="582">
        <f>SUM(I19:I40)</f>
        <v>25216.682124999999</v>
      </c>
      <c r="J41" s="581"/>
      <c r="K41" s="582">
        <f>SUM(K19:K40)</f>
        <v>13410.517062499997</v>
      </c>
      <c r="L41" s="582">
        <f>SUM(L19:L40)</f>
        <v>38627.199187500002</v>
      </c>
      <c r="M41" s="24" t="s">
        <v>34</v>
      </c>
    </row>
    <row r="42" spans="1:13" ht="14.4" thickTop="1">
      <c r="A42" s="82" t="s">
        <v>337</v>
      </c>
      <c r="B42" s="83" t="s">
        <v>338</v>
      </c>
      <c r="C42" s="589"/>
      <c r="D42" s="590"/>
      <c r="E42" s="591"/>
      <c r="F42" s="592"/>
      <c r="G42" s="593"/>
      <c r="H42" s="594"/>
      <c r="I42" s="594"/>
      <c r="J42" s="594"/>
      <c r="K42" s="594"/>
      <c r="L42" s="595"/>
      <c r="M42" s="63"/>
    </row>
    <row r="43" spans="1:13">
      <c r="A43" s="238"/>
      <c r="B43" s="179" t="s">
        <v>339</v>
      </c>
      <c r="C43" s="79"/>
      <c r="D43" s="547"/>
      <c r="E43" s="570"/>
      <c r="F43" s="570"/>
      <c r="G43" s="571"/>
      <c r="H43" s="571"/>
      <c r="I43" s="579"/>
      <c r="J43" s="579"/>
      <c r="K43" s="579"/>
      <c r="L43" s="574"/>
      <c r="M43" s="70"/>
    </row>
    <row r="44" spans="1:13" ht="18" customHeight="1">
      <c r="A44" s="238"/>
      <c r="B44" s="179" t="s">
        <v>340</v>
      </c>
      <c r="C44" s="79">
        <f>11+11+3.5+5+3+26+26+5</f>
        <v>90.5</v>
      </c>
      <c r="D44" s="547"/>
      <c r="E44" s="570"/>
      <c r="F44" s="570"/>
      <c r="G44" s="571" t="s">
        <v>326</v>
      </c>
      <c r="H44" s="571">
        <f>171/4</f>
        <v>42.75</v>
      </c>
      <c r="I44" s="579">
        <f>C44*H44</f>
        <v>3868.875</v>
      </c>
      <c r="J44" s="579">
        <v>40</v>
      </c>
      <c r="K44" s="579">
        <f>J44*C44</f>
        <v>3620</v>
      </c>
      <c r="L44" s="574">
        <f>K44+I44</f>
        <v>7488.875</v>
      </c>
      <c r="M44" s="70"/>
    </row>
    <row r="45" spans="1:13" ht="18" customHeight="1">
      <c r="A45" s="238"/>
      <c r="B45" s="179" t="s">
        <v>341</v>
      </c>
      <c r="C45" s="79">
        <f>10.5+3.5+3+5</f>
        <v>22</v>
      </c>
      <c r="D45" s="547"/>
      <c r="E45" s="570"/>
      <c r="F45" s="570"/>
      <c r="G45" s="571" t="s">
        <v>326</v>
      </c>
      <c r="H45" s="571">
        <f>608/4</f>
        <v>152</v>
      </c>
      <c r="I45" s="579">
        <f>C45*H45</f>
        <v>3344</v>
      </c>
      <c r="J45" s="579">
        <v>100</v>
      </c>
      <c r="K45" s="579">
        <f>J45*C45</f>
        <v>2200</v>
      </c>
      <c r="L45" s="574">
        <f>K45+I45</f>
        <v>5544</v>
      </c>
      <c r="M45" s="70"/>
    </row>
    <row r="46" spans="1:13" s="7" customFormat="1">
      <c r="A46" s="238"/>
      <c r="B46" s="179" t="s">
        <v>328</v>
      </c>
      <c r="C46" s="79">
        <v>1</v>
      </c>
      <c r="D46" s="547"/>
      <c r="E46" s="570"/>
      <c r="F46" s="570"/>
      <c r="G46" s="571" t="s">
        <v>35</v>
      </c>
      <c r="H46" s="571">
        <f>SUM(I44:I45)*0.1</f>
        <v>721.28750000000002</v>
      </c>
      <c r="I46" s="579">
        <f>C46*H46</f>
        <v>721.28750000000002</v>
      </c>
      <c r="J46" s="579">
        <f>H46*0.3</f>
        <v>216.38624999999999</v>
      </c>
      <c r="K46" s="579">
        <f>J46*C46</f>
        <v>216.38624999999999</v>
      </c>
      <c r="L46" s="574">
        <f>K46+I46</f>
        <v>937.67375000000004</v>
      </c>
      <c r="M46" s="70"/>
    </row>
    <row r="47" spans="1:13" ht="20.100000000000001" customHeight="1">
      <c r="A47" s="238"/>
      <c r="B47" s="179" t="s">
        <v>342</v>
      </c>
      <c r="C47" s="79">
        <v>1</v>
      </c>
      <c r="D47" s="547"/>
      <c r="E47" s="570"/>
      <c r="F47" s="570"/>
      <c r="G47" s="571" t="s">
        <v>122</v>
      </c>
      <c r="H47" s="571">
        <v>4790</v>
      </c>
      <c r="I47" s="579">
        <f>C47*H47</f>
        <v>4790</v>
      </c>
      <c r="J47" s="579">
        <f>H47*0.3</f>
        <v>1437</v>
      </c>
      <c r="K47" s="579">
        <f>J47*C47</f>
        <v>1437</v>
      </c>
      <c r="L47" s="574">
        <f>K47+I47</f>
        <v>6227</v>
      </c>
      <c r="M47" s="70"/>
    </row>
    <row r="48" spans="1:13" ht="20.100000000000001" customHeight="1">
      <c r="A48" s="238"/>
      <c r="B48" s="179" t="s">
        <v>454</v>
      </c>
      <c r="C48" s="79">
        <v>7</v>
      </c>
      <c r="D48" s="547"/>
      <c r="E48" s="570"/>
      <c r="F48" s="570"/>
      <c r="G48" s="571" t="s">
        <v>122</v>
      </c>
      <c r="H48" s="571">
        <v>200</v>
      </c>
      <c r="I48" s="579">
        <f>C48*H48</f>
        <v>1400</v>
      </c>
      <c r="J48" s="579">
        <v>50</v>
      </c>
      <c r="K48" s="579">
        <f>J48*C48</f>
        <v>350</v>
      </c>
      <c r="L48" s="574">
        <f>K48+I48</f>
        <v>1750</v>
      </c>
      <c r="M48" s="70"/>
    </row>
    <row r="49" spans="1:13" ht="18" customHeight="1">
      <c r="A49" s="238"/>
      <c r="B49" s="179" t="s">
        <v>455</v>
      </c>
      <c r="C49" s="79"/>
      <c r="D49" s="547"/>
      <c r="E49" s="570"/>
      <c r="F49" s="570"/>
      <c r="G49" s="571"/>
      <c r="H49" s="571"/>
      <c r="I49" s="579"/>
      <c r="J49" s="579"/>
      <c r="K49" s="579"/>
      <c r="L49" s="574"/>
      <c r="M49" s="70"/>
    </row>
    <row r="50" spans="1:13" ht="18" customHeight="1">
      <c r="A50" s="238"/>
      <c r="B50" s="179" t="s">
        <v>448</v>
      </c>
      <c r="C50" s="79">
        <v>4</v>
      </c>
      <c r="D50" s="547"/>
      <c r="E50" s="570"/>
      <c r="F50" s="571"/>
      <c r="G50" s="571" t="s">
        <v>52</v>
      </c>
      <c r="H50" s="571">
        <f>150.82*6/2</f>
        <v>452.46</v>
      </c>
      <c r="I50" s="579">
        <f>C50*H50</f>
        <v>1809.84</v>
      </c>
      <c r="J50" s="571">
        <v>548</v>
      </c>
      <c r="K50" s="579">
        <f t="shared" ref="K50:K56" si="3">C50*J50</f>
        <v>2192</v>
      </c>
      <c r="L50" s="574">
        <f t="shared" ref="L50:L56" si="4">I50+K50</f>
        <v>4001.84</v>
      </c>
      <c r="M50" s="70"/>
    </row>
    <row r="51" spans="1:13" ht="18" customHeight="1">
      <c r="A51" s="238"/>
      <c r="B51" s="179" t="s">
        <v>449</v>
      </c>
      <c r="C51" s="79">
        <v>4</v>
      </c>
      <c r="D51" s="547"/>
      <c r="E51" s="570"/>
      <c r="F51" s="571"/>
      <c r="G51" s="571" t="s">
        <v>52</v>
      </c>
      <c r="H51" s="571"/>
      <c r="I51" s="579">
        <f>C51*H51</f>
        <v>0</v>
      </c>
      <c r="J51" s="571">
        <v>400</v>
      </c>
      <c r="K51" s="579">
        <f t="shared" si="3"/>
        <v>1600</v>
      </c>
      <c r="L51" s="574">
        <f t="shared" si="4"/>
        <v>1600</v>
      </c>
      <c r="M51" s="70"/>
    </row>
    <row r="52" spans="1:13" ht="18" customHeight="1">
      <c r="A52" s="238"/>
      <c r="B52" s="179" t="s">
        <v>456</v>
      </c>
      <c r="C52" s="79">
        <v>1.2</v>
      </c>
      <c r="D52" s="547"/>
      <c r="E52" s="570"/>
      <c r="F52" s="571"/>
      <c r="G52" s="571" t="s">
        <v>451</v>
      </c>
      <c r="H52" s="571"/>
      <c r="I52" s="579"/>
      <c r="J52" s="571">
        <v>99</v>
      </c>
      <c r="K52" s="579">
        <f t="shared" si="3"/>
        <v>118.8</v>
      </c>
      <c r="L52" s="574">
        <f t="shared" si="4"/>
        <v>118.8</v>
      </c>
      <c r="M52" s="70"/>
    </row>
    <row r="53" spans="1:13" ht="18" customHeight="1">
      <c r="A53" s="238"/>
      <c r="B53" s="179" t="s">
        <v>450</v>
      </c>
      <c r="C53" s="79">
        <f>1*0.05</f>
        <v>0.05</v>
      </c>
      <c r="D53" s="547"/>
      <c r="E53" s="570"/>
      <c r="F53" s="571"/>
      <c r="G53" s="571" t="s">
        <v>451</v>
      </c>
      <c r="H53" s="571">
        <v>453.33</v>
      </c>
      <c r="I53" s="579">
        <f>C53*H53</f>
        <v>22.666499999999999</v>
      </c>
      <c r="J53" s="571">
        <v>91</v>
      </c>
      <c r="K53" s="579">
        <f t="shared" si="3"/>
        <v>4.55</v>
      </c>
      <c r="L53" s="574">
        <f t="shared" si="4"/>
        <v>27.2165</v>
      </c>
      <c r="M53" s="70"/>
    </row>
    <row r="54" spans="1:13" ht="18" customHeight="1">
      <c r="A54" s="238"/>
      <c r="B54" s="179" t="s">
        <v>429</v>
      </c>
      <c r="C54" s="79">
        <v>0.05</v>
      </c>
      <c r="D54" s="547"/>
      <c r="E54" s="570"/>
      <c r="F54" s="571"/>
      <c r="G54" s="571" t="s">
        <v>451</v>
      </c>
      <c r="H54" s="571">
        <v>2034</v>
      </c>
      <c r="I54" s="579">
        <f>C54*H54</f>
        <v>101.7</v>
      </c>
      <c r="J54" s="571">
        <v>398</v>
      </c>
      <c r="K54" s="579">
        <f t="shared" si="3"/>
        <v>19.900000000000002</v>
      </c>
      <c r="L54" s="574">
        <f t="shared" si="4"/>
        <v>121.60000000000001</v>
      </c>
      <c r="M54" s="70"/>
    </row>
    <row r="55" spans="1:13" ht="18" customHeight="1">
      <c r="A55" s="238"/>
      <c r="B55" s="179" t="s">
        <v>452</v>
      </c>
      <c r="C55" s="79">
        <f>1*1*0.05</f>
        <v>0.05</v>
      </c>
      <c r="D55" s="547"/>
      <c r="E55" s="570"/>
      <c r="F55" s="571"/>
      <c r="G55" s="571" t="s">
        <v>451</v>
      </c>
      <c r="H55" s="571">
        <v>2367</v>
      </c>
      <c r="I55" s="579">
        <f>C55*H55</f>
        <v>118.35000000000001</v>
      </c>
      <c r="J55" s="571">
        <v>436</v>
      </c>
      <c r="K55" s="579">
        <f t="shared" si="3"/>
        <v>21.8</v>
      </c>
      <c r="L55" s="574">
        <f t="shared" si="4"/>
        <v>140.15</v>
      </c>
      <c r="M55" s="70"/>
    </row>
    <row r="56" spans="1:13" ht="18" customHeight="1" thickBot="1">
      <c r="A56" s="238"/>
      <c r="B56" s="179" t="s">
        <v>453</v>
      </c>
      <c r="C56" s="79">
        <f>4*0.1*0.5</f>
        <v>0.2</v>
      </c>
      <c r="D56" s="547"/>
      <c r="E56" s="570"/>
      <c r="F56" s="571"/>
      <c r="G56" s="571" t="s">
        <v>36</v>
      </c>
      <c r="H56" s="571">
        <v>400</v>
      </c>
      <c r="I56" s="579">
        <f>C56*H56</f>
        <v>80</v>
      </c>
      <c r="J56" s="571">
        <v>133</v>
      </c>
      <c r="K56" s="579">
        <f t="shared" si="3"/>
        <v>26.6</v>
      </c>
      <c r="L56" s="574">
        <f t="shared" si="4"/>
        <v>106.6</v>
      </c>
      <c r="M56" s="70"/>
    </row>
    <row r="57" spans="1:13" ht="18" customHeight="1" thickTop="1" thickBot="1">
      <c r="A57" s="239"/>
      <c r="B57" s="31" t="s">
        <v>343</v>
      </c>
      <c r="C57" s="34"/>
      <c r="D57" s="554"/>
      <c r="E57" s="580"/>
      <c r="F57" s="580"/>
      <c r="G57" s="580"/>
      <c r="H57" s="581"/>
      <c r="I57" s="582">
        <f>SUM(I43:I56)</f>
        <v>16256.719000000001</v>
      </c>
      <c r="J57" s="581"/>
      <c r="K57" s="582">
        <f>SUM(K43:K56)</f>
        <v>11807.036249999997</v>
      </c>
      <c r="L57" s="582">
        <f>SUM(L43:L56)</f>
        <v>28063.755249999998</v>
      </c>
      <c r="M57" s="24" t="s">
        <v>34</v>
      </c>
    </row>
    <row r="58" spans="1:13" s="7" customFormat="1" ht="14.4" thickTop="1">
      <c r="A58" s="82" t="s">
        <v>344</v>
      </c>
      <c r="B58" s="83" t="s">
        <v>345</v>
      </c>
      <c r="C58" s="589"/>
      <c r="D58" s="590"/>
      <c r="E58" s="591"/>
      <c r="F58" s="592"/>
      <c r="G58" s="593"/>
      <c r="H58" s="594"/>
      <c r="I58" s="594"/>
      <c r="J58" s="594"/>
      <c r="K58" s="594"/>
      <c r="L58" s="595"/>
      <c r="M58" s="63"/>
    </row>
    <row r="59" spans="1:13" ht="20.100000000000001" customHeight="1">
      <c r="A59" s="238"/>
      <c r="B59" s="179" t="s">
        <v>346</v>
      </c>
      <c r="C59" s="79"/>
      <c r="D59" s="547"/>
      <c r="E59" s="570"/>
      <c r="F59" s="570"/>
      <c r="G59" s="571"/>
      <c r="H59" s="571"/>
      <c r="I59" s="579"/>
      <c r="J59" s="579"/>
      <c r="K59" s="579"/>
      <c r="L59" s="574"/>
      <c r="M59" s="70"/>
    </row>
    <row r="60" spans="1:13" ht="20.100000000000001" customHeight="1">
      <c r="A60" s="238"/>
      <c r="B60" s="179" t="s">
        <v>340</v>
      </c>
      <c r="C60" s="79">
        <f>11*2+5</f>
        <v>27</v>
      </c>
      <c r="D60" s="547"/>
      <c r="E60" s="570"/>
      <c r="F60" s="570"/>
      <c r="G60" s="596" t="s">
        <v>326</v>
      </c>
      <c r="H60" s="571">
        <v>42.75</v>
      </c>
      <c r="I60" s="579">
        <f>C60*H60</f>
        <v>1154.25</v>
      </c>
      <c r="J60" s="579">
        <v>80</v>
      </c>
      <c r="K60" s="579">
        <f>J60*C60</f>
        <v>2160</v>
      </c>
      <c r="L60" s="574">
        <f>K60+I60</f>
        <v>3314.25</v>
      </c>
      <c r="M60" s="70"/>
    </row>
    <row r="61" spans="1:13" ht="18" customHeight="1">
      <c r="A61" s="238"/>
      <c r="B61" s="179" t="s">
        <v>328</v>
      </c>
      <c r="C61" s="79">
        <v>1</v>
      </c>
      <c r="D61" s="547"/>
      <c r="E61" s="570"/>
      <c r="F61" s="570"/>
      <c r="G61" s="596" t="s">
        <v>35</v>
      </c>
      <c r="H61" s="571">
        <f>SUM(I59:I60)*0.1</f>
        <v>115.42500000000001</v>
      </c>
      <c r="I61" s="579">
        <f>C61*H61</f>
        <v>115.42500000000001</v>
      </c>
      <c r="J61" s="579">
        <f>H61*0.3</f>
        <v>34.627500000000005</v>
      </c>
      <c r="K61" s="579">
        <f>J61*C61</f>
        <v>34.627500000000005</v>
      </c>
      <c r="L61" s="574">
        <f>K61+I61</f>
        <v>150.05250000000001</v>
      </c>
      <c r="M61" s="70"/>
    </row>
    <row r="62" spans="1:13" ht="18" customHeight="1">
      <c r="A62" s="238"/>
      <c r="B62" s="179"/>
      <c r="C62" s="79"/>
      <c r="D62" s="547"/>
      <c r="E62" s="570"/>
      <c r="F62" s="570"/>
      <c r="G62" s="571"/>
      <c r="H62" s="571"/>
      <c r="I62" s="579"/>
      <c r="J62" s="579"/>
      <c r="K62" s="579"/>
      <c r="L62" s="574"/>
      <c r="M62" s="70"/>
    </row>
    <row r="63" spans="1:13" ht="18" customHeight="1">
      <c r="A63" s="238"/>
      <c r="B63" s="179"/>
      <c r="C63" s="79"/>
      <c r="D63" s="547"/>
      <c r="E63" s="570"/>
      <c r="F63" s="571"/>
      <c r="G63" s="596"/>
      <c r="H63" s="571"/>
      <c r="I63" s="579"/>
      <c r="J63" s="579"/>
      <c r="K63" s="579"/>
      <c r="L63" s="574"/>
      <c r="M63" s="70"/>
    </row>
    <row r="64" spans="1:13" ht="18" customHeight="1">
      <c r="A64" s="238"/>
      <c r="B64" s="179"/>
      <c r="C64" s="79"/>
      <c r="D64" s="547"/>
      <c r="E64" s="570"/>
      <c r="F64" s="571"/>
      <c r="G64" s="571"/>
      <c r="H64" s="571"/>
      <c r="I64" s="579"/>
      <c r="J64" s="579"/>
      <c r="K64" s="579"/>
      <c r="L64" s="574"/>
      <c r="M64" s="70"/>
    </row>
    <row r="65" spans="1:13" ht="18" customHeight="1">
      <c r="A65" s="238"/>
      <c r="B65" s="179"/>
      <c r="C65" s="79"/>
      <c r="D65" s="547"/>
      <c r="E65" s="570"/>
      <c r="F65" s="571"/>
      <c r="G65" s="571"/>
      <c r="H65" s="571"/>
      <c r="I65" s="579"/>
      <c r="J65" s="579"/>
      <c r="K65" s="579"/>
      <c r="L65" s="574"/>
      <c r="M65" s="70"/>
    </row>
    <row r="66" spans="1:13" ht="18" customHeight="1">
      <c r="A66" s="238"/>
      <c r="B66" s="179"/>
      <c r="C66" s="79"/>
      <c r="D66" s="547"/>
      <c r="E66" s="570"/>
      <c r="F66" s="571"/>
      <c r="G66" s="571"/>
      <c r="H66" s="571"/>
      <c r="I66" s="579"/>
      <c r="J66" s="579"/>
      <c r="K66" s="579"/>
      <c r="L66" s="574"/>
      <c r="M66" s="70"/>
    </row>
    <row r="67" spans="1:13" s="7" customFormat="1">
      <c r="A67" s="238"/>
      <c r="B67" s="179"/>
      <c r="C67" s="79"/>
      <c r="D67" s="547"/>
      <c r="E67" s="570"/>
      <c r="F67" s="571"/>
      <c r="G67" s="571"/>
      <c r="H67" s="571"/>
      <c r="I67" s="579"/>
      <c r="J67" s="579"/>
      <c r="K67" s="579"/>
      <c r="L67" s="574"/>
      <c r="M67" s="70"/>
    </row>
    <row r="68" spans="1:13" ht="20.100000000000001" customHeight="1" thickBot="1">
      <c r="A68" s="238"/>
      <c r="B68" s="179"/>
      <c r="C68" s="79"/>
      <c r="D68" s="547"/>
      <c r="E68" s="570"/>
      <c r="F68" s="571"/>
      <c r="G68" s="571"/>
      <c r="H68" s="571"/>
      <c r="I68" s="579"/>
      <c r="J68" s="579"/>
      <c r="K68" s="579"/>
      <c r="L68" s="574"/>
      <c r="M68" s="70"/>
    </row>
    <row r="69" spans="1:13" ht="20.100000000000001" customHeight="1" thickTop="1" thickBot="1">
      <c r="A69" s="239"/>
      <c r="B69" s="31" t="s">
        <v>347</v>
      </c>
      <c r="C69" s="34"/>
      <c r="D69" s="554"/>
      <c r="E69" s="580"/>
      <c r="F69" s="580"/>
      <c r="G69" s="580"/>
      <c r="H69" s="581"/>
      <c r="I69" s="582">
        <f>SUM(I59:I68)</f>
        <v>1269.675</v>
      </c>
      <c r="J69" s="581"/>
      <c r="K69" s="582">
        <f>SUM(K59:K68)</f>
        <v>2194.6275000000001</v>
      </c>
      <c r="L69" s="582">
        <f>SUM(L59:L68)</f>
        <v>3464.3024999999998</v>
      </c>
      <c r="M69" s="24" t="s">
        <v>34</v>
      </c>
    </row>
    <row r="70" spans="1:13" ht="18" customHeight="1" thickTop="1">
      <c r="A70" s="82" t="s">
        <v>348</v>
      </c>
      <c r="B70" s="83" t="s">
        <v>349</v>
      </c>
      <c r="C70" s="589"/>
      <c r="D70" s="590"/>
      <c r="E70" s="591"/>
      <c r="F70" s="592"/>
      <c r="G70" s="593"/>
      <c r="H70" s="594"/>
      <c r="I70" s="594"/>
      <c r="J70" s="594"/>
      <c r="K70" s="594"/>
      <c r="L70" s="595"/>
      <c r="M70" s="63"/>
    </row>
    <row r="71" spans="1:13" ht="18" customHeight="1">
      <c r="A71" s="238"/>
      <c r="B71" s="179" t="s">
        <v>339</v>
      </c>
      <c r="C71" s="79"/>
      <c r="D71" s="547">
        <v>0</v>
      </c>
      <c r="E71" s="570"/>
      <c r="F71" s="570">
        <v>3</v>
      </c>
      <c r="G71" s="571"/>
      <c r="H71" s="571"/>
      <c r="I71" s="579"/>
      <c r="J71" s="579"/>
      <c r="K71" s="579"/>
      <c r="L71" s="574"/>
      <c r="M71" s="70"/>
    </row>
    <row r="72" spans="1:13" ht="18" customHeight="1">
      <c r="A72" s="238"/>
      <c r="B72" s="588" t="s">
        <v>340</v>
      </c>
      <c r="C72" s="79">
        <f>3*3.5*1.1</f>
        <v>11.55</v>
      </c>
      <c r="D72" s="547"/>
      <c r="E72" s="570"/>
      <c r="F72" s="570"/>
      <c r="G72" s="596" t="s">
        <v>326</v>
      </c>
      <c r="H72" s="571">
        <v>42.75</v>
      </c>
      <c r="I72" s="579">
        <f>C72*H72</f>
        <v>493.76250000000005</v>
      </c>
      <c r="J72" s="579">
        <v>80</v>
      </c>
      <c r="K72" s="579">
        <f>J72*C72</f>
        <v>924</v>
      </c>
      <c r="L72" s="574">
        <f>K72+I72</f>
        <v>1417.7625</v>
      </c>
      <c r="M72" s="70"/>
    </row>
    <row r="73" spans="1:13" ht="18" customHeight="1">
      <c r="A73" s="238"/>
      <c r="B73" s="179" t="s">
        <v>457</v>
      </c>
      <c r="C73" s="79">
        <v>3</v>
      </c>
      <c r="D73" s="547">
        <v>0</v>
      </c>
      <c r="E73" s="570">
        <v>12</v>
      </c>
      <c r="F73" s="571"/>
      <c r="G73" s="596" t="s">
        <v>122</v>
      </c>
      <c r="H73" s="571">
        <v>1475</v>
      </c>
      <c r="I73" s="579">
        <f>C73*H73</f>
        <v>4425</v>
      </c>
      <c r="J73" s="579">
        <f>H73*0.3</f>
        <v>442.5</v>
      </c>
      <c r="K73" s="579">
        <f>J73*C73</f>
        <v>1327.5</v>
      </c>
      <c r="L73" s="574">
        <f>K73+I73</f>
        <v>5752.5</v>
      </c>
      <c r="M73" s="70"/>
    </row>
    <row r="74" spans="1:13" ht="18" customHeight="1">
      <c r="A74" s="238"/>
      <c r="B74" s="179"/>
      <c r="C74" s="79"/>
      <c r="D74" s="547">
        <v>0</v>
      </c>
      <c r="E74" s="570">
        <v>12</v>
      </c>
      <c r="F74" s="571"/>
      <c r="G74" s="571"/>
      <c r="H74" s="571"/>
      <c r="I74" s="579"/>
      <c r="J74" s="579"/>
      <c r="K74" s="579"/>
      <c r="L74" s="574"/>
      <c r="M74" s="70"/>
    </row>
    <row r="75" spans="1:13" ht="18" customHeight="1" thickBot="1">
      <c r="A75" s="238"/>
      <c r="B75" s="179"/>
      <c r="C75" s="79"/>
      <c r="D75" s="547">
        <v>0</v>
      </c>
      <c r="E75" s="570">
        <v>12</v>
      </c>
      <c r="F75" s="571"/>
      <c r="G75" s="571"/>
      <c r="H75" s="571"/>
      <c r="I75" s="579"/>
      <c r="J75" s="579"/>
      <c r="K75" s="579"/>
      <c r="L75" s="574"/>
      <c r="M75" s="70"/>
    </row>
    <row r="76" spans="1:13" s="7" customFormat="1" ht="15" thickTop="1" thickBot="1">
      <c r="A76" s="239"/>
      <c r="B76" s="31" t="s">
        <v>350</v>
      </c>
      <c r="C76" s="34"/>
      <c r="D76" s="554"/>
      <c r="E76" s="580"/>
      <c r="F76" s="580"/>
      <c r="G76" s="580"/>
      <c r="H76" s="581"/>
      <c r="I76" s="582">
        <f>SUM(I71:I75)</f>
        <v>4918.7624999999998</v>
      </c>
      <c r="J76" s="581"/>
      <c r="K76" s="582">
        <f>SUM(K71:K75)</f>
        <v>2251.5</v>
      </c>
      <c r="L76" s="582">
        <f>SUM(L71:L75)</f>
        <v>7170.2624999999998</v>
      </c>
      <c r="M76" s="24" t="s">
        <v>34</v>
      </c>
    </row>
    <row r="77" spans="1:13" s="298" customFormat="1" ht="14.4" thickTop="1">
      <c r="A77" s="82" t="s">
        <v>351</v>
      </c>
      <c r="B77" s="83" t="s">
        <v>352</v>
      </c>
      <c r="C77" s="589"/>
      <c r="D77" s="590"/>
      <c r="E77" s="591"/>
      <c r="F77" s="592"/>
      <c r="G77" s="593"/>
      <c r="H77" s="594"/>
      <c r="I77" s="594"/>
      <c r="J77" s="594"/>
      <c r="K77" s="594"/>
      <c r="L77" s="595"/>
      <c r="M77" s="63"/>
    </row>
    <row r="78" spans="1:13">
      <c r="A78" s="238"/>
      <c r="B78" s="179" t="s">
        <v>353</v>
      </c>
      <c r="C78" s="79">
        <v>73</v>
      </c>
      <c r="D78" s="547">
        <v>0</v>
      </c>
      <c r="E78" s="570"/>
      <c r="F78" s="570">
        <v>3</v>
      </c>
      <c r="G78" s="571" t="s">
        <v>326</v>
      </c>
      <c r="H78" s="571">
        <v>120</v>
      </c>
      <c r="I78" s="579">
        <f t="shared" ref="I78:I83" si="5">H78*C78</f>
        <v>8760</v>
      </c>
      <c r="J78" s="579">
        <v>48</v>
      </c>
      <c r="K78" s="579">
        <f t="shared" ref="K78:K83" si="6">J78*C78</f>
        <v>3504</v>
      </c>
      <c r="L78" s="574">
        <f t="shared" ref="L78:L83" si="7">K78+I78</f>
        <v>12264</v>
      </c>
      <c r="M78" s="70"/>
    </row>
    <row r="79" spans="1:13">
      <c r="A79" s="238"/>
      <c r="B79" s="179" t="s">
        <v>354</v>
      </c>
      <c r="C79" s="79">
        <v>11</v>
      </c>
      <c r="D79" s="547"/>
      <c r="E79" s="570"/>
      <c r="F79" s="570"/>
      <c r="G79" s="571" t="s">
        <v>122</v>
      </c>
      <c r="H79" s="571">
        <f>200/3*4+500</f>
        <v>766.66666666666674</v>
      </c>
      <c r="I79" s="579">
        <f t="shared" si="5"/>
        <v>8433.3333333333339</v>
      </c>
      <c r="J79" s="579">
        <v>100</v>
      </c>
      <c r="K79" s="579">
        <f t="shared" si="6"/>
        <v>1100</v>
      </c>
      <c r="L79" s="574">
        <f t="shared" si="7"/>
        <v>9533.3333333333339</v>
      </c>
      <c r="M79" s="70"/>
    </row>
    <row r="80" spans="1:13">
      <c r="A80" s="238"/>
      <c r="B80" s="179" t="s">
        <v>355</v>
      </c>
      <c r="C80" s="79">
        <v>1</v>
      </c>
      <c r="D80" s="547"/>
      <c r="E80" s="570"/>
      <c r="F80" s="570"/>
      <c r="G80" s="571" t="s">
        <v>122</v>
      </c>
      <c r="H80" s="571">
        <f>300+500</f>
        <v>800</v>
      </c>
      <c r="I80" s="579">
        <f t="shared" si="5"/>
        <v>800</v>
      </c>
      <c r="J80" s="579">
        <v>150</v>
      </c>
      <c r="K80" s="579">
        <f t="shared" si="6"/>
        <v>150</v>
      </c>
      <c r="L80" s="574">
        <f t="shared" si="7"/>
        <v>950</v>
      </c>
      <c r="M80" s="70"/>
    </row>
    <row r="81" spans="1:13">
      <c r="A81" s="238"/>
      <c r="B81" s="179" t="s">
        <v>458</v>
      </c>
      <c r="C81" s="79">
        <v>1</v>
      </c>
      <c r="D81" s="547"/>
      <c r="E81" s="570"/>
      <c r="F81" s="570"/>
      <c r="G81" s="571" t="s">
        <v>122</v>
      </c>
      <c r="H81" s="571">
        <v>2900</v>
      </c>
      <c r="I81" s="579">
        <f t="shared" si="5"/>
        <v>2900</v>
      </c>
      <c r="J81" s="579">
        <v>200</v>
      </c>
      <c r="K81" s="579">
        <f t="shared" si="6"/>
        <v>200</v>
      </c>
      <c r="L81" s="574">
        <f t="shared" si="7"/>
        <v>3100</v>
      </c>
      <c r="M81" s="70"/>
    </row>
    <row r="82" spans="1:13">
      <c r="A82" s="238"/>
      <c r="B82" s="179" t="s">
        <v>356</v>
      </c>
      <c r="C82" s="79">
        <v>1</v>
      </c>
      <c r="D82" s="547">
        <v>0</v>
      </c>
      <c r="E82" s="570">
        <v>12</v>
      </c>
      <c r="F82" s="571"/>
      <c r="G82" s="571" t="s">
        <v>122</v>
      </c>
      <c r="H82" s="571">
        <v>3700</v>
      </c>
      <c r="I82" s="579">
        <f t="shared" si="5"/>
        <v>3700</v>
      </c>
      <c r="J82" s="579">
        <v>200</v>
      </c>
      <c r="K82" s="579">
        <f t="shared" si="6"/>
        <v>200</v>
      </c>
      <c r="L82" s="574">
        <f t="shared" si="7"/>
        <v>3900</v>
      </c>
      <c r="M82" s="70"/>
    </row>
    <row r="83" spans="1:13">
      <c r="A83" s="238"/>
      <c r="B83" s="179" t="s">
        <v>456</v>
      </c>
      <c r="C83" s="597">
        <v>3</v>
      </c>
      <c r="D83" s="547"/>
      <c r="E83" s="570"/>
      <c r="F83" s="571"/>
      <c r="G83" s="571" t="s">
        <v>451</v>
      </c>
      <c r="H83" s="571">
        <v>0</v>
      </c>
      <c r="I83" s="579">
        <f t="shared" si="5"/>
        <v>0</v>
      </c>
      <c r="J83" s="579">
        <v>99</v>
      </c>
      <c r="K83" s="579">
        <f t="shared" si="6"/>
        <v>297</v>
      </c>
      <c r="L83" s="574">
        <f t="shared" si="7"/>
        <v>297</v>
      </c>
      <c r="M83" s="70"/>
    </row>
    <row r="84" spans="1:13">
      <c r="A84" s="238"/>
      <c r="B84" s="179"/>
      <c r="C84" s="79"/>
      <c r="D84" s="547"/>
      <c r="E84" s="570"/>
      <c r="F84" s="571"/>
      <c r="G84" s="571"/>
      <c r="H84" s="571"/>
      <c r="I84" s="579"/>
      <c r="J84" s="579"/>
      <c r="K84" s="579"/>
      <c r="L84" s="574"/>
      <c r="M84" s="70"/>
    </row>
    <row r="85" spans="1:13">
      <c r="A85" s="238"/>
      <c r="B85" s="179"/>
      <c r="C85" s="79"/>
      <c r="D85" s="547"/>
      <c r="E85" s="570"/>
      <c r="F85" s="571"/>
      <c r="G85" s="571"/>
      <c r="H85" s="571"/>
      <c r="I85" s="579"/>
      <c r="J85" s="579"/>
      <c r="K85" s="579"/>
      <c r="L85" s="574"/>
      <c r="M85" s="70"/>
    </row>
    <row r="86" spans="1:13">
      <c r="A86" s="238"/>
      <c r="B86" s="179"/>
      <c r="C86" s="79"/>
      <c r="D86" s="547"/>
      <c r="E86" s="570"/>
      <c r="F86" s="571"/>
      <c r="G86" s="571"/>
      <c r="H86" s="571"/>
      <c r="I86" s="579"/>
      <c r="J86" s="579"/>
      <c r="K86" s="579"/>
      <c r="L86" s="574"/>
      <c r="M86" s="70"/>
    </row>
    <row r="87" spans="1:13">
      <c r="A87" s="238"/>
      <c r="B87" s="179"/>
      <c r="C87" s="79"/>
      <c r="D87" s="547"/>
      <c r="E87" s="570"/>
      <c r="F87" s="571"/>
      <c r="G87" s="571"/>
      <c r="H87" s="571"/>
      <c r="I87" s="579"/>
      <c r="J87" s="579"/>
      <c r="K87" s="579"/>
      <c r="L87" s="574"/>
      <c r="M87" s="70"/>
    </row>
    <row r="88" spans="1:13">
      <c r="A88" s="238"/>
      <c r="B88" s="179"/>
      <c r="C88" s="79"/>
      <c r="D88" s="547"/>
      <c r="E88" s="570"/>
      <c r="F88" s="571"/>
      <c r="G88" s="571"/>
      <c r="H88" s="571"/>
      <c r="I88" s="579"/>
      <c r="J88" s="579"/>
      <c r="K88" s="579"/>
      <c r="L88" s="574"/>
      <c r="M88" s="70"/>
    </row>
    <row r="89" spans="1:13">
      <c r="A89" s="238"/>
      <c r="B89" s="179"/>
      <c r="C89" s="79"/>
      <c r="D89" s="547"/>
      <c r="E89" s="570"/>
      <c r="F89" s="571"/>
      <c r="G89" s="571"/>
      <c r="H89" s="571"/>
      <c r="I89" s="579"/>
      <c r="J89" s="579"/>
      <c r="K89" s="579"/>
      <c r="L89" s="574"/>
      <c r="M89" s="70"/>
    </row>
    <row r="90" spans="1:13">
      <c r="A90" s="238"/>
      <c r="B90" s="179"/>
      <c r="C90" s="79"/>
      <c r="D90" s="547">
        <v>0</v>
      </c>
      <c r="E90" s="570">
        <v>12</v>
      </c>
      <c r="F90" s="571"/>
      <c r="G90" s="571"/>
      <c r="H90" s="571"/>
      <c r="I90" s="579"/>
      <c r="J90" s="579"/>
      <c r="K90" s="579"/>
      <c r="L90" s="574"/>
      <c r="M90" s="70"/>
    </row>
    <row r="91" spans="1:13" ht="14.4" thickBot="1">
      <c r="A91" s="238"/>
      <c r="B91" s="179"/>
      <c r="C91" s="79"/>
      <c r="D91" s="547">
        <v>0</v>
      </c>
      <c r="E91" s="570">
        <v>12</v>
      </c>
      <c r="F91" s="571"/>
      <c r="G91" s="571"/>
      <c r="H91" s="571"/>
      <c r="I91" s="579"/>
      <c r="J91" s="579"/>
      <c r="K91" s="579"/>
      <c r="L91" s="574"/>
      <c r="M91" s="70"/>
    </row>
    <row r="92" spans="1:13" ht="15" thickTop="1" thickBot="1">
      <c r="A92" s="239"/>
      <c r="B92" s="31" t="s">
        <v>357</v>
      </c>
      <c r="C92" s="34"/>
      <c r="D92" s="554"/>
      <c r="E92" s="580"/>
      <c r="F92" s="580"/>
      <c r="G92" s="580"/>
      <c r="H92" s="581"/>
      <c r="I92" s="582">
        <f>SUM(I78:I91)</f>
        <v>24593.333333333336</v>
      </c>
      <c r="J92" s="581"/>
      <c r="K92" s="582">
        <f>SUM(K78:K91)</f>
        <v>5451</v>
      </c>
      <c r="L92" s="582">
        <f>SUM(L78:L91)</f>
        <v>30044.333333333336</v>
      </c>
      <c r="M92" s="24" t="s">
        <v>34</v>
      </c>
    </row>
    <row r="93" spans="1:13" ht="15" thickTop="1" thickBot="1">
      <c r="A93" s="295"/>
      <c r="B93" s="296" t="s">
        <v>157</v>
      </c>
      <c r="C93" s="296"/>
      <c r="D93" s="561"/>
      <c r="E93" s="598"/>
      <c r="F93" s="598"/>
      <c r="G93" s="598"/>
      <c r="H93" s="599"/>
      <c r="I93" s="600">
        <f>I92+I76+I69+I57+I41</f>
        <v>72255.171958333347</v>
      </c>
      <c r="J93" s="599"/>
      <c r="K93" s="600">
        <f>K92+K76+K69+K57+K41</f>
        <v>35114.680812499995</v>
      </c>
      <c r="L93" s="600">
        <f>L92+L76+L69+L57+L41</f>
        <v>107369.85277083333</v>
      </c>
      <c r="M93" s="297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2016-12-18T09:12:06Z</cp:lastPrinted>
  <dcterms:created xsi:type="dcterms:W3CDTF">2009-11-05T09:30:11Z</dcterms:created>
  <dcterms:modified xsi:type="dcterms:W3CDTF">2017-03-09T16:31:39Z</dcterms:modified>
</cp:coreProperties>
</file>