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2547017\Desktop\Hellsing\MRER\"/>
    </mc:Choice>
  </mc:AlternateContent>
  <xr:revisionPtr revIDLastSave="0" documentId="13_ncr:1_{D21612A7-F4BE-4C24-9B85-D5A7740CE767}" xr6:coauthVersionLast="47" xr6:coauthVersionMax="47" xr10:uidLastSave="{00000000-0000-0000-0000-000000000000}"/>
  <bookViews>
    <workbookView xWindow="-108" yWindow="-108" windowWidth="23256" windowHeight="12576" firstSheet="3" activeTab="6" xr2:uid="{36384041-F397-41E0-A3D5-C3A57CEBAED0}"/>
  </bookViews>
  <sheets>
    <sheet name="70% Rule F&amp;F" sheetId="1" r:id="rId1"/>
    <sheet name="Le Cheat Sheet " sheetId="5" r:id="rId2"/>
    <sheet name="Le Cheat Sheet  (3)" sheetId="8" r:id="rId3"/>
    <sheet name="Le Cheat Sheet  (2)" sheetId="6" r:id="rId4"/>
    <sheet name="Le Cheat Sheet  (4)" sheetId="9" r:id="rId5"/>
    <sheet name="Le Cheat Sheet  (5)" sheetId="10" r:id="rId6"/>
    <sheet name="Le Cheat Sheet  (6)" sheetId="11" r:id="rId7"/>
    <sheet name="Notes" sheetId="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1" l="1"/>
  <c r="C77" i="11" s="1"/>
  <c r="B56" i="11"/>
  <c r="B55" i="11"/>
  <c r="B49" i="11"/>
  <c r="B48" i="11"/>
  <c r="B39" i="11"/>
  <c r="B33" i="11" s="1"/>
  <c r="B34" i="11"/>
  <c r="C31" i="11"/>
  <c r="C32" i="11" s="1"/>
  <c r="C30" i="11"/>
  <c r="C27" i="11"/>
  <c r="B21" i="11"/>
  <c r="C20" i="11"/>
  <c r="C34" i="11" s="1"/>
  <c r="C18" i="11"/>
  <c r="C19" i="10"/>
  <c r="C33" i="10"/>
  <c r="C31" i="10"/>
  <c r="C29" i="10"/>
  <c r="C28" i="10"/>
  <c r="C27" i="10"/>
  <c r="C32" i="10"/>
  <c r="C34" i="10"/>
  <c r="C30" i="10"/>
  <c r="C20" i="10"/>
  <c r="C18" i="10"/>
  <c r="B77" i="10"/>
  <c r="C77" i="10" s="1"/>
  <c r="B56" i="10"/>
  <c r="B55" i="10"/>
  <c r="B49" i="10"/>
  <c r="B48" i="10"/>
  <c r="B39" i="10"/>
  <c r="B41" i="10" s="1"/>
  <c r="B34" i="10"/>
  <c r="B33" i="10"/>
  <c r="B21" i="10"/>
  <c r="B77" i="9"/>
  <c r="C77" i="9" s="1"/>
  <c r="B56" i="9"/>
  <c r="B55" i="9"/>
  <c r="B49" i="9"/>
  <c r="B48" i="9"/>
  <c r="B39" i="9"/>
  <c r="B41" i="9" s="1"/>
  <c r="B34" i="9"/>
  <c r="B21" i="9"/>
  <c r="O1" i="6"/>
  <c r="M1" i="6"/>
  <c r="K1" i="6"/>
  <c r="E1" i="6"/>
  <c r="C77" i="6"/>
  <c r="B77" i="8"/>
  <c r="B56" i="8"/>
  <c r="B55" i="8"/>
  <c r="B57" i="8" s="1"/>
  <c r="B49" i="8"/>
  <c r="B48" i="8"/>
  <c r="B41" i="8"/>
  <c r="B47" i="8" s="1"/>
  <c r="B50" i="8" s="1"/>
  <c r="B39" i="8"/>
  <c r="B34" i="8"/>
  <c r="B33" i="8"/>
  <c r="B28" i="8"/>
  <c r="B29" i="8" s="1"/>
  <c r="B21" i="8"/>
  <c r="B34" i="6"/>
  <c r="B77" i="6"/>
  <c r="B56" i="6"/>
  <c r="B55" i="6"/>
  <c r="B49" i="6"/>
  <c r="B48" i="6"/>
  <c r="B39" i="6"/>
  <c r="B41" i="6" s="1"/>
  <c r="B21" i="6"/>
  <c r="B75" i="5"/>
  <c r="B54" i="5"/>
  <c r="B53" i="5"/>
  <c r="B47" i="5"/>
  <c r="B46" i="5"/>
  <c r="B37" i="5"/>
  <c r="B39" i="5" s="1"/>
  <c r="B19" i="5"/>
  <c r="G7" i="1"/>
  <c r="F7" i="1"/>
  <c r="D7" i="1"/>
  <c r="B57" i="11" l="1"/>
  <c r="B61" i="11" s="1"/>
  <c r="C33" i="11"/>
  <c r="B28" i="11"/>
  <c r="B41" i="11"/>
  <c r="B59" i="11"/>
  <c r="B62" i="11" s="1"/>
  <c r="C35" i="10"/>
  <c r="B57" i="10"/>
  <c r="B47" i="10"/>
  <c r="B50" i="10" s="1"/>
  <c r="B8" i="10"/>
  <c r="B61" i="10"/>
  <c r="B59" i="10"/>
  <c r="B28" i="10"/>
  <c r="B29" i="10" s="1"/>
  <c r="B33" i="9"/>
  <c r="B57" i="9"/>
  <c r="B61" i="9" s="1"/>
  <c r="B47" i="9"/>
  <c r="B50" i="9" s="1"/>
  <c r="B8" i="9"/>
  <c r="B28" i="9"/>
  <c r="B29" i="9" s="1"/>
  <c r="B28" i="6"/>
  <c r="B29" i="6" s="1"/>
  <c r="B72" i="8"/>
  <c r="B59" i="8"/>
  <c r="B61" i="8"/>
  <c r="B8" i="8"/>
  <c r="B57" i="6"/>
  <c r="B59" i="6" s="1"/>
  <c r="B65" i="6" s="1"/>
  <c r="B31" i="6" s="1"/>
  <c r="B32" i="6" s="1"/>
  <c r="B8" i="6"/>
  <c r="B47" i="6"/>
  <c r="B50" i="6" s="1"/>
  <c r="B33" i="6"/>
  <c r="B55" i="5"/>
  <c r="B59" i="5" s="1"/>
  <c r="B26" i="5"/>
  <c r="B27" i="5" s="1"/>
  <c r="B45" i="5"/>
  <c r="B48" i="5" s="1"/>
  <c r="B8" i="5"/>
  <c r="B31" i="5"/>
  <c r="B9" i="11" l="1"/>
  <c r="K1" i="11"/>
  <c r="B29" i="11"/>
  <c r="C29" i="11" s="1"/>
  <c r="C28" i="11"/>
  <c r="B65" i="11"/>
  <c r="B31" i="11" s="1"/>
  <c r="B32" i="11" s="1"/>
  <c r="B35" i="11" s="1"/>
  <c r="B19" i="11" s="1"/>
  <c r="B8" i="11"/>
  <c r="B47" i="11"/>
  <c r="B50" i="11" s="1"/>
  <c r="C35" i="11"/>
  <c r="C19" i="11" s="1"/>
  <c r="E1" i="10"/>
  <c r="B62" i="10"/>
  <c r="B65" i="10"/>
  <c r="B31" i="10" s="1"/>
  <c r="B32" i="10" s="1"/>
  <c r="B35" i="10" s="1"/>
  <c r="B19" i="10" s="1"/>
  <c r="B72" i="10"/>
  <c r="C72" i="10" s="1"/>
  <c r="M1" i="10"/>
  <c r="B59" i="9"/>
  <c r="B62" i="9" s="1"/>
  <c r="E1" i="9"/>
  <c r="B65" i="9"/>
  <c r="B31" i="9" s="1"/>
  <c r="B32" i="9" s="1"/>
  <c r="B35" i="9" s="1"/>
  <c r="B19" i="9" s="1"/>
  <c r="K1" i="9"/>
  <c r="B9" i="9"/>
  <c r="M1" i="9"/>
  <c r="B68" i="9"/>
  <c r="B72" i="9"/>
  <c r="C72" i="9" s="1"/>
  <c r="B11" i="9"/>
  <c r="B61" i="6"/>
  <c r="B62" i="6" s="1"/>
  <c r="B9" i="6" s="1"/>
  <c r="B65" i="8"/>
  <c r="B31" i="8" s="1"/>
  <c r="B32" i="8" s="1"/>
  <c r="B35" i="8" s="1"/>
  <c r="B19" i="8" s="1"/>
  <c r="B62" i="8"/>
  <c r="B35" i="6"/>
  <c r="B72" i="6"/>
  <c r="C72" i="6" s="1"/>
  <c r="B57" i="5"/>
  <c r="B63" i="5" s="1"/>
  <c r="B29" i="5" s="1"/>
  <c r="B30" i="5" s="1"/>
  <c r="B33" i="5" s="1"/>
  <c r="B17" i="5" s="1"/>
  <c r="B71" i="5" s="1"/>
  <c r="B72" i="5" s="1"/>
  <c r="B70" i="5"/>
  <c r="B22" i="11" l="1"/>
  <c r="B10" i="11"/>
  <c r="E1" i="11"/>
  <c r="B73" i="11"/>
  <c r="B12" i="11"/>
  <c r="G1" i="11"/>
  <c r="B68" i="11"/>
  <c r="M1" i="11"/>
  <c r="B11" i="11"/>
  <c r="B72" i="11"/>
  <c r="C72" i="11" s="1"/>
  <c r="B73" i="10"/>
  <c r="B12" i="10"/>
  <c r="B9" i="10"/>
  <c r="K1" i="10"/>
  <c r="B22" i="10" s="1"/>
  <c r="B11" i="10"/>
  <c r="B68" i="10"/>
  <c r="G1" i="9"/>
  <c r="C68" i="9"/>
  <c r="B69" i="9"/>
  <c r="B12" i="9"/>
  <c r="B73" i="9"/>
  <c r="B10" i="9"/>
  <c r="B10" i="6"/>
  <c r="I1" i="6" s="1"/>
  <c r="G1" i="6"/>
  <c r="B11" i="6"/>
  <c r="B68" i="6"/>
  <c r="B69" i="6" s="1"/>
  <c r="B19" i="6"/>
  <c r="B12" i="6" s="1"/>
  <c r="B9" i="8"/>
  <c r="B10" i="8" s="1"/>
  <c r="B11" i="8"/>
  <c r="B68" i="8"/>
  <c r="B69" i="8" s="1"/>
  <c r="B73" i="8"/>
  <c r="B74" i="8" s="1"/>
  <c r="B12" i="8"/>
  <c r="B60" i="5"/>
  <c r="B9" i="5" s="1"/>
  <c r="B10" i="5" s="1"/>
  <c r="B66" i="5"/>
  <c r="B67" i="5" s="1"/>
  <c r="B69" i="11" l="1"/>
  <c r="C68" i="11"/>
  <c r="B74" i="11"/>
  <c r="C73" i="11"/>
  <c r="O1" i="11"/>
  <c r="I1" i="11"/>
  <c r="B69" i="10"/>
  <c r="C68" i="10"/>
  <c r="G1" i="10"/>
  <c r="B10" i="10"/>
  <c r="C73" i="10"/>
  <c r="B74" i="10"/>
  <c r="O1" i="9"/>
  <c r="I1" i="9"/>
  <c r="B74" i="9"/>
  <c r="C73" i="9"/>
  <c r="C79" i="9" s="1"/>
  <c r="C68" i="6"/>
  <c r="B73" i="6"/>
  <c r="C79" i="11" l="1"/>
  <c r="I1" i="10"/>
  <c r="O1" i="10"/>
  <c r="C79" i="10"/>
  <c r="C1" i="9"/>
  <c r="B5" i="9"/>
  <c r="B74" i="6"/>
  <c r="C73" i="6"/>
  <c r="C79" i="6" s="1"/>
  <c r="C1" i="11" l="1"/>
  <c r="B5" i="11"/>
  <c r="C1" i="10"/>
  <c r="B5" i="10"/>
  <c r="C1" i="6"/>
  <c r="B5" i="6"/>
</calcChain>
</file>

<file path=xl/sharedStrings.xml><?xml version="1.0" encoding="utf-8"?>
<sst xmlns="http://schemas.openxmlformats.org/spreadsheetml/2006/main" count="421" uniqueCount="94">
  <si>
    <t xml:space="preserve">MRER </t>
  </si>
  <si>
    <t>F&amp;F</t>
  </si>
  <si>
    <t>70% Rule</t>
  </si>
  <si>
    <t>(The Purchase price mustn't exceed 70% of the ARV minus repair costs).</t>
  </si>
  <si>
    <t xml:space="preserve">Property </t>
  </si>
  <si>
    <t>x</t>
  </si>
  <si>
    <t>ARV</t>
  </si>
  <si>
    <t>RENO</t>
  </si>
  <si>
    <t>%</t>
  </si>
  <si>
    <t>Max Buy</t>
  </si>
  <si>
    <t>Est. Profit</t>
  </si>
  <si>
    <t>Cheat Sheet</t>
  </si>
  <si>
    <t>Property Address:</t>
  </si>
  <si>
    <t>Purchase Price:</t>
  </si>
  <si>
    <t>Est. Rehab Amount:</t>
  </si>
  <si>
    <t>Estimated ARV:</t>
  </si>
  <si>
    <t>Desired Net Cash Flow:</t>
  </si>
  <si>
    <t>Estimated Net Cash Flow:</t>
  </si>
  <si>
    <t>(Total Income - Total Expenses = Net Cash Flow)</t>
  </si>
  <si>
    <t>Expenses: Mortgate, Property Taxes, Utility Bills, Maintenance, Management</t>
  </si>
  <si>
    <t>70&amp; Rule = ARV x 70% = Maximum Investment</t>
  </si>
  <si>
    <t>Total Investment:</t>
  </si>
  <si>
    <t>ARV:</t>
  </si>
  <si>
    <t>Use formula below to find out how much money you can take from the REFI</t>
  </si>
  <si>
    <t>so you can do this again</t>
  </si>
  <si>
    <t>Equity Funds Available:</t>
  </si>
  <si>
    <t>Rehab:</t>
  </si>
  <si>
    <t>Purchase Estimate</t>
  </si>
  <si>
    <t>Down Payment Price:</t>
  </si>
  <si>
    <t>Closing Cost Price:</t>
  </si>
  <si>
    <t>Closing Cost %:</t>
  </si>
  <si>
    <t>Down Payment %:</t>
  </si>
  <si>
    <t>Total Out Of Pocket:</t>
  </si>
  <si>
    <t>(Down Payment + closing)</t>
  </si>
  <si>
    <t>Loan Amount:</t>
  </si>
  <si>
    <t>(Purchase + Rehab - Down Payment)</t>
  </si>
  <si>
    <t>Total OOP = Equity? (Y/N)</t>
  </si>
  <si>
    <t>If N, range?</t>
  </si>
  <si>
    <t>Does Property Meet Criteria you set?</t>
  </si>
  <si>
    <t>ARV (Y/N)</t>
  </si>
  <si>
    <t>Desired Net Cash Flow (Y/N)</t>
  </si>
  <si>
    <t>IF N, range?</t>
  </si>
  <si>
    <t>Is the Community one of Growth, Stability or Decline?</t>
  </si>
  <si>
    <t>Grade:</t>
  </si>
  <si>
    <t>Est. Property Tax (Annual):</t>
  </si>
  <si>
    <t>Target %:</t>
  </si>
  <si>
    <t>Target % of ARV:</t>
  </si>
  <si>
    <t>Total Purchase Price:</t>
  </si>
  <si>
    <t>Status:</t>
  </si>
  <si>
    <t>Current Status (G,S,D):</t>
  </si>
  <si>
    <t>Est Purchase Price:</t>
  </si>
  <si>
    <t>Estimated Rental Income:</t>
  </si>
  <si>
    <t>ERI Annualized:</t>
  </si>
  <si>
    <t>Est. Mortgage %:</t>
  </si>
  <si>
    <t>Est. Mortgage Amt (M):</t>
  </si>
  <si>
    <t>Est. Mortgate Amount (A):</t>
  </si>
  <si>
    <t>Est. Property Tax %:</t>
  </si>
  <si>
    <t>Misc:</t>
  </si>
  <si>
    <t>Est. Insurances (M):</t>
  </si>
  <si>
    <t>Est. Monthly Cost:</t>
  </si>
  <si>
    <t>TOTAL MAX INVESTMENT:</t>
  </si>
  <si>
    <t>EST. Actual Investment:</t>
  </si>
  <si>
    <t>Underage/Overage:</t>
  </si>
  <si>
    <t>D</t>
  </si>
  <si>
    <t>Cleveland, Below Appraisal</t>
  </si>
  <si>
    <t>Est. Property Tax (M):</t>
  </si>
  <si>
    <t>Purpose of Property:</t>
  </si>
  <si>
    <t>$3,000 Monthly Financial Freedom Income</t>
  </si>
  <si>
    <t>15510 Stockbridge Ave Cleveland - Vertigo Investments</t>
  </si>
  <si>
    <t>Prop Management (10%):</t>
  </si>
  <si>
    <t>ROI (Equity):</t>
  </si>
  <si>
    <t>ROI (Rental Monthlyl):</t>
  </si>
  <si>
    <t>G</t>
  </si>
  <si>
    <t>Vertigo Property Investments</t>
  </si>
  <si>
    <t xml:space="preserve">A *property selling company based in london that sells *props in the USA. </t>
  </si>
  <si>
    <t>Deduction: SUS - Some parts of the website don't work properly, like the google maps function, the phone number is a London phone number…</t>
  </si>
  <si>
    <t>It costs less than 20 bucks a year to estabish an internet number so peopl can call locally and then contact them…they're making it harder to contact em</t>
  </si>
  <si>
    <t>I went to the info page on their business and it said the entity was dissolved</t>
  </si>
  <si>
    <t>https://find-and-update.company-information.service.gov.uk/company/04366154</t>
  </si>
  <si>
    <t>Lastly, the price of the house, after rehab and with a tenant payign $800 per month, the purchase price was only $43,000…</t>
  </si>
  <si>
    <t>Rating</t>
  </si>
  <si>
    <t>Company</t>
  </si>
  <si>
    <t>SUS</t>
  </si>
  <si>
    <t>Rating Sum:</t>
  </si>
  <si>
    <t>MAX Inv:</t>
  </si>
  <si>
    <t>Est. Inv:</t>
  </si>
  <si>
    <t>Ovr/Und:</t>
  </si>
  <si>
    <t>OOP:</t>
  </si>
  <si>
    <t>Equity:</t>
  </si>
  <si>
    <t>Profit:</t>
  </si>
  <si>
    <t>691 E 115th St, Cleveland, OH 44108 | MLS #4442495 | Zillow</t>
  </si>
  <si>
    <t>Recoup OOP:</t>
  </si>
  <si>
    <t>Full Eq Out</t>
  </si>
  <si>
    <t>6224 Carl Avenue, Cleveland, OH 44103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</si>
</sst>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83838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8" fontId="0" fillId="0" borderId="1" xfId="0" applyNumberFormat="1" applyBorder="1"/>
    <xf numFmtId="8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10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center"/>
    </xf>
    <xf numFmtId="9" fontId="0" fillId="0" borderId="0" xfId="1" applyFont="1"/>
    <xf numFmtId="0" fontId="2" fillId="0" borderId="0" xfId="0" applyFont="1" applyAlignment="1">
      <alignment horizontal="right"/>
    </xf>
    <xf numFmtId="8" fontId="2" fillId="0" borderId="0" xfId="0" applyNumberFormat="1" applyFont="1"/>
    <xf numFmtId="8" fontId="0" fillId="3" borderId="1" xfId="0" applyNumberFormat="1" applyFill="1" applyBorder="1"/>
    <xf numFmtId="10" fontId="0" fillId="3" borderId="1" xfId="0" applyNumberFormat="1" applyFill="1" applyBorder="1"/>
    <xf numFmtId="9" fontId="0" fillId="3" borderId="1" xfId="0" applyNumberFormat="1" applyFill="1" applyBorder="1"/>
    <xf numFmtId="0" fontId="0" fillId="3" borderId="1" xfId="0" applyFill="1" applyBorder="1"/>
    <xf numFmtId="0" fontId="0" fillId="0" borderId="0" xfId="0" applyAlignment="1">
      <alignment vertical="center"/>
    </xf>
    <xf numFmtId="10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0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1BDA6-DA88-486F-8571-940D0F45BAA5}">
  <sheetPr codeName="Sheet1"/>
  <dimension ref="A1:G7"/>
  <sheetViews>
    <sheetView workbookViewId="0">
      <selection activeCell="G14" sqref="G14"/>
    </sheetView>
  </sheetViews>
  <sheetFormatPr defaultRowHeight="14.4" x14ac:dyDescent="0.3"/>
  <cols>
    <col min="3" max="4" width="11.5546875" bestFit="1" customWidth="1"/>
    <col min="5" max="7" width="10.5546875" bestFit="1" customWidth="1"/>
  </cols>
  <sheetData>
    <row r="1" spans="1:7" x14ac:dyDescent="0.3">
      <c r="A1" t="s">
        <v>0</v>
      </c>
      <c r="C1" t="s">
        <v>1</v>
      </c>
    </row>
    <row r="3" spans="1:7" x14ac:dyDescent="0.3">
      <c r="A3" t="s">
        <v>2</v>
      </c>
    </row>
    <row r="4" spans="1:7" x14ac:dyDescent="0.3">
      <c r="A4" t="s">
        <v>3</v>
      </c>
    </row>
    <row r="6" spans="1:7" ht="15" thickBot="1" x14ac:dyDescent="0.35">
      <c r="A6" s="5" t="s">
        <v>4</v>
      </c>
      <c r="B6" s="5" t="s">
        <v>8</v>
      </c>
      <c r="C6" s="5" t="s">
        <v>6</v>
      </c>
      <c r="D6" s="5" t="s">
        <v>2</v>
      </c>
      <c r="E6" s="5" t="s">
        <v>7</v>
      </c>
      <c r="F6" s="5" t="s">
        <v>9</v>
      </c>
      <c r="G6" s="5" t="s">
        <v>10</v>
      </c>
    </row>
    <row r="7" spans="1:7" ht="15" thickBot="1" x14ac:dyDescent="0.35">
      <c r="A7" s="6" t="s">
        <v>5</v>
      </c>
      <c r="B7" s="7">
        <v>0.7</v>
      </c>
      <c r="C7" s="8">
        <v>260000</v>
      </c>
      <c r="D7" s="9">
        <f>C7*B7</f>
        <v>182000</v>
      </c>
      <c r="E7" s="8">
        <v>95000</v>
      </c>
      <c r="F7" s="9">
        <f>D7-E7</f>
        <v>87000</v>
      </c>
      <c r="G7" s="9">
        <f>C7-E7-F7</f>
        <v>78000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F008-9B8F-4E44-8E41-885A4BDD74AD}">
  <sheetPr codeName="Sheet2"/>
  <dimension ref="A1:F75"/>
  <sheetViews>
    <sheetView topLeftCell="A6" workbookViewId="0">
      <selection activeCell="E10" sqref="E10"/>
    </sheetView>
  </sheetViews>
  <sheetFormatPr defaultRowHeight="14.4" x14ac:dyDescent="0.3"/>
  <cols>
    <col min="1" max="1" width="23.44140625" customWidth="1"/>
    <col min="2" max="2" width="11.5546875" bestFit="1" customWidth="1"/>
  </cols>
  <sheetData>
    <row r="1" spans="1:6" x14ac:dyDescent="0.3">
      <c r="A1" t="s">
        <v>11</v>
      </c>
    </row>
    <row r="3" spans="1:6" x14ac:dyDescent="0.3">
      <c r="A3" s="10" t="s">
        <v>12</v>
      </c>
      <c r="B3" t="s">
        <v>64</v>
      </c>
      <c r="F3" t="s">
        <v>43</v>
      </c>
    </row>
    <row r="4" spans="1:6" x14ac:dyDescent="0.3">
      <c r="A4" s="10" t="s">
        <v>66</v>
      </c>
      <c r="B4" t="s">
        <v>67</v>
      </c>
    </row>
    <row r="5" spans="1:6" x14ac:dyDescent="0.3">
      <c r="A5" s="10"/>
    </row>
    <row r="6" spans="1:6" x14ac:dyDescent="0.3">
      <c r="A6" s="10"/>
    </row>
    <row r="7" spans="1:6" x14ac:dyDescent="0.3">
      <c r="A7" s="10"/>
    </row>
    <row r="8" spans="1:6" x14ac:dyDescent="0.3">
      <c r="A8" s="10" t="s">
        <v>60</v>
      </c>
      <c r="B8" s="4">
        <f>B39</f>
        <v>244999.99999999997</v>
      </c>
    </row>
    <row r="9" spans="1:6" x14ac:dyDescent="0.3">
      <c r="A9" s="10" t="s">
        <v>61</v>
      </c>
      <c r="B9" s="4">
        <f>B12+B13+B60</f>
        <v>115000</v>
      </c>
    </row>
    <row r="10" spans="1:6" x14ac:dyDescent="0.3">
      <c r="A10" s="10" t="s">
        <v>62</v>
      </c>
      <c r="B10" s="4">
        <f>B8-B9</f>
        <v>129999.99999999997</v>
      </c>
    </row>
    <row r="11" spans="1:6" ht="15" thickBot="1" x14ac:dyDescent="0.35">
      <c r="B11" s="4"/>
    </row>
    <row r="12" spans="1:6" ht="15" thickBot="1" x14ac:dyDescent="0.35">
      <c r="A12" s="10" t="s">
        <v>50</v>
      </c>
      <c r="B12" s="3">
        <v>50000</v>
      </c>
    </row>
    <row r="13" spans="1:6" ht="15" thickBot="1" x14ac:dyDescent="0.35">
      <c r="A13" s="10" t="s">
        <v>14</v>
      </c>
      <c r="B13" s="3">
        <v>50000</v>
      </c>
    </row>
    <row r="14" spans="1:6" ht="15" thickBot="1" x14ac:dyDescent="0.35">
      <c r="A14" s="10" t="s">
        <v>15</v>
      </c>
      <c r="B14" s="3">
        <v>350000</v>
      </c>
    </row>
    <row r="15" spans="1:6" ht="15" thickBot="1" x14ac:dyDescent="0.35">
      <c r="A15" s="10"/>
      <c r="B15" s="3"/>
    </row>
    <row r="16" spans="1:6" ht="15" thickBot="1" x14ac:dyDescent="0.35">
      <c r="A16" s="10" t="s">
        <v>16</v>
      </c>
      <c r="B16" s="3">
        <v>1000</v>
      </c>
    </row>
    <row r="17" spans="1:6" ht="15" thickBot="1" x14ac:dyDescent="0.35">
      <c r="A17" s="10" t="s">
        <v>17</v>
      </c>
      <c r="B17" s="4">
        <f>B18-B33</f>
        <v>2618.75</v>
      </c>
    </row>
    <row r="18" spans="1:6" ht="15" thickBot="1" x14ac:dyDescent="0.35">
      <c r="A18" s="10" t="s">
        <v>51</v>
      </c>
      <c r="B18" s="3">
        <v>4000</v>
      </c>
    </row>
    <row r="19" spans="1:6" x14ac:dyDescent="0.3">
      <c r="A19" s="10" t="s">
        <v>52</v>
      </c>
      <c r="B19" s="4">
        <f>B18*12</f>
        <v>48000</v>
      </c>
    </row>
    <row r="20" spans="1:6" x14ac:dyDescent="0.3">
      <c r="A20" s="10"/>
      <c r="B20" s="4"/>
    </row>
    <row r="21" spans="1:6" x14ac:dyDescent="0.3">
      <c r="A21" s="10"/>
    </row>
    <row r="22" spans="1:6" x14ac:dyDescent="0.3">
      <c r="A22" s="12" t="s">
        <v>18</v>
      </c>
      <c r="B22" s="12"/>
      <c r="C22" s="12"/>
    </row>
    <row r="24" spans="1:6" ht="15" thickBot="1" x14ac:dyDescent="0.35">
      <c r="A24" s="11" t="s">
        <v>19</v>
      </c>
      <c r="B24" s="12"/>
      <c r="C24" s="12"/>
      <c r="D24" s="12"/>
      <c r="E24" s="12"/>
      <c r="F24" s="12"/>
    </row>
    <row r="25" spans="1:6" ht="15" thickBot="1" x14ac:dyDescent="0.35">
      <c r="A25" s="10" t="s">
        <v>56</v>
      </c>
      <c r="B25" s="2">
        <v>0.02</v>
      </c>
    </row>
    <row r="26" spans="1:6" x14ac:dyDescent="0.3">
      <c r="A26" s="10" t="s">
        <v>44</v>
      </c>
      <c r="B26" s="4">
        <f>B37*B25</f>
        <v>7000</v>
      </c>
    </row>
    <row r="27" spans="1:6" ht="15" thickBot="1" x14ac:dyDescent="0.35">
      <c r="A27" s="10" t="s">
        <v>65</v>
      </c>
      <c r="B27" s="4">
        <f>B26/12</f>
        <v>583.33333333333337</v>
      </c>
    </row>
    <row r="28" spans="1:6" ht="15" thickBot="1" x14ac:dyDescent="0.35">
      <c r="A28" s="10" t="s">
        <v>53</v>
      </c>
      <c r="B28" s="14">
        <v>6.7500000000000004E-2</v>
      </c>
    </row>
    <row r="29" spans="1:6" x14ac:dyDescent="0.3">
      <c r="A29" s="10" t="s">
        <v>55</v>
      </c>
      <c r="B29" s="4">
        <f>(B63*B28)</f>
        <v>6075</v>
      </c>
    </row>
    <row r="30" spans="1:6" x14ac:dyDescent="0.3">
      <c r="A30" s="10" t="s">
        <v>54</v>
      </c>
      <c r="B30" s="4">
        <f>B29/12</f>
        <v>506.25</v>
      </c>
    </row>
    <row r="31" spans="1:6" x14ac:dyDescent="0.3">
      <c r="A31" s="10" t="s">
        <v>58</v>
      </c>
      <c r="B31" s="4">
        <f>(B37*1%)/12</f>
        <v>291.66666666666669</v>
      </c>
    </row>
    <row r="32" spans="1:6" x14ac:dyDescent="0.3">
      <c r="A32" s="10" t="s">
        <v>57</v>
      </c>
      <c r="B32" s="4">
        <v>0</v>
      </c>
    </row>
    <row r="33" spans="1:6" x14ac:dyDescent="0.3">
      <c r="A33" s="10" t="s">
        <v>59</v>
      </c>
      <c r="B33" s="4">
        <f>B31+B30+B32+(B26/12)</f>
        <v>1381.25</v>
      </c>
    </row>
    <row r="35" spans="1:6" x14ac:dyDescent="0.3">
      <c r="A35" s="12" t="s">
        <v>20</v>
      </c>
      <c r="B35" s="12"/>
      <c r="C35" s="12"/>
    </row>
    <row r="37" spans="1:6" x14ac:dyDescent="0.3">
      <c r="A37" s="10" t="s">
        <v>22</v>
      </c>
      <c r="B37" s="4">
        <f>B14</f>
        <v>350000</v>
      </c>
    </row>
    <row r="38" spans="1:6" x14ac:dyDescent="0.3">
      <c r="A38" s="10" t="s">
        <v>45</v>
      </c>
      <c r="B38" s="1">
        <v>0.7</v>
      </c>
    </row>
    <row r="39" spans="1:6" x14ac:dyDescent="0.3">
      <c r="A39" s="10" t="s">
        <v>21</v>
      </c>
      <c r="B39" s="4">
        <f>B37*B38</f>
        <v>244999.99999999997</v>
      </c>
    </row>
    <row r="40" spans="1:6" x14ac:dyDescent="0.3">
      <c r="A40" s="10"/>
    </row>
    <row r="42" spans="1:6" x14ac:dyDescent="0.3">
      <c r="A42" s="11" t="s">
        <v>23</v>
      </c>
      <c r="B42" s="12"/>
      <c r="C42" s="12"/>
      <c r="D42" s="12"/>
      <c r="E42" s="12"/>
      <c r="F42" s="12"/>
    </row>
    <row r="43" spans="1:6" x14ac:dyDescent="0.3">
      <c r="A43" s="11" t="s">
        <v>24</v>
      </c>
      <c r="B43" s="12"/>
      <c r="C43" s="12"/>
      <c r="D43" s="12"/>
      <c r="E43" s="12"/>
      <c r="F43" s="12"/>
    </row>
    <row r="45" spans="1:6" x14ac:dyDescent="0.3">
      <c r="A45" s="10" t="s">
        <v>46</v>
      </c>
      <c r="B45" s="4">
        <f>B39</f>
        <v>244999.99999999997</v>
      </c>
    </row>
    <row r="46" spans="1:6" x14ac:dyDescent="0.3">
      <c r="A46" s="10" t="s">
        <v>13</v>
      </c>
      <c r="B46" s="4">
        <f>B12</f>
        <v>50000</v>
      </c>
    </row>
    <row r="47" spans="1:6" x14ac:dyDescent="0.3">
      <c r="A47" s="10" t="s">
        <v>26</v>
      </c>
      <c r="B47" s="4">
        <f>B13</f>
        <v>50000</v>
      </c>
    </row>
    <row r="48" spans="1:6" x14ac:dyDescent="0.3">
      <c r="A48" s="10" t="s">
        <v>25</v>
      </c>
      <c r="B48" s="4">
        <f>(B45-B46-B47)</f>
        <v>144999.99999999997</v>
      </c>
    </row>
    <row r="51" spans="1:2" x14ac:dyDescent="0.3">
      <c r="A51" s="13" t="s">
        <v>27</v>
      </c>
    </row>
    <row r="53" spans="1:2" x14ac:dyDescent="0.3">
      <c r="A53" s="10" t="s">
        <v>13</v>
      </c>
      <c r="B53" s="4">
        <f>B12</f>
        <v>50000</v>
      </c>
    </row>
    <row r="54" spans="1:2" x14ac:dyDescent="0.3">
      <c r="A54" s="10" t="s">
        <v>26</v>
      </c>
      <c r="B54" s="4">
        <f>B13</f>
        <v>50000</v>
      </c>
    </row>
    <row r="55" spans="1:2" ht="15" thickBot="1" x14ac:dyDescent="0.35">
      <c r="A55" s="10" t="s">
        <v>47</v>
      </c>
      <c r="B55" s="4">
        <f>SUM(B53:B54)</f>
        <v>100000</v>
      </c>
    </row>
    <row r="56" spans="1:2" ht="15" thickBot="1" x14ac:dyDescent="0.35">
      <c r="A56" s="10" t="s">
        <v>31</v>
      </c>
      <c r="B56" s="2">
        <v>0.1</v>
      </c>
    </row>
    <row r="57" spans="1:2" ht="15" thickBot="1" x14ac:dyDescent="0.35">
      <c r="A57" s="10" t="s">
        <v>28</v>
      </c>
      <c r="B57" s="4">
        <f>B55*B56</f>
        <v>10000</v>
      </c>
    </row>
    <row r="58" spans="1:2" ht="15" thickBot="1" x14ac:dyDescent="0.35">
      <c r="A58" s="10" t="s">
        <v>30</v>
      </c>
      <c r="B58" s="2">
        <v>0.05</v>
      </c>
    </row>
    <row r="59" spans="1:2" x14ac:dyDescent="0.3">
      <c r="A59" s="10" t="s">
        <v>29</v>
      </c>
      <c r="B59" s="4">
        <f>B55*B58</f>
        <v>5000</v>
      </c>
    </row>
    <row r="60" spans="1:2" x14ac:dyDescent="0.3">
      <c r="A60" s="10" t="s">
        <v>32</v>
      </c>
      <c r="B60" s="4">
        <f>B57+B59</f>
        <v>15000</v>
      </c>
    </row>
    <row r="61" spans="1:2" x14ac:dyDescent="0.3">
      <c r="A61" s="12" t="s">
        <v>33</v>
      </c>
    </row>
    <row r="63" spans="1:2" x14ac:dyDescent="0.3">
      <c r="A63" s="10" t="s">
        <v>34</v>
      </c>
      <c r="B63" s="4">
        <f>B53+B54-B57</f>
        <v>90000</v>
      </c>
    </row>
    <row r="64" spans="1:2" x14ac:dyDescent="0.3">
      <c r="A64" s="12" t="s">
        <v>35</v>
      </c>
      <c r="B64" s="12"/>
    </row>
    <row r="66" spans="1:4" x14ac:dyDescent="0.3">
      <c r="A66" t="s">
        <v>36</v>
      </c>
      <c r="B66" t="str">
        <f>IF(B48&gt;B60, "Y", "N")</f>
        <v>Y</v>
      </c>
    </row>
    <row r="67" spans="1:4" x14ac:dyDescent="0.3">
      <c r="A67" t="s">
        <v>37</v>
      </c>
      <c r="B67" s="4" t="str">
        <f>IF(B66="N", B48-B60, "…")</f>
        <v>…</v>
      </c>
    </row>
    <row r="69" spans="1:4" x14ac:dyDescent="0.3">
      <c r="A69" s="12" t="s">
        <v>38</v>
      </c>
      <c r="B69" s="12"/>
    </row>
    <row r="70" spans="1:4" x14ac:dyDescent="0.3">
      <c r="A70" s="10" t="s">
        <v>39</v>
      </c>
      <c r="B70" t="str">
        <f>IF(B48&gt;0, "Y", "N")</f>
        <v>Y</v>
      </c>
    </row>
    <row r="71" spans="1:4" x14ac:dyDescent="0.3">
      <c r="A71" s="10" t="s">
        <v>40</v>
      </c>
      <c r="B71" t="str">
        <f>IF(B17=B16,"Y",IF(B17&gt;B16,"Y",IF(B17&lt;B16,"N","eRRoR")))</f>
        <v>Y</v>
      </c>
    </row>
    <row r="72" spans="1:4" x14ac:dyDescent="0.3">
      <c r="A72" s="10" t="s">
        <v>41</v>
      </c>
      <c r="B72" s="4" t="str">
        <f>IF(B71="N", B17-B16, "…")</f>
        <v>…</v>
      </c>
    </row>
    <row r="73" spans="1:4" ht="15" thickBot="1" x14ac:dyDescent="0.35">
      <c r="A73" s="11" t="s">
        <v>42</v>
      </c>
      <c r="B73" s="12"/>
      <c r="C73" s="12"/>
      <c r="D73" s="12"/>
    </row>
    <row r="74" spans="1:4" ht="15" thickBot="1" x14ac:dyDescent="0.35">
      <c r="A74" s="10" t="s">
        <v>49</v>
      </c>
      <c r="B74" s="15" t="s">
        <v>63</v>
      </c>
    </row>
    <row r="75" spans="1:4" x14ac:dyDescent="0.3">
      <c r="A75" s="10" t="s">
        <v>48</v>
      </c>
      <c r="B75" t="str">
        <f>IF(B74="G","Y",IF(B74="S","Y","N"))</f>
        <v>N</v>
      </c>
    </row>
  </sheetData>
  <conditionalFormatting sqref="B48">
    <cfRule type="cellIs" dxfId="106" priority="11" operator="equal">
      <formula>0</formula>
    </cfRule>
    <cfRule type="cellIs" dxfId="105" priority="12" operator="lessThan">
      <formula>0</formula>
    </cfRule>
    <cfRule type="cellIs" dxfId="104" priority="13" operator="greaterThan">
      <formula>0</formula>
    </cfRule>
  </conditionalFormatting>
  <conditionalFormatting sqref="B66">
    <cfRule type="containsText" dxfId="103" priority="9" operator="containsText" text="N">
      <formula>NOT(ISERROR(SEARCH("N",B66)))</formula>
    </cfRule>
    <cfRule type="containsText" dxfId="102" priority="10" operator="containsText" text="Y">
      <formula>NOT(ISERROR(SEARCH("Y",B66)))</formula>
    </cfRule>
  </conditionalFormatting>
  <conditionalFormatting sqref="B70:B71">
    <cfRule type="containsText" dxfId="101" priority="7" operator="containsText" text="N">
      <formula>NOT(ISERROR(SEARCH("N",B70)))</formula>
    </cfRule>
    <cfRule type="containsText" dxfId="100" priority="8" operator="containsText" text="Y">
      <formula>NOT(ISERROR(SEARCH("Y",B70)))</formula>
    </cfRule>
  </conditionalFormatting>
  <conditionalFormatting sqref="B75">
    <cfRule type="containsText" dxfId="99" priority="5" operator="containsText" text="N">
      <formula>NOT(ISERROR(SEARCH("N",B75)))</formula>
    </cfRule>
    <cfRule type="containsText" dxfId="98" priority="6" operator="containsText" text="Y">
      <formula>NOT(ISERROR(SEARCH("Y",B75)))</formula>
    </cfRule>
  </conditionalFormatting>
  <conditionalFormatting sqref="B17">
    <cfRule type="cellIs" dxfId="97" priority="2" operator="lessThan">
      <formula>$B$16</formula>
    </cfRule>
    <cfRule type="cellIs" dxfId="96" priority="3" operator="equal">
      <formula>$B$16</formula>
    </cfRule>
    <cfRule type="cellIs" dxfId="95" priority="4" operator="greaterThan">
      <formula>$B$16</formula>
    </cfRule>
  </conditionalFormatting>
  <conditionalFormatting sqref="B9">
    <cfRule type="cellIs" dxfId="94" priority="1" operator="greaterThan">
      <formula>$B$8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4D6E-FA78-43B0-927E-FD0AB50FCC32}">
  <sheetPr codeName="Sheet3"/>
  <dimension ref="A1:G77"/>
  <sheetViews>
    <sheetView workbookViewId="0">
      <selection activeCell="D72" sqref="D72"/>
    </sheetView>
  </sheetViews>
  <sheetFormatPr defaultRowHeight="14.4" x14ac:dyDescent="0.3"/>
  <cols>
    <col min="1" max="1" width="23.44140625" customWidth="1"/>
    <col min="2" max="2" width="11.5546875" bestFit="1" customWidth="1"/>
  </cols>
  <sheetData>
    <row r="1" spans="1:7" x14ac:dyDescent="0.3">
      <c r="A1" t="s">
        <v>11</v>
      </c>
    </row>
    <row r="3" spans="1:7" ht="15.6" customHeight="1" x14ac:dyDescent="0.3">
      <c r="A3" s="10" t="s">
        <v>12</v>
      </c>
      <c r="B3" s="26" t="s">
        <v>68</v>
      </c>
      <c r="C3" s="26"/>
      <c r="D3" s="26"/>
      <c r="E3" s="26"/>
      <c r="F3" s="26"/>
      <c r="G3" s="26"/>
    </row>
    <row r="4" spans="1:7" x14ac:dyDescent="0.3">
      <c r="A4" s="10" t="s">
        <v>66</v>
      </c>
      <c r="B4" t="s">
        <v>67</v>
      </c>
    </row>
    <row r="5" spans="1:7" x14ac:dyDescent="0.3">
      <c r="A5" s="10" t="s">
        <v>43</v>
      </c>
      <c r="B5" s="27"/>
    </row>
    <row r="6" spans="1:7" x14ac:dyDescent="0.3">
      <c r="A6" s="10"/>
      <c r="B6" s="27"/>
    </row>
    <row r="7" spans="1:7" x14ac:dyDescent="0.3">
      <c r="A7" s="10"/>
    </row>
    <row r="8" spans="1:7" x14ac:dyDescent="0.3">
      <c r="A8" s="10" t="s">
        <v>60</v>
      </c>
      <c r="B8" s="4">
        <f>B41</f>
        <v>70000</v>
      </c>
    </row>
    <row r="9" spans="1:7" x14ac:dyDescent="0.3">
      <c r="A9" s="18" t="s">
        <v>61</v>
      </c>
      <c r="B9" s="19">
        <f>B14+B15+B62</f>
        <v>49450</v>
      </c>
    </row>
    <row r="10" spans="1:7" x14ac:dyDescent="0.3">
      <c r="A10" s="10" t="s">
        <v>62</v>
      </c>
      <c r="B10" s="4">
        <f>B8-B9</f>
        <v>20550</v>
      </c>
      <c r="E10" s="17"/>
    </row>
    <row r="11" spans="1:7" x14ac:dyDescent="0.3">
      <c r="A11" s="10" t="s">
        <v>70</v>
      </c>
      <c r="B11" s="17">
        <f>B50/B62</f>
        <v>4.1860465116279073</v>
      </c>
    </row>
    <row r="12" spans="1:7" x14ac:dyDescent="0.3">
      <c r="A12" s="10" t="s">
        <v>71</v>
      </c>
      <c r="B12" s="17">
        <f>B19/B62</f>
        <v>4.2994186046511625E-2</v>
      </c>
    </row>
    <row r="13" spans="1:7" ht="15" thickBot="1" x14ac:dyDescent="0.35">
      <c r="B13" s="4"/>
    </row>
    <row r="14" spans="1:7" ht="15" thickBot="1" x14ac:dyDescent="0.35">
      <c r="A14" s="10" t="s">
        <v>50</v>
      </c>
      <c r="B14" s="3">
        <v>43000</v>
      </c>
    </row>
    <row r="15" spans="1:7" ht="15" thickBot="1" x14ac:dyDescent="0.35">
      <c r="A15" s="10" t="s">
        <v>14</v>
      </c>
      <c r="B15" s="3">
        <v>0</v>
      </c>
    </row>
    <row r="16" spans="1:7" ht="15" thickBot="1" x14ac:dyDescent="0.35">
      <c r="A16" s="10" t="s">
        <v>15</v>
      </c>
      <c r="B16" s="3">
        <v>100000</v>
      </c>
    </row>
    <row r="17" spans="1:6" ht="15" thickBot="1" x14ac:dyDescent="0.35">
      <c r="A17" s="10"/>
      <c r="B17" s="3"/>
    </row>
    <row r="18" spans="1:6" ht="15" thickBot="1" x14ac:dyDescent="0.35">
      <c r="A18" s="10" t="s">
        <v>16</v>
      </c>
      <c r="B18" s="3">
        <v>1000</v>
      </c>
    </row>
    <row r="19" spans="1:6" ht="15" thickBot="1" x14ac:dyDescent="0.35">
      <c r="A19" s="10" t="s">
        <v>17</v>
      </c>
      <c r="B19" s="4">
        <f>B20-B35</f>
        <v>277.3125</v>
      </c>
    </row>
    <row r="20" spans="1:6" ht="15" thickBot="1" x14ac:dyDescent="0.35">
      <c r="A20" s="10" t="s">
        <v>51</v>
      </c>
      <c r="B20" s="3">
        <v>800</v>
      </c>
    </row>
    <row r="21" spans="1:6" x14ac:dyDescent="0.3">
      <c r="A21" s="10" t="s">
        <v>52</v>
      </c>
      <c r="B21" s="4">
        <f>B20*12</f>
        <v>9600</v>
      </c>
    </row>
    <row r="22" spans="1:6" x14ac:dyDescent="0.3">
      <c r="A22" s="10"/>
      <c r="B22" s="4"/>
    </row>
    <row r="23" spans="1:6" x14ac:dyDescent="0.3">
      <c r="A23" s="10"/>
    </row>
    <row r="24" spans="1:6" x14ac:dyDescent="0.3">
      <c r="A24" s="12" t="s">
        <v>18</v>
      </c>
      <c r="B24" s="12"/>
      <c r="C24" s="12"/>
    </row>
    <row r="26" spans="1:6" ht="15" thickBot="1" x14ac:dyDescent="0.35">
      <c r="A26" s="11" t="s">
        <v>19</v>
      </c>
      <c r="B26" s="12"/>
      <c r="C26" s="12"/>
      <c r="D26" s="12"/>
      <c r="E26" s="12"/>
      <c r="F26" s="12"/>
    </row>
    <row r="27" spans="1:6" ht="15" thickBot="1" x14ac:dyDescent="0.35">
      <c r="A27" s="10" t="s">
        <v>56</v>
      </c>
      <c r="B27" s="14">
        <v>1.7000000000000001E-2</v>
      </c>
    </row>
    <row r="28" spans="1:6" x14ac:dyDescent="0.3">
      <c r="A28" s="10" t="s">
        <v>44</v>
      </c>
      <c r="B28" s="4">
        <f>B39*B27</f>
        <v>1700.0000000000002</v>
      </c>
    </row>
    <row r="29" spans="1:6" ht="15" thickBot="1" x14ac:dyDescent="0.35">
      <c r="A29" s="10" t="s">
        <v>65</v>
      </c>
      <c r="B29" s="4">
        <f>B28/12</f>
        <v>141.66666666666669</v>
      </c>
    </row>
    <row r="30" spans="1:6" ht="15" thickBot="1" x14ac:dyDescent="0.35">
      <c r="A30" s="10" t="s">
        <v>53</v>
      </c>
      <c r="B30" s="14">
        <v>6.7500000000000004E-2</v>
      </c>
    </row>
    <row r="31" spans="1:6" x14ac:dyDescent="0.3">
      <c r="A31" s="10" t="s">
        <v>55</v>
      </c>
      <c r="B31" s="4">
        <f>(B65*B30)</f>
        <v>2612.25</v>
      </c>
    </row>
    <row r="32" spans="1:6" x14ac:dyDescent="0.3">
      <c r="A32" s="10" t="s">
        <v>54</v>
      </c>
      <c r="B32" s="4">
        <f>B31/12</f>
        <v>217.6875</v>
      </c>
    </row>
    <row r="33" spans="1:6" x14ac:dyDescent="0.3">
      <c r="A33" s="10" t="s">
        <v>58</v>
      </c>
      <c r="B33" s="4">
        <f>(B39*1%)/12</f>
        <v>83.333333333333329</v>
      </c>
    </row>
    <row r="34" spans="1:6" x14ac:dyDescent="0.3">
      <c r="A34" s="10" t="s">
        <v>69</v>
      </c>
      <c r="B34" s="4">
        <f>B20*10%</f>
        <v>80</v>
      </c>
    </row>
    <row r="35" spans="1:6" x14ac:dyDescent="0.3">
      <c r="A35" s="10" t="s">
        <v>59</v>
      </c>
      <c r="B35" s="4">
        <f>B33+B32+B34+(B28/12)</f>
        <v>522.6875</v>
      </c>
    </row>
    <row r="37" spans="1:6" x14ac:dyDescent="0.3">
      <c r="A37" s="12" t="s">
        <v>20</v>
      </c>
      <c r="B37" s="12"/>
      <c r="C37" s="12"/>
    </row>
    <row r="39" spans="1:6" x14ac:dyDescent="0.3">
      <c r="A39" s="10" t="s">
        <v>22</v>
      </c>
      <c r="B39" s="4">
        <f>B16</f>
        <v>100000</v>
      </c>
    </row>
    <row r="40" spans="1:6" x14ac:dyDescent="0.3">
      <c r="A40" s="10" t="s">
        <v>45</v>
      </c>
      <c r="B40" s="1">
        <v>0.7</v>
      </c>
    </row>
    <row r="41" spans="1:6" x14ac:dyDescent="0.3">
      <c r="A41" s="10" t="s">
        <v>21</v>
      </c>
      <c r="B41" s="4">
        <f>B39*B40</f>
        <v>70000</v>
      </c>
    </row>
    <row r="42" spans="1:6" x14ac:dyDescent="0.3">
      <c r="A42" s="10"/>
    </row>
    <row r="44" spans="1:6" x14ac:dyDescent="0.3">
      <c r="A44" s="11" t="s">
        <v>23</v>
      </c>
      <c r="B44" s="12"/>
      <c r="C44" s="12"/>
      <c r="D44" s="12"/>
      <c r="E44" s="12"/>
      <c r="F44" s="12"/>
    </row>
    <row r="45" spans="1:6" x14ac:dyDescent="0.3">
      <c r="A45" s="11" t="s">
        <v>24</v>
      </c>
      <c r="B45" s="12"/>
      <c r="C45" s="12"/>
      <c r="D45" s="12"/>
      <c r="E45" s="12"/>
      <c r="F45" s="12"/>
    </row>
    <row r="47" spans="1:6" x14ac:dyDescent="0.3">
      <c r="A47" s="10" t="s">
        <v>46</v>
      </c>
      <c r="B47" s="4">
        <f>B41</f>
        <v>70000</v>
      </c>
    </row>
    <row r="48" spans="1:6" x14ac:dyDescent="0.3">
      <c r="A48" s="10" t="s">
        <v>13</v>
      </c>
      <c r="B48" s="4">
        <f>B14</f>
        <v>43000</v>
      </c>
    </row>
    <row r="49" spans="1:2" x14ac:dyDescent="0.3">
      <c r="A49" s="10" t="s">
        <v>26</v>
      </c>
      <c r="B49" s="4">
        <f>B15</f>
        <v>0</v>
      </c>
    </row>
    <row r="50" spans="1:2" x14ac:dyDescent="0.3">
      <c r="A50" s="10" t="s">
        <v>25</v>
      </c>
      <c r="B50" s="4">
        <f>(B47-B48-B49)</f>
        <v>27000</v>
      </c>
    </row>
    <row r="53" spans="1:2" x14ac:dyDescent="0.3">
      <c r="A53" s="13" t="s">
        <v>27</v>
      </c>
    </row>
    <row r="55" spans="1:2" x14ac:dyDescent="0.3">
      <c r="A55" s="10" t="s">
        <v>13</v>
      </c>
      <c r="B55" s="4">
        <f>B14</f>
        <v>43000</v>
      </c>
    </row>
    <row r="56" spans="1:2" x14ac:dyDescent="0.3">
      <c r="A56" s="10" t="s">
        <v>26</v>
      </c>
      <c r="B56" s="4">
        <f>B15</f>
        <v>0</v>
      </c>
    </row>
    <row r="57" spans="1:2" ht="15" thickBot="1" x14ac:dyDescent="0.35">
      <c r="A57" s="10" t="s">
        <v>47</v>
      </c>
      <c r="B57" s="4">
        <f>SUM(B55:B56)</f>
        <v>43000</v>
      </c>
    </row>
    <row r="58" spans="1:2" ht="15" thickBot="1" x14ac:dyDescent="0.35">
      <c r="A58" s="10" t="s">
        <v>31</v>
      </c>
      <c r="B58" s="2">
        <v>0.1</v>
      </c>
    </row>
    <row r="59" spans="1:2" ht="15" thickBot="1" x14ac:dyDescent="0.35">
      <c r="A59" s="10" t="s">
        <v>28</v>
      </c>
      <c r="B59" s="4">
        <f>B57*B58</f>
        <v>4300</v>
      </c>
    </row>
    <row r="60" spans="1:2" ht="15" thickBot="1" x14ac:dyDescent="0.35">
      <c r="A60" s="10" t="s">
        <v>30</v>
      </c>
      <c r="B60" s="2">
        <v>0.05</v>
      </c>
    </row>
    <row r="61" spans="1:2" x14ac:dyDescent="0.3">
      <c r="A61" s="10" t="s">
        <v>29</v>
      </c>
      <c r="B61" s="4">
        <f>B57*B60</f>
        <v>2150</v>
      </c>
    </row>
    <row r="62" spans="1:2" x14ac:dyDescent="0.3">
      <c r="A62" s="10" t="s">
        <v>32</v>
      </c>
      <c r="B62" s="4">
        <f>B59+B61</f>
        <v>6450</v>
      </c>
    </row>
    <row r="63" spans="1:2" x14ac:dyDescent="0.3">
      <c r="A63" s="12" t="s">
        <v>33</v>
      </c>
    </row>
    <row r="65" spans="1:4" x14ac:dyDescent="0.3">
      <c r="A65" s="10" t="s">
        <v>34</v>
      </c>
      <c r="B65" s="4">
        <f>B55+B56-B59</f>
        <v>38700</v>
      </c>
    </row>
    <row r="66" spans="1:4" x14ac:dyDescent="0.3">
      <c r="A66" s="12" t="s">
        <v>35</v>
      </c>
      <c r="B66" s="12"/>
    </row>
    <row r="68" spans="1:4" x14ac:dyDescent="0.3">
      <c r="A68" t="s">
        <v>36</v>
      </c>
      <c r="B68" t="str">
        <f>IF(B50&gt;B62, "Y", "N")</f>
        <v>Y</v>
      </c>
    </row>
    <row r="69" spans="1:4" x14ac:dyDescent="0.3">
      <c r="A69" t="s">
        <v>37</v>
      </c>
      <c r="B69" s="4" t="str">
        <f>IF(B68="N", B50-B62, "…")</f>
        <v>…</v>
      </c>
    </row>
    <row r="71" spans="1:4" x14ac:dyDescent="0.3">
      <c r="A71" s="12" t="s">
        <v>38</v>
      </c>
      <c r="B71" s="12"/>
    </row>
    <row r="72" spans="1:4" x14ac:dyDescent="0.3">
      <c r="A72" s="10" t="s">
        <v>39</v>
      </c>
      <c r="B72" t="str">
        <f>IF(B50&gt;0, "Y", "N")</f>
        <v>Y</v>
      </c>
    </row>
    <row r="73" spans="1:4" x14ac:dyDescent="0.3">
      <c r="A73" s="10" t="s">
        <v>40</v>
      </c>
      <c r="B73" t="str">
        <f>IF(B19=B18,"Y",IF(B19&gt;B18,"Y",IF(B19&lt;B18,"N","eRRoR")))</f>
        <v>N</v>
      </c>
    </row>
    <row r="74" spans="1:4" x14ac:dyDescent="0.3">
      <c r="A74" s="10" t="s">
        <v>41</v>
      </c>
      <c r="B74" s="4">
        <f>IF(B73="N", B19-B18, "…")</f>
        <v>-722.6875</v>
      </c>
    </row>
    <row r="75" spans="1:4" ht="15" thickBot="1" x14ac:dyDescent="0.35">
      <c r="A75" s="11" t="s">
        <v>42</v>
      </c>
      <c r="B75" s="12"/>
      <c r="C75" s="12"/>
      <c r="D75" s="12"/>
    </row>
    <row r="76" spans="1:4" ht="15" thickBot="1" x14ac:dyDescent="0.35">
      <c r="A76" s="10" t="s">
        <v>49</v>
      </c>
      <c r="B76" s="15" t="s">
        <v>72</v>
      </c>
    </row>
    <row r="77" spans="1:4" x14ac:dyDescent="0.3">
      <c r="A77" s="10" t="s">
        <v>48</v>
      </c>
      <c r="B77" t="str">
        <f>IF(B76="G","Y",IF(B76="S","Y","N"))</f>
        <v>Y</v>
      </c>
    </row>
  </sheetData>
  <mergeCells count="2">
    <mergeCell ref="B3:G3"/>
    <mergeCell ref="B5:B6"/>
  </mergeCells>
  <conditionalFormatting sqref="B50">
    <cfRule type="cellIs" dxfId="93" priority="11" operator="equal">
      <formula>0</formula>
    </cfRule>
    <cfRule type="cellIs" dxfId="92" priority="12" operator="lessThan">
      <formula>0</formula>
    </cfRule>
    <cfRule type="cellIs" dxfId="91" priority="13" operator="greaterThan">
      <formula>0</formula>
    </cfRule>
  </conditionalFormatting>
  <conditionalFormatting sqref="B68">
    <cfRule type="containsText" dxfId="90" priority="9" operator="containsText" text="N">
      <formula>NOT(ISERROR(SEARCH("N",B68)))</formula>
    </cfRule>
    <cfRule type="containsText" dxfId="89" priority="10" operator="containsText" text="Y">
      <formula>NOT(ISERROR(SEARCH("Y",B68)))</formula>
    </cfRule>
  </conditionalFormatting>
  <conditionalFormatting sqref="B72:B73">
    <cfRule type="containsText" dxfId="88" priority="7" operator="containsText" text="N">
      <formula>NOT(ISERROR(SEARCH("N",B72)))</formula>
    </cfRule>
    <cfRule type="containsText" dxfId="87" priority="8" operator="containsText" text="Y">
      <formula>NOT(ISERROR(SEARCH("Y",B72)))</formula>
    </cfRule>
  </conditionalFormatting>
  <conditionalFormatting sqref="B77">
    <cfRule type="containsText" dxfId="86" priority="5" operator="containsText" text="N">
      <formula>NOT(ISERROR(SEARCH("N",B77)))</formula>
    </cfRule>
    <cfRule type="containsText" dxfId="85" priority="6" operator="containsText" text="Y">
      <formula>NOT(ISERROR(SEARCH("Y",B77)))</formula>
    </cfRule>
  </conditionalFormatting>
  <conditionalFormatting sqref="B19">
    <cfRule type="cellIs" dxfId="84" priority="2" operator="lessThan">
      <formula>$B$18</formula>
    </cfRule>
    <cfRule type="cellIs" dxfId="83" priority="3" operator="equal">
      <formula>$B$18</formula>
    </cfRule>
    <cfRule type="cellIs" dxfId="82" priority="4" operator="greaterThan">
      <formula>$B$18</formula>
    </cfRule>
  </conditionalFormatting>
  <conditionalFormatting sqref="B9">
    <cfRule type="cellIs" dxfId="81" priority="1" operator="greaterThan">
      <formula>$B$8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305B-8056-4393-8C11-A91184E64CA0}">
  <sheetPr codeName="Sheet4"/>
  <dimension ref="A1:O79"/>
  <sheetViews>
    <sheetView workbookViewId="0">
      <pane ySplit="1" topLeftCell="A2" activePane="bottomLeft" state="frozen"/>
      <selection pane="bottomLeft" activeCell="B3" sqref="B3:G3"/>
    </sheetView>
  </sheetViews>
  <sheetFormatPr defaultRowHeight="14.4" x14ac:dyDescent="0.3"/>
  <cols>
    <col min="1" max="1" width="23.44140625" customWidth="1"/>
    <col min="2" max="2" width="15.109375" customWidth="1"/>
    <col min="5" max="5" width="11.5546875" bestFit="1" customWidth="1"/>
    <col min="7" max="7" width="11.5546875" bestFit="1" customWidth="1"/>
    <col min="9" max="9" width="11.109375" bestFit="1" customWidth="1"/>
    <col min="11" max="11" width="10.5546875" bestFit="1" customWidth="1"/>
    <col min="13" max="13" width="10.5546875" bestFit="1" customWidth="1"/>
    <col min="15" max="15" width="9.5546875" bestFit="1" customWidth="1"/>
  </cols>
  <sheetData>
    <row r="1" spans="1:15" x14ac:dyDescent="0.3">
      <c r="B1" t="s">
        <v>43</v>
      </c>
      <c r="C1" s="5" t="str">
        <f>IF(B9&gt;B8,"NOPE",IF(C79=4,"GOLDEN",IF(C79=3,"Mayyybe…",IF(C79&lt;3,"Yeah…NO"))))</f>
        <v>GOLDEN</v>
      </c>
      <c r="D1" t="s">
        <v>84</v>
      </c>
      <c r="E1" s="4">
        <f>B8</f>
        <v>175000</v>
      </c>
      <c r="F1" t="s">
        <v>85</v>
      </c>
      <c r="G1" s="19">
        <f>B9</f>
        <v>172500</v>
      </c>
      <c r="H1" t="s">
        <v>86</v>
      </c>
      <c r="I1" s="4">
        <f>B10</f>
        <v>2500</v>
      </c>
      <c r="J1" t="s">
        <v>87</v>
      </c>
      <c r="K1" s="4">
        <f>B62</f>
        <v>22500</v>
      </c>
      <c r="L1" t="s">
        <v>88</v>
      </c>
      <c r="M1" s="4">
        <f>B50</f>
        <v>25000</v>
      </c>
      <c r="N1" t="s">
        <v>89</v>
      </c>
      <c r="O1" s="4">
        <f>B10</f>
        <v>2500</v>
      </c>
    </row>
    <row r="2" spans="1:15" x14ac:dyDescent="0.3">
      <c r="A2" t="s">
        <v>11</v>
      </c>
      <c r="C2" s="24"/>
    </row>
    <row r="3" spans="1:15" ht="15.6" customHeight="1" x14ac:dyDescent="0.3">
      <c r="A3" s="10" t="s">
        <v>12</v>
      </c>
      <c r="B3" s="26"/>
      <c r="C3" s="26"/>
      <c r="D3" s="26"/>
      <c r="E3" s="26"/>
      <c r="F3" s="26"/>
      <c r="G3" s="26"/>
    </row>
    <row r="4" spans="1:15" x14ac:dyDescent="0.3">
      <c r="A4" s="10" t="s">
        <v>66</v>
      </c>
      <c r="B4" t="s">
        <v>67</v>
      </c>
    </row>
    <row r="5" spans="1:15" x14ac:dyDescent="0.3">
      <c r="A5" s="10" t="s">
        <v>43</v>
      </c>
      <c r="B5" s="28" t="str">
        <f>IF(B9&gt;B8,"NOPE",IF(C79=4,"GOLDEN",IF(C79=3,"Mayyybe…",IF(C79&lt;3,"Yeah…NO"))))</f>
        <v>GOLDEN</v>
      </c>
    </row>
    <row r="6" spans="1:15" x14ac:dyDescent="0.3">
      <c r="A6" s="10"/>
      <c r="B6" s="28"/>
    </row>
    <row r="7" spans="1:15" x14ac:dyDescent="0.3">
      <c r="A7" s="10"/>
    </row>
    <row r="8" spans="1:15" x14ac:dyDescent="0.3">
      <c r="A8" s="10" t="s">
        <v>60</v>
      </c>
      <c r="B8" s="4">
        <f>B41</f>
        <v>175000</v>
      </c>
    </row>
    <row r="9" spans="1:15" x14ac:dyDescent="0.3">
      <c r="A9" s="18" t="s">
        <v>61</v>
      </c>
      <c r="B9" s="19">
        <f>B14+B15+B62</f>
        <v>172500</v>
      </c>
    </row>
    <row r="10" spans="1:15" x14ac:dyDescent="0.3">
      <c r="A10" s="10" t="s">
        <v>62</v>
      </c>
      <c r="B10" s="4">
        <f>B8-B9</f>
        <v>2500</v>
      </c>
      <c r="E10" s="17"/>
    </row>
    <row r="11" spans="1:15" x14ac:dyDescent="0.3">
      <c r="A11" s="10" t="s">
        <v>70</v>
      </c>
      <c r="B11" s="17">
        <f>B50/B62</f>
        <v>1.1111111111111112</v>
      </c>
    </row>
    <row r="12" spans="1:15" x14ac:dyDescent="0.3">
      <c r="A12" s="10" t="s">
        <v>71</v>
      </c>
      <c r="B12" s="17">
        <f>B19/B62</f>
        <v>6.2222222222222213E-2</v>
      </c>
    </row>
    <row r="13" spans="1:15" ht="15" thickBot="1" x14ac:dyDescent="0.35">
      <c r="B13" s="4"/>
    </row>
    <row r="14" spans="1:15" ht="15" thickBot="1" x14ac:dyDescent="0.35">
      <c r="A14" s="10" t="s">
        <v>50</v>
      </c>
      <c r="B14" s="20">
        <v>100000</v>
      </c>
    </row>
    <row r="15" spans="1:15" ht="15" thickBot="1" x14ac:dyDescent="0.35">
      <c r="A15" s="10" t="s">
        <v>14</v>
      </c>
      <c r="B15" s="20">
        <v>50000</v>
      </c>
    </row>
    <row r="16" spans="1:15" ht="15" thickBot="1" x14ac:dyDescent="0.35">
      <c r="A16" s="10" t="s">
        <v>15</v>
      </c>
      <c r="B16" s="20">
        <v>250000</v>
      </c>
    </row>
    <row r="17" spans="1:6" ht="15" thickBot="1" x14ac:dyDescent="0.35">
      <c r="A17" s="10"/>
      <c r="B17" s="20"/>
    </row>
    <row r="18" spans="1:6" ht="15" thickBot="1" x14ac:dyDescent="0.35">
      <c r="A18" s="10" t="s">
        <v>16</v>
      </c>
      <c r="B18" s="20">
        <v>1000</v>
      </c>
    </row>
    <row r="19" spans="1:6" ht="15" thickBot="1" x14ac:dyDescent="0.35">
      <c r="A19" s="10" t="s">
        <v>17</v>
      </c>
      <c r="B19" s="4">
        <f>B20-B35</f>
        <v>1399.9999999999998</v>
      </c>
    </row>
    <row r="20" spans="1:6" ht="15" thickBot="1" x14ac:dyDescent="0.35">
      <c r="A20" s="10" t="s">
        <v>51</v>
      </c>
      <c r="B20" s="20">
        <v>3000</v>
      </c>
    </row>
    <row r="21" spans="1:6" x14ac:dyDescent="0.3">
      <c r="A21" s="10" t="s">
        <v>52</v>
      </c>
      <c r="B21" s="4">
        <f>B20*12</f>
        <v>36000</v>
      </c>
    </row>
    <row r="22" spans="1:6" x14ac:dyDescent="0.3">
      <c r="A22" s="10"/>
      <c r="B22" s="4"/>
    </row>
    <row r="23" spans="1:6" x14ac:dyDescent="0.3">
      <c r="A23" s="10"/>
    </row>
    <row r="24" spans="1:6" x14ac:dyDescent="0.3">
      <c r="A24" s="12" t="s">
        <v>18</v>
      </c>
      <c r="B24" s="12"/>
      <c r="C24" s="12"/>
    </row>
    <row r="26" spans="1:6" ht="15" thickBot="1" x14ac:dyDescent="0.35">
      <c r="A26" s="11" t="s">
        <v>19</v>
      </c>
      <c r="B26" s="12"/>
      <c r="C26" s="12"/>
      <c r="D26" s="12"/>
      <c r="E26" s="12"/>
      <c r="F26" s="12"/>
    </row>
    <row r="27" spans="1:6" ht="15" thickBot="1" x14ac:dyDescent="0.35">
      <c r="A27" s="10" t="s">
        <v>56</v>
      </c>
      <c r="B27" s="21">
        <v>0.02</v>
      </c>
    </row>
    <row r="28" spans="1:6" x14ac:dyDescent="0.3">
      <c r="A28" s="10" t="s">
        <v>44</v>
      </c>
      <c r="B28" s="4">
        <f>B39*B27</f>
        <v>5000</v>
      </c>
    </row>
    <row r="29" spans="1:6" ht="15" thickBot="1" x14ac:dyDescent="0.35">
      <c r="A29" s="10" t="s">
        <v>65</v>
      </c>
      <c r="B29" s="4">
        <f>B28/12</f>
        <v>416.66666666666669</v>
      </c>
    </row>
    <row r="30" spans="1:6" ht="15" thickBot="1" x14ac:dyDescent="0.35">
      <c r="A30" s="10" t="s">
        <v>53</v>
      </c>
      <c r="B30" s="21">
        <v>0.06</v>
      </c>
    </row>
    <row r="31" spans="1:6" x14ac:dyDescent="0.3">
      <c r="A31" s="10" t="s">
        <v>55</v>
      </c>
      <c r="B31" s="4">
        <f>(B65*B30)</f>
        <v>8100</v>
      </c>
    </row>
    <row r="32" spans="1:6" x14ac:dyDescent="0.3">
      <c r="A32" s="10" t="s">
        <v>54</v>
      </c>
      <c r="B32" s="4">
        <f>B31/12</f>
        <v>675</v>
      </c>
    </row>
    <row r="33" spans="1:6" x14ac:dyDescent="0.3">
      <c r="A33" s="10" t="s">
        <v>58</v>
      </c>
      <c r="B33" s="4">
        <f>(B39*1%)/12</f>
        <v>208.33333333333334</v>
      </c>
    </row>
    <row r="34" spans="1:6" x14ac:dyDescent="0.3">
      <c r="A34" s="10" t="s">
        <v>69</v>
      </c>
      <c r="B34" s="4">
        <f>B20*10%</f>
        <v>300</v>
      </c>
    </row>
    <row r="35" spans="1:6" x14ac:dyDescent="0.3">
      <c r="A35" s="10" t="s">
        <v>59</v>
      </c>
      <c r="B35" s="4">
        <f>B33+B32+B34+(B28/12)</f>
        <v>1600.0000000000002</v>
      </c>
    </row>
    <row r="37" spans="1:6" x14ac:dyDescent="0.3">
      <c r="A37" s="12" t="s">
        <v>20</v>
      </c>
      <c r="B37" s="12"/>
      <c r="C37" s="12"/>
    </row>
    <row r="39" spans="1:6" x14ac:dyDescent="0.3">
      <c r="A39" s="10" t="s">
        <v>22</v>
      </c>
      <c r="B39" s="4">
        <f>B16</f>
        <v>250000</v>
      </c>
    </row>
    <row r="40" spans="1:6" x14ac:dyDescent="0.3">
      <c r="A40" s="10" t="s">
        <v>45</v>
      </c>
      <c r="B40" s="1">
        <v>0.7</v>
      </c>
    </row>
    <row r="41" spans="1:6" x14ac:dyDescent="0.3">
      <c r="A41" s="10" t="s">
        <v>21</v>
      </c>
      <c r="B41" s="4">
        <f>B39*B40</f>
        <v>175000</v>
      </c>
    </row>
    <row r="42" spans="1:6" x14ac:dyDescent="0.3">
      <c r="A42" s="10"/>
    </row>
    <row r="44" spans="1:6" x14ac:dyDescent="0.3">
      <c r="A44" s="11" t="s">
        <v>23</v>
      </c>
      <c r="B44" s="12"/>
      <c r="C44" s="12"/>
      <c r="D44" s="12"/>
      <c r="E44" s="12"/>
      <c r="F44" s="12"/>
    </row>
    <row r="45" spans="1:6" x14ac:dyDescent="0.3">
      <c r="A45" s="11" t="s">
        <v>24</v>
      </c>
      <c r="B45" s="12"/>
      <c r="C45" s="12"/>
      <c r="D45" s="12"/>
      <c r="E45" s="12"/>
      <c r="F45" s="12"/>
    </row>
    <row r="47" spans="1:6" x14ac:dyDescent="0.3">
      <c r="A47" s="10" t="s">
        <v>46</v>
      </c>
      <c r="B47" s="4">
        <f>B41</f>
        <v>175000</v>
      </c>
    </row>
    <row r="48" spans="1:6" x14ac:dyDescent="0.3">
      <c r="A48" s="10" t="s">
        <v>13</v>
      </c>
      <c r="B48" s="4">
        <f>B14</f>
        <v>100000</v>
      </c>
    </row>
    <row r="49" spans="1:2" x14ac:dyDescent="0.3">
      <c r="A49" s="10" t="s">
        <v>26</v>
      </c>
      <c r="B49" s="4">
        <f>B15</f>
        <v>50000</v>
      </c>
    </row>
    <row r="50" spans="1:2" x14ac:dyDescent="0.3">
      <c r="A50" s="10" t="s">
        <v>25</v>
      </c>
      <c r="B50" s="4">
        <f>(B47-B48-B49)</f>
        <v>25000</v>
      </c>
    </row>
    <row r="53" spans="1:2" x14ac:dyDescent="0.3">
      <c r="A53" s="13" t="s">
        <v>27</v>
      </c>
    </row>
    <row r="55" spans="1:2" x14ac:dyDescent="0.3">
      <c r="A55" s="10" t="s">
        <v>13</v>
      </c>
      <c r="B55" s="4">
        <f>B14</f>
        <v>100000</v>
      </c>
    </row>
    <row r="56" spans="1:2" x14ac:dyDescent="0.3">
      <c r="A56" s="10" t="s">
        <v>26</v>
      </c>
      <c r="B56" s="4">
        <f>B15</f>
        <v>50000</v>
      </c>
    </row>
    <row r="57" spans="1:2" ht="15" thickBot="1" x14ac:dyDescent="0.35">
      <c r="A57" s="10" t="s">
        <v>47</v>
      </c>
      <c r="B57" s="4">
        <f>SUM(B55:B56)</f>
        <v>150000</v>
      </c>
    </row>
    <row r="58" spans="1:2" ht="15" thickBot="1" x14ac:dyDescent="0.35">
      <c r="A58" s="10" t="s">
        <v>31</v>
      </c>
      <c r="B58" s="22">
        <v>0.1</v>
      </c>
    </row>
    <row r="59" spans="1:2" ht="15" thickBot="1" x14ac:dyDescent="0.35">
      <c r="A59" s="10" t="s">
        <v>28</v>
      </c>
      <c r="B59" s="4">
        <f>B57*B58</f>
        <v>15000</v>
      </c>
    </row>
    <row r="60" spans="1:2" ht="15" thickBot="1" x14ac:dyDescent="0.35">
      <c r="A60" s="10" t="s">
        <v>30</v>
      </c>
      <c r="B60" s="22">
        <v>0.05</v>
      </c>
    </row>
    <row r="61" spans="1:2" x14ac:dyDescent="0.3">
      <c r="A61" s="10" t="s">
        <v>29</v>
      </c>
      <c r="B61" s="4">
        <f>B57*B60</f>
        <v>7500</v>
      </c>
    </row>
    <row r="62" spans="1:2" x14ac:dyDescent="0.3">
      <c r="A62" s="10" t="s">
        <v>32</v>
      </c>
      <c r="B62" s="4">
        <f>B59+B61</f>
        <v>22500</v>
      </c>
    </row>
    <row r="63" spans="1:2" x14ac:dyDescent="0.3">
      <c r="A63" s="12" t="s">
        <v>33</v>
      </c>
    </row>
    <row r="65" spans="1:4" x14ac:dyDescent="0.3">
      <c r="A65" s="10" t="s">
        <v>34</v>
      </c>
      <c r="B65" s="4">
        <f>B55+B56-B59</f>
        <v>135000</v>
      </c>
    </row>
    <row r="66" spans="1:4" x14ac:dyDescent="0.3">
      <c r="A66" s="12" t="s">
        <v>35</v>
      </c>
      <c r="B66" s="12"/>
    </row>
    <row r="68" spans="1:4" x14ac:dyDescent="0.3">
      <c r="A68" t="s">
        <v>36</v>
      </c>
      <c r="B68" t="str">
        <f>IF(B50&gt;B62, "Y", "N")</f>
        <v>Y</v>
      </c>
      <c r="C68">
        <f>IF(B68="Y", 1, 0)</f>
        <v>1</v>
      </c>
    </row>
    <row r="69" spans="1:4" x14ac:dyDescent="0.3">
      <c r="A69" t="s">
        <v>37</v>
      </c>
      <c r="B69" s="4" t="str">
        <f>IF(B68="N", B50-B62, "…")</f>
        <v>…</v>
      </c>
    </row>
    <row r="71" spans="1:4" x14ac:dyDescent="0.3">
      <c r="A71" s="12" t="s">
        <v>38</v>
      </c>
      <c r="B71" s="12"/>
    </row>
    <row r="72" spans="1:4" x14ac:dyDescent="0.3">
      <c r="A72" s="10" t="s">
        <v>39</v>
      </c>
      <c r="B72" t="str">
        <f>IF(B50&gt;0, "Y", "N")</f>
        <v>Y</v>
      </c>
      <c r="C72">
        <f>IF(B72="Y", 1, 0)</f>
        <v>1</v>
      </c>
    </row>
    <row r="73" spans="1:4" x14ac:dyDescent="0.3">
      <c r="A73" s="10" t="s">
        <v>40</v>
      </c>
      <c r="B73" t="str">
        <f>IF(B19=B18,"Y",IF(B19&gt;B18,"Y",IF(B19&lt;B18,"N","eRRoR")))</f>
        <v>Y</v>
      </c>
      <c r="C73">
        <f>IF(B73="Y", 1, 0)</f>
        <v>1</v>
      </c>
    </row>
    <row r="74" spans="1:4" x14ac:dyDescent="0.3">
      <c r="A74" s="10" t="s">
        <v>41</v>
      </c>
      <c r="B74" s="4" t="str">
        <f>IF(B73="N", B19-B18, "…")</f>
        <v>…</v>
      </c>
    </row>
    <row r="75" spans="1:4" ht="15" thickBot="1" x14ac:dyDescent="0.35">
      <c r="A75" s="11" t="s">
        <v>42</v>
      </c>
      <c r="B75" s="12"/>
      <c r="C75" s="12"/>
      <c r="D75" s="12"/>
    </row>
    <row r="76" spans="1:4" ht="15" thickBot="1" x14ac:dyDescent="0.35">
      <c r="A76" s="10" t="s">
        <v>49</v>
      </c>
      <c r="B76" s="23" t="s">
        <v>72</v>
      </c>
    </row>
    <row r="77" spans="1:4" x14ac:dyDescent="0.3">
      <c r="A77" s="10" t="s">
        <v>48</v>
      </c>
      <c r="B77" t="str">
        <f>IF(B76="G","Y",IF(B76="S","Y","N"))</f>
        <v>Y</v>
      </c>
      <c r="C77">
        <f>IF(B77="Y", 1, 0)</f>
        <v>1</v>
      </c>
    </row>
    <row r="79" spans="1:4" x14ac:dyDescent="0.3">
      <c r="A79" s="10" t="s">
        <v>83</v>
      </c>
      <c r="C79">
        <f>SUM(C68+C72+C73+C77)</f>
        <v>4</v>
      </c>
    </row>
  </sheetData>
  <mergeCells count="2">
    <mergeCell ref="B5:B6"/>
    <mergeCell ref="B3:G3"/>
  </mergeCells>
  <conditionalFormatting sqref="B50">
    <cfRule type="cellIs" dxfId="80" priority="18" operator="equal">
      <formula>0</formula>
    </cfRule>
    <cfRule type="cellIs" dxfId="79" priority="19" operator="lessThan">
      <formula>0</formula>
    </cfRule>
    <cfRule type="cellIs" dxfId="78" priority="20" operator="greaterThan">
      <formula>0</formula>
    </cfRule>
  </conditionalFormatting>
  <conditionalFormatting sqref="B68">
    <cfRule type="containsText" dxfId="77" priority="16" operator="containsText" text="N">
      <formula>NOT(ISERROR(SEARCH("N",B68)))</formula>
    </cfRule>
    <cfRule type="containsText" dxfId="76" priority="17" operator="containsText" text="Y">
      <formula>NOT(ISERROR(SEARCH("Y",B68)))</formula>
    </cfRule>
  </conditionalFormatting>
  <conditionalFormatting sqref="B72:B73">
    <cfRule type="containsText" dxfId="75" priority="14" operator="containsText" text="N">
      <formula>NOT(ISERROR(SEARCH("N",B72)))</formula>
    </cfRule>
    <cfRule type="containsText" dxfId="74" priority="15" operator="containsText" text="Y">
      <formula>NOT(ISERROR(SEARCH("Y",B72)))</formula>
    </cfRule>
  </conditionalFormatting>
  <conditionalFormatting sqref="B77">
    <cfRule type="containsText" dxfId="73" priority="12" operator="containsText" text="N">
      <formula>NOT(ISERROR(SEARCH("N",B77)))</formula>
    </cfRule>
    <cfRule type="containsText" dxfId="72" priority="13" operator="containsText" text="Y">
      <formula>NOT(ISERROR(SEARCH("Y",B77)))</formula>
    </cfRule>
  </conditionalFormatting>
  <conditionalFormatting sqref="B19">
    <cfRule type="cellIs" dxfId="71" priority="9" operator="lessThan">
      <formula>$B$18</formula>
    </cfRule>
    <cfRule type="cellIs" dxfId="70" priority="10" operator="equal">
      <formula>$B$18</formula>
    </cfRule>
    <cfRule type="cellIs" dxfId="69" priority="11" operator="greaterThan">
      <formula>$B$18</formula>
    </cfRule>
  </conditionalFormatting>
  <conditionalFormatting sqref="B9">
    <cfRule type="cellIs" dxfId="68" priority="8" operator="greaterThan">
      <formula>$B$8</formula>
    </cfRule>
  </conditionalFormatting>
  <conditionalFormatting sqref="B5:B6">
    <cfRule type="containsText" dxfId="67" priority="5" operator="containsText" text="Mayyybe">
      <formula>NOT(ISERROR(SEARCH("Mayyybe",B5)))</formula>
    </cfRule>
    <cfRule type="containsText" dxfId="66" priority="6" operator="containsText" text="GOLDEN">
      <formula>NOT(ISERROR(SEARCH("GOLDEN",B5)))</formula>
    </cfRule>
    <cfRule type="containsText" dxfId="65" priority="7" operator="containsText" text="NOPE">
      <formula>NOT(ISERROR(SEARCH("NOPE",B5)))</formula>
    </cfRule>
  </conditionalFormatting>
  <conditionalFormatting sqref="C1:C2">
    <cfRule type="containsText" dxfId="64" priority="2" operator="containsText" text="Mayyybe">
      <formula>NOT(ISERROR(SEARCH("Mayyybe",C1)))</formula>
    </cfRule>
    <cfRule type="containsText" dxfId="63" priority="3" operator="containsText" text="GOLDEN">
      <formula>NOT(ISERROR(SEARCH("GOLDEN",C1)))</formula>
    </cfRule>
    <cfRule type="containsText" dxfId="62" priority="4" operator="containsText" text="NOPE">
      <formula>NOT(ISERROR(SEARCH("NOPE",C1)))</formula>
    </cfRule>
  </conditionalFormatting>
  <conditionalFormatting sqref="G1">
    <cfRule type="cellIs" dxfId="61" priority="1" operator="greaterThan">
      <formula>$B$8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C1F0-B056-4C7F-B4ED-3D64BC22E9BB}">
  <sheetPr codeName="Sheet5"/>
  <dimension ref="A1:O79"/>
  <sheetViews>
    <sheetView workbookViewId="0">
      <pane ySplit="1" topLeftCell="A2" activePane="bottomLeft" state="frozen"/>
      <selection pane="bottomLeft" activeCell="B21" sqref="B21"/>
    </sheetView>
  </sheetViews>
  <sheetFormatPr defaultRowHeight="14.4" x14ac:dyDescent="0.3"/>
  <cols>
    <col min="1" max="1" width="23.44140625" customWidth="1"/>
    <col min="2" max="2" width="15.109375" customWidth="1"/>
    <col min="5" max="5" width="11.5546875" bestFit="1" customWidth="1"/>
    <col min="7" max="7" width="11.5546875" bestFit="1" customWidth="1"/>
    <col min="9" max="9" width="11.109375" bestFit="1" customWidth="1"/>
    <col min="11" max="11" width="10.5546875" bestFit="1" customWidth="1"/>
    <col min="13" max="13" width="10.5546875" bestFit="1" customWidth="1"/>
    <col min="15" max="15" width="10.5546875" bestFit="1" customWidth="1"/>
  </cols>
  <sheetData>
    <row r="1" spans="1:15" x14ac:dyDescent="0.3">
      <c r="B1" t="s">
        <v>43</v>
      </c>
      <c r="C1" s="5" t="str">
        <f>IF(B9&gt;B8,"NOPE",IF(C79=4,"GOLDEN",IF(C79=3,"Mayyybe…",IF(C79&lt;3,"Yeah…NO"))))</f>
        <v>Mayyybe…</v>
      </c>
      <c r="D1" t="s">
        <v>84</v>
      </c>
      <c r="E1" s="4">
        <f>B8</f>
        <v>140000</v>
      </c>
      <c r="F1" t="s">
        <v>85</v>
      </c>
      <c r="G1" s="19">
        <f>B9</f>
        <v>103385</v>
      </c>
      <c r="H1" t="s">
        <v>86</v>
      </c>
      <c r="I1" s="4">
        <f>B10</f>
        <v>36615</v>
      </c>
      <c r="J1" t="s">
        <v>87</v>
      </c>
      <c r="K1" s="4">
        <f>B62</f>
        <v>13485</v>
      </c>
      <c r="L1" t="s">
        <v>88</v>
      </c>
      <c r="M1" s="4">
        <f>B50</f>
        <v>50100</v>
      </c>
      <c r="N1" t="s">
        <v>89</v>
      </c>
      <c r="O1" s="4">
        <f>B10</f>
        <v>36615</v>
      </c>
    </row>
    <row r="2" spans="1:15" x14ac:dyDescent="0.3">
      <c r="A2" t="s">
        <v>11</v>
      </c>
      <c r="C2" s="24"/>
    </row>
    <row r="3" spans="1:15" ht="15.6" customHeight="1" x14ac:dyDescent="0.3">
      <c r="A3" s="10" t="s">
        <v>12</v>
      </c>
      <c r="B3" s="26" t="s">
        <v>90</v>
      </c>
      <c r="C3" s="26"/>
      <c r="D3" s="26"/>
      <c r="E3" s="26"/>
      <c r="F3" s="26"/>
      <c r="G3" s="26"/>
    </row>
    <row r="4" spans="1:15" x14ac:dyDescent="0.3">
      <c r="A4" s="10" t="s">
        <v>66</v>
      </c>
      <c r="B4" t="s">
        <v>67</v>
      </c>
    </row>
    <row r="5" spans="1:15" x14ac:dyDescent="0.3">
      <c r="A5" s="10" t="s">
        <v>43</v>
      </c>
      <c r="B5" s="28" t="str">
        <f>IF(B9&gt;B8,"NOPE",IF(C79=4,"GOLDEN",IF(C79=3,"Mayyybe…",IF(C79&lt;3,"Yeah…NO"))))</f>
        <v>Mayyybe…</v>
      </c>
    </row>
    <row r="6" spans="1:15" x14ac:dyDescent="0.3">
      <c r="A6" s="10"/>
      <c r="B6" s="28"/>
    </row>
    <row r="7" spans="1:15" x14ac:dyDescent="0.3">
      <c r="A7" s="10"/>
    </row>
    <row r="8" spans="1:15" x14ac:dyDescent="0.3">
      <c r="A8" s="10" t="s">
        <v>60</v>
      </c>
      <c r="B8" s="4">
        <f>B41</f>
        <v>140000</v>
      </c>
    </row>
    <row r="9" spans="1:15" x14ac:dyDescent="0.3">
      <c r="A9" s="18" t="s">
        <v>61</v>
      </c>
      <c r="B9" s="19">
        <f>B14+B15+B62</f>
        <v>103385</v>
      </c>
    </row>
    <row r="10" spans="1:15" x14ac:dyDescent="0.3">
      <c r="A10" s="10" t="s">
        <v>62</v>
      </c>
      <c r="B10" s="4">
        <f>B8-B9</f>
        <v>36615</v>
      </c>
      <c r="E10" s="17"/>
    </row>
    <row r="11" spans="1:15" x14ac:dyDescent="0.3">
      <c r="A11" s="10" t="s">
        <v>70</v>
      </c>
      <c r="B11" s="17">
        <f>B50/B62</f>
        <v>3.7152391546162402</v>
      </c>
    </row>
    <row r="12" spans="1:15" x14ac:dyDescent="0.3">
      <c r="A12" s="10" t="s">
        <v>71</v>
      </c>
      <c r="B12" s="17">
        <f>B19/B62</f>
        <v>3.3032999629217651E-2</v>
      </c>
    </row>
    <row r="13" spans="1:15" ht="15" thickBot="1" x14ac:dyDescent="0.35">
      <c r="B13" s="4"/>
    </row>
    <row r="14" spans="1:15" ht="15" thickBot="1" x14ac:dyDescent="0.35">
      <c r="A14" s="10" t="s">
        <v>50</v>
      </c>
      <c r="B14" s="20">
        <v>29900</v>
      </c>
    </row>
    <row r="15" spans="1:15" ht="15" thickBot="1" x14ac:dyDescent="0.35">
      <c r="A15" s="10" t="s">
        <v>14</v>
      </c>
      <c r="B15" s="20">
        <v>60000</v>
      </c>
    </row>
    <row r="16" spans="1:15" ht="15" thickBot="1" x14ac:dyDescent="0.35">
      <c r="A16" s="10" t="s">
        <v>15</v>
      </c>
      <c r="B16" s="20">
        <v>200000</v>
      </c>
    </row>
    <row r="17" spans="1:6" ht="15" thickBot="1" x14ac:dyDescent="0.35">
      <c r="A17" s="10"/>
      <c r="B17" s="20"/>
    </row>
    <row r="18" spans="1:6" ht="15" thickBot="1" x14ac:dyDescent="0.35">
      <c r="A18" s="10" t="s">
        <v>16</v>
      </c>
      <c r="B18" s="20">
        <v>1500</v>
      </c>
    </row>
    <row r="19" spans="1:6" ht="15" thickBot="1" x14ac:dyDescent="0.35">
      <c r="A19" s="10" t="s">
        <v>17</v>
      </c>
      <c r="B19" s="4">
        <f>B20-B35</f>
        <v>445.45000000000005</v>
      </c>
    </row>
    <row r="20" spans="1:6" ht="15" thickBot="1" x14ac:dyDescent="0.35">
      <c r="A20" s="10" t="s">
        <v>51</v>
      </c>
      <c r="B20" s="20">
        <v>1500</v>
      </c>
    </row>
    <row r="21" spans="1:6" x14ac:dyDescent="0.3">
      <c r="A21" s="10" t="s">
        <v>52</v>
      </c>
      <c r="B21" s="4">
        <f>B20*12</f>
        <v>18000</v>
      </c>
    </row>
    <row r="22" spans="1:6" x14ac:dyDescent="0.3">
      <c r="A22" s="10"/>
      <c r="B22" s="4"/>
    </row>
    <row r="23" spans="1:6" x14ac:dyDescent="0.3">
      <c r="A23" s="10"/>
    </row>
    <row r="24" spans="1:6" x14ac:dyDescent="0.3">
      <c r="A24" s="12" t="s">
        <v>18</v>
      </c>
      <c r="B24" s="12"/>
      <c r="C24" s="12"/>
    </row>
    <row r="26" spans="1:6" ht="15" thickBot="1" x14ac:dyDescent="0.35">
      <c r="A26" s="11" t="s">
        <v>19</v>
      </c>
      <c r="B26" s="12"/>
      <c r="C26" s="12"/>
      <c r="D26" s="12"/>
      <c r="E26" s="12"/>
      <c r="F26" s="12"/>
    </row>
    <row r="27" spans="1:6" ht="15" thickBot="1" x14ac:dyDescent="0.35">
      <c r="A27" s="10" t="s">
        <v>56</v>
      </c>
      <c r="B27" s="21">
        <v>0.02</v>
      </c>
    </row>
    <row r="28" spans="1:6" x14ac:dyDescent="0.3">
      <c r="A28" s="10" t="s">
        <v>44</v>
      </c>
      <c r="B28" s="4">
        <f>B39*B27</f>
        <v>4000</v>
      </c>
    </row>
    <row r="29" spans="1:6" ht="15" thickBot="1" x14ac:dyDescent="0.35">
      <c r="A29" s="10" t="s">
        <v>65</v>
      </c>
      <c r="B29" s="4">
        <f>B28/12</f>
        <v>333.33333333333331</v>
      </c>
    </row>
    <row r="30" spans="1:6" ht="15" thickBot="1" x14ac:dyDescent="0.35">
      <c r="A30" s="10" t="s">
        <v>53</v>
      </c>
      <c r="B30" s="21">
        <v>0.06</v>
      </c>
    </row>
    <row r="31" spans="1:6" x14ac:dyDescent="0.3">
      <c r="A31" s="10" t="s">
        <v>55</v>
      </c>
      <c r="B31" s="4">
        <f>(B65*B30)</f>
        <v>4854.5999999999995</v>
      </c>
    </row>
    <row r="32" spans="1:6" x14ac:dyDescent="0.3">
      <c r="A32" s="10" t="s">
        <v>54</v>
      </c>
      <c r="B32" s="4">
        <f>B31/12</f>
        <v>404.54999999999995</v>
      </c>
    </row>
    <row r="33" spans="1:6" x14ac:dyDescent="0.3">
      <c r="A33" s="10" t="s">
        <v>58</v>
      </c>
      <c r="B33" s="4">
        <f>(B39*1%)/12</f>
        <v>166.66666666666666</v>
      </c>
    </row>
    <row r="34" spans="1:6" x14ac:dyDescent="0.3">
      <c r="A34" s="10" t="s">
        <v>69</v>
      </c>
      <c r="B34" s="4">
        <f>B20*10%</f>
        <v>150</v>
      </c>
    </row>
    <row r="35" spans="1:6" x14ac:dyDescent="0.3">
      <c r="A35" s="10" t="s">
        <v>59</v>
      </c>
      <c r="B35" s="4">
        <f>B33+B32+B34+(B28/12)</f>
        <v>1054.55</v>
      </c>
    </row>
    <row r="37" spans="1:6" x14ac:dyDescent="0.3">
      <c r="A37" s="12" t="s">
        <v>20</v>
      </c>
      <c r="B37" s="12"/>
      <c r="C37" s="12"/>
    </row>
    <row r="39" spans="1:6" x14ac:dyDescent="0.3">
      <c r="A39" s="10" t="s">
        <v>22</v>
      </c>
      <c r="B39" s="4">
        <f>B16</f>
        <v>200000</v>
      </c>
    </row>
    <row r="40" spans="1:6" x14ac:dyDescent="0.3">
      <c r="A40" s="10" t="s">
        <v>45</v>
      </c>
      <c r="B40" s="1">
        <v>0.7</v>
      </c>
    </row>
    <row r="41" spans="1:6" x14ac:dyDescent="0.3">
      <c r="A41" s="10" t="s">
        <v>21</v>
      </c>
      <c r="B41" s="4">
        <f>B39*B40</f>
        <v>140000</v>
      </c>
    </row>
    <row r="42" spans="1:6" x14ac:dyDescent="0.3">
      <c r="A42" s="10"/>
    </row>
    <row r="44" spans="1:6" x14ac:dyDescent="0.3">
      <c r="A44" s="11" t="s">
        <v>23</v>
      </c>
      <c r="B44" s="12"/>
      <c r="C44" s="12"/>
      <c r="D44" s="12"/>
      <c r="E44" s="12"/>
      <c r="F44" s="12"/>
    </row>
    <row r="45" spans="1:6" x14ac:dyDescent="0.3">
      <c r="A45" s="11" t="s">
        <v>24</v>
      </c>
      <c r="B45" s="12"/>
      <c r="C45" s="12"/>
      <c r="D45" s="12"/>
      <c r="E45" s="12"/>
      <c r="F45" s="12"/>
    </row>
    <row r="47" spans="1:6" x14ac:dyDescent="0.3">
      <c r="A47" s="10" t="s">
        <v>46</v>
      </c>
      <c r="B47" s="4">
        <f>B41</f>
        <v>140000</v>
      </c>
    </row>
    <row r="48" spans="1:6" x14ac:dyDescent="0.3">
      <c r="A48" s="10" t="s">
        <v>13</v>
      </c>
      <c r="B48" s="4">
        <f>B14</f>
        <v>29900</v>
      </c>
    </row>
    <row r="49" spans="1:2" x14ac:dyDescent="0.3">
      <c r="A49" s="10" t="s">
        <v>26</v>
      </c>
      <c r="B49" s="4">
        <f>B15</f>
        <v>60000</v>
      </c>
    </row>
    <row r="50" spans="1:2" x14ac:dyDescent="0.3">
      <c r="A50" s="10" t="s">
        <v>25</v>
      </c>
      <c r="B50" s="4">
        <f>(B47-B48-B49)</f>
        <v>50100</v>
      </c>
    </row>
    <row r="53" spans="1:2" x14ac:dyDescent="0.3">
      <c r="A53" s="13" t="s">
        <v>27</v>
      </c>
    </row>
    <row r="55" spans="1:2" x14ac:dyDescent="0.3">
      <c r="A55" s="10" t="s">
        <v>13</v>
      </c>
      <c r="B55" s="4">
        <f>B14</f>
        <v>29900</v>
      </c>
    </row>
    <row r="56" spans="1:2" x14ac:dyDescent="0.3">
      <c r="A56" s="10" t="s">
        <v>26</v>
      </c>
      <c r="B56" s="4">
        <f>B15</f>
        <v>60000</v>
      </c>
    </row>
    <row r="57" spans="1:2" ht="15" thickBot="1" x14ac:dyDescent="0.35">
      <c r="A57" s="10" t="s">
        <v>47</v>
      </c>
      <c r="B57" s="4">
        <f>SUM(B55:B56)</f>
        <v>89900</v>
      </c>
    </row>
    <row r="58" spans="1:2" ht="15" thickBot="1" x14ac:dyDescent="0.35">
      <c r="A58" s="10" t="s">
        <v>31</v>
      </c>
      <c r="B58" s="22">
        <v>0.1</v>
      </c>
    </row>
    <row r="59" spans="1:2" ht="15" thickBot="1" x14ac:dyDescent="0.35">
      <c r="A59" s="10" t="s">
        <v>28</v>
      </c>
      <c r="B59" s="4">
        <f>B57*B58</f>
        <v>8990</v>
      </c>
    </row>
    <row r="60" spans="1:2" ht="15" thickBot="1" x14ac:dyDescent="0.35">
      <c r="A60" s="10" t="s">
        <v>30</v>
      </c>
      <c r="B60" s="22">
        <v>0.05</v>
      </c>
    </row>
    <row r="61" spans="1:2" x14ac:dyDescent="0.3">
      <c r="A61" s="10" t="s">
        <v>29</v>
      </c>
      <c r="B61" s="4">
        <f>B57*B60</f>
        <v>4495</v>
      </c>
    </row>
    <row r="62" spans="1:2" x14ac:dyDescent="0.3">
      <c r="A62" s="10" t="s">
        <v>32</v>
      </c>
      <c r="B62" s="4">
        <f>B59+B61</f>
        <v>13485</v>
      </c>
    </row>
    <row r="63" spans="1:2" x14ac:dyDescent="0.3">
      <c r="A63" s="12" t="s">
        <v>33</v>
      </c>
    </row>
    <row r="65" spans="1:4" x14ac:dyDescent="0.3">
      <c r="A65" s="10" t="s">
        <v>34</v>
      </c>
      <c r="B65" s="4">
        <f>B55+B56-B59</f>
        <v>80910</v>
      </c>
    </row>
    <row r="66" spans="1:4" x14ac:dyDescent="0.3">
      <c r="A66" s="12" t="s">
        <v>35</v>
      </c>
      <c r="B66" s="12"/>
    </row>
    <row r="68" spans="1:4" x14ac:dyDescent="0.3">
      <c r="A68" t="s">
        <v>36</v>
      </c>
      <c r="B68" t="str">
        <f>IF(B50&gt;B62, "Y", "N")</f>
        <v>Y</v>
      </c>
      <c r="C68">
        <f>IF(B68="Y", 1, 0)</f>
        <v>1</v>
      </c>
    </row>
    <row r="69" spans="1:4" x14ac:dyDescent="0.3">
      <c r="A69" t="s">
        <v>37</v>
      </c>
      <c r="B69" s="4" t="str">
        <f>IF(B68="N", B50-B62, "…")</f>
        <v>…</v>
      </c>
    </row>
    <row r="71" spans="1:4" x14ac:dyDescent="0.3">
      <c r="A71" s="12" t="s">
        <v>38</v>
      </c>
      <c r="B71" s="12"/>
    </row>
    <row r="72" spans="1:4" x14ac:dyDescent="0.3">
      <c r="A72" s="10" t="s">
        <v>39</v>
      </c>
      <c r="B72" t="str">
        <f>IF(B50&gt;0, "Y", "N")</f>
        <v>Y</v>
      </c>
      <c r="C72">
        <f>IF(B72="Y", 1, 0)</f>
        <v>1</v>
      </c>
    </row>
    <row r="73" spans="1:4" x14ac:dyDescent="0.3">
      <c r="A73" s="10" t="s">
        <v>40</v>
      </c>
      <c r="B73" t="str">
        <f>IF(B19=B18,"Y",IF(B19&gt;B18,"Y",IF(B19&lt;B18,"N","eRRoR")))</f>
        <v>N</v>
      </c>
      <c r="C73">
        <f>IF(B73="Y", 1, 0)</f>
        <v>0</v>
      </c>
    </row>
    <row r="74" spans="1:4" x14ac:dyDescent="0.3">
      <c r="A74" s="10" t="s">
        <v>41</v>
      </c>
      <c r="B74" s="4">
        <f>IF(B73="N", B19-B18, "…")</f>
        <v>-1054.55</v>
      </c>
    </row>
    <row r="75" spans="1:4" ht="15" thickBot="1" x14ac:dyDescent="0.35">
      <c r="A75" s="11" t="s">
        <v>42</v>
      </c>
      <c r="B75" s="12"/>
      <c r="C75" s="12"/>
      <c r="D75" s="12"/>
    </row>
    <row r="76" spans="1:4" ht="15" thickBot="1" x14ac:dyDescent="0.35">
      <c r="A76" s="10" t="s">
        <v>49</v>
      </c>
      <c r="B76" s="23" t="s">
        <v>72</v>
      </c>
    </row>
    <row r="77" spans="1:4" x14ac:dyDescent="0.3">
      <c r="A77" s="10" t="s">
        <v>48</v>
      </c>
      <c r="B77" t="str">
        <f>IF(B76="G","Y",IF(B76="S","Y","N"))</f>
        <v>Y</v>
      </c>
      <c r="C77">
        <f>IF(B77="Y", 1, 0)</f>
        <v>1</v>
      </c>
    </row>
    <row r="79" spans="1:4" x14ac:dyDescent="0.3">
      <c r="A79" s="10" t="s">
        <v>83</v>
      </c>
      <c r="C79">
        <f>SUM(C68+C72+C73+C77)</f>
        <v>3</v>
      </c>
    </row>
  </sheetData>
  <mergeCells count="2">
    <mergeCell ref="B3:G3"/>
    <mergeCell ref="B5:B6"/>
  </mergeCells>
  <conditionalFormatting sqref="B50">
    <cfRule type="cellIs" dxfId="60" priority="18" operator="equal">
      <formula>0</formula>
    </cfRule>
    <cfRule type="cellIs" dxfId="59" priority="19" operator="lessThan">
      <formula>0</formula>
    </cfRule>
    <cfRule type="cellIs" dxfId="58" priority="20" operator="greaterThan">
      <formula>0</formula>
    </cfRule>
  </conditionalFormatting>
  <conditionalFormatting sqref="B68">
    <cfRule type="containsText" dxfId="57" priority="16" operator="containsText" text="N">
      <formula>NOT(ISERROR(SEARCH("N",B68)))</formula>
    </cfRule>
    <cfRule type="containsText" dxfId="56" priority="17" operator="containsText" text="Y">
      <formula>NOT(ISERROR(SEARCH("Y",B68)))</formula>
    </cfRule>
  </conditionalFormatting>
  <conditionalFormatting sqref="B72:B73">
    <cfRule type="containsText" dxfId="55" priority="14" operator="containsText" text="N">
      <formula>NOT(ISERROR(SEARCH("N",B72)))</formula>
    </cfRule>
    <cfRule type="containsText" dxfId="54" priority="15" operator="containsText" text="Y">
      <formula>NOT(ISERROR(SEARCH("Y",B72)))</formula>
    </cfRule>
  </conditionalFormatting>
  <conditionalFormatting sqref="B77">
    <cfRule type="containsText" dxfId="53" priority="12" operator="containsText" text="N">
      <formula>NOT(ISERROR(SEARCH("N",B77)))</formula>
    </cfRule>
    <cfRule type="containsText" dxfId="52" priority="13" operator="containsText" text="Y">
      <formula>NOT(ISERROR(SEARCH("Y",B77)))</formula>
    </cfRule>
  </conditionalFormatting>
  <conditionalFormatting sqref="B19">
    <cfRule type="cellIs" dxfId="51" priority="9" operator="lessThan">
      <formula>$B$18</formula>
    </cfRule>
    <cfRule type="cellIs" dxfId="50" priority="10" operator="equal">
      <formula>$B$18</formula>
    </cfRule>
    <cfRule type="cellIs" dxfId="49" priority="11" operator="greaterThan">
      <formula>$B$18</formula>
    </cfRule>
  </conditionalFormatting>
  <conditionalFormatting sqref="B9">
    <cfRule type="cellIs" dxfId="48" priority="8" operator="greaterThan">
      <formula>$B$8</formula>
    </cfRule>
  </conditionalFormatting>
  <conditionalFormatting sqref="B5:B6">
    <cfRule type="containsText" dxfId="47" priority="5" operator="containsText" text="Mayyybe">
      <formula>NOT(ISERROR(SEARCH("Mayyybe",B5)))</formula>
    </cfRule>
    <cfRule type="containsText" dxfId="46" priority="6" operator="containsText" text="GOLDEN">
      <formula>NOT(ISERROR(SEARCH("GOLDEN",B5)))</formula>
    </cfRule>
    <cfRule type="containsText" dxfId="45" priority="7" operator="containsText" text="NOPE">
      <formula>NOT(ISERROR(SEARCH("NOPE",B5)))</formula>
    </cfRule>
  </conditionalFormatting>
  <conditionalFormatting sqref="C1:C2">
    <cfRule type="containsText" dxfId="44" priority="2" operator="containsText" text="Mayyybe">
      <formula>NOT(ISERROR(SEARCH("Mayyybe",C1)))</formula>
    </cfRule>
    <cfRule type="containsText" dxfId="43" priority="3" operator="containsText" text="GOLDEN">
      <formula>NOT(ISERROR(SEARCH("GOLDEN",C1)))</formula>
    </cfRule>
    <cfRule type="containsText" dxfId="42" priority="4" operator="containsText" text="NOPE">
      <formula>NOT(ISERROR(SEARCH("NOPE",C1)))</formula>
    </cfRule>
  </conditionalFormatting>
  <conditionalFormatting sqref="G1">
    <cfRule type="cellIs" dxfId="41" priority="1" operator="greaterThan">
      <formula>$B$8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6F435-6C5D-4C94-A038-ECFB920D7DCE}">
  <sheetPr codeName="Sheet7"/>
  <dimension ref="A1:O79"/>
  <sheetViews>
    <sheetView workbookViewId="0">
      <pane ySplit="1" topLeftCell="A2" activePane="bottomLeft" state="frozen"/>
      <selection pane="bottomLeft" activeCell="H26" sqref="H26"/>
    </sheetView>
  </sheetViews>
  <sheetFormatPr defaultRowHeight="14.4" x14ac:dyDescent="0.3"/>
  <cols>
    <col min="1" max="1" width="23.44140625" customWidth="1"/>
    <col min="2" max="2" width="15.109375" customWidth="1"/>
    <col min="3" max="3" width="10.5546875" bestFit="1" customWidth="1"/>
    <col min="5" max="5" width="11.5546875" bestFit="1" customWidth="1"/>
    <col min="7" max="7" width="11.5546875" bestFit="1" customWidth="1"/>
    <col min="9" max="9" width="12.109375" bestFit="1" customWidth="1"/>
    <col min="11" max="11" width="10.5546875" bestFit="1" customWidth="1"/>
    <col min="13" max="13" width="11.109375" bestFit="1" customWidth="1"/>
    <col min="15" max="15" width="12.109375" bestFit="1" customWidth="1"/>
  </cols>
  <sheetData>
    <row r="1" spans="1:15" x14ac:dyDescent="0.3">
      <c r="B1" t="s">
        <v>43</v>
      </c>
      <c r="C1" s="5" t="str">
        <f>IF(B9&gt;B8,"NOPE",IF(C79=4,"GOLDEN",IF(C79=3,"Mayyybe…",IF(C79&lt;3,"Yeah…NO"))))</f>
        <v>GOLDEN</v>
      </c>
      <c r="D1" t="s">
        <v>84</v>
      </c>
      <c r="E1" s="4">
        <f>B8</f>
        <v>175000</v>
      </c>
      <c r="F1" t="s">
        <v>85</v>
      </c>
      <c r="G1" s="19">
        <f>B9</f>
        <v>172500</v>
      </c>
      <c r="H1" t="s">
        <v>86</v>
      </c>
      <c r="I1" s="4">
        <f>B10</f>
        <v>2500</v>
      </c>
      <c r="J1" t="s">
        <v>87</v>
      </c>
      <c r="K1" s="4">
        <f>B62</f>
        <v>22500</v>
      </c>
      <c r="L1" t="s">
        <v>88</v>
      </c>
      <c r="M1" s="4">
        <f>B50</f>
        <v>25000</v>
      </c>
      <c r="N1" t="s">
        <v>89</v>
      </c>
      <c r="O1" s="4">
        <f>B10</f>
        <v>2500</v>
      </c>
    </row>
    <row r="2" spans="1:15" x14ac:dyDescent="0.3">
      <c r="A2" t="s">
        <v>11</v>
      </c>
      <c r="C2" s="24"/>
    </row>
    <row r="3" spans="1:15" ht="15.6" customHeight="1" x14ac:dyDescent="0.3">
      <c r="A3" s="10" t="s">
        <v>12</v>
      </c>
      <c r="B3" s="26" t="s">
        <v>90</v>
      </c>
      <c r="C3" s="26"/>
      <c r="D3" s="26"/>
      <c r="E3" s="26"/>
      <c r="F3" s="26"/>
      <c r="G3" s="26"/>
    </row>
    <row r="4" spans="1:15" x14ac:dyDescent="0.3">
      <c r="A4" s="10" t="s">
        <v>66</v>
      </c>
      <c r="B4" t="s">
        <v>67</v>
      </c>
    </row>
    <row r="5" spans="1:15" x14ac:dyDescent="0.3">
      <c r="A5" s="10" t="s">
        <v>43</v>
      </c>
      <c r="B5" s="28" t="str">
        <f>IF(B9&gt;B8,"NOPE",IF(C79=4,"GOLDEN",IF(C79=3,"Mayyybe…",IF(C79&lt;3,"Yeah…NO"))))</f>
        <v>GOLDEN</v>
      </c>
    </row>
    <row r="6" spans="1:15" x14ac:dyDescent="0.3">
      <c r="A6" s="10"/>
      <c r="B6" s="28"/>
    </row>
    <row r="7" spans="1:15" x14ac:dyDescent="0.3">
      <c r="A7" s="10"/>
    </row>
    <row r="8" spans="1:15" x14ac:dyDescent="0.3">
      <c r="A8" s="10" t="s">
        <v>60</v>
      </c>
      <c r="B8" s="4">
        <f>B41</f>
        <v>175000</v>
      </c>
    </row>
    <row r="9" spans="1:15" x14ac:dyDescent="0.3">
      <c r="A9" s="18" t="s">
        <v>61</v>
      </c>
      <c r="B9" s="19">
        <f>B14+B15+B62</f>
        <v>172500</v>
      </c>
    </row>
    <row r="10" spans="1:15" x14ac:dyDescent="0.3">
      <c r="A10" s="10" t="s">
        <v>62</v>
      </c>
      <c r="B10" s="4">
        <f>B8-B9</f>
        <v>2500</v>
      </c>
      <c r="E10" s="17"/>
    </row>
    <row r="11" spans="1:15" x14ac:dyDescent="0.3">
      <c r="A11" s="10" t="s">
        <v>70</v>
      </c>
      <c r="B11" s="17">
        <f>B50/B62</f>
        <v>1.1111111111111112</v>
      </c>
    </row>
    <row r="12" spans="1:15" x14ac:dyDescent="0.3">
      <c r="A12" s="10" t="s">
        <v>71</v>
      </c>
      <c r="B12" s="17">
        <f>B19/B62</f>
        <v>0.10222222222222223</v>
      </c>
    </row>
    <row r="13" spans="1:15" ht="15" thickBot="1" x14ac:dyDescent="0.35">
      <c r="B13" s="4"/>
      <c r="C13" t="s">
        <v>92</v>
      </c>
    </row>
    <row r="14" spans="1:15" ht="15" thickBot="1" x14ac:dyDescent="0.35">
      <c r="A14" s="10" t="s">
        <v>50</v>
      </c>
      <c r="B14" s="20">
        <v>100000</v>
      </c>
    </row>
    <row r="15" spans="1:15" ht="15" thickBot="1" x14ac:dyDescent="0.35">
      <c r="A15" s="10" t="s">
        <v>14</v>
      </c>
      <c r="B15" s="20">
        <v>50000</v>
      </c>
    </row>
    <row r="16" spans="1:15" ht="15" thickBot="1" x14ac:dyDescent="0.35">
      <c r="A16" s="10" t="s">
        <v>15</v>
      </c>
      <c r="B16" s="20">
        <v>250000</v>
      </c>
    </row>
    <row r="17" spans="1:6" ht="15" thickBot="1" x14ac:dyDescent="0.35">
      <c r="A17" s="10"/>
      <c r="B17" s="20"/>
    </row>
    <row r="18" spans="1:6" ht="15" thickBot="1" x14ac:dyDescent="0.35">
      <c r="A18" s="10" t="s">
        <v>16</v>
      </c>
      <c r="B18" s="20">
        <v>1500</v>
      </c>
      <c r="C18" s="4">
        <f>B18</f>
        <v>1500</v>
      </c>
    </row>
    <row r="19" spans="1:6" ht="15" thickBot="1" x14ac:dyDescent="0.35">
      <c r="A19" s="10" t="s">
        <v>17</v>
      </c>
      <c r="B19" s="4">
        <f>B20-B35</f>
        <v>2300</v>
      </c>
      <c r="C19" s="4">
        <f>C20-C35</f>
        <v>1725</v>
      </c>
    </row>
    <row r="20" spans="1:6" ht="15" thickBot="1" x14ac:dyDescent="0.35">
      <c r="A20" s="10" t="s">
        <v>51</v>
      </c>
      <c r="B20" s="20">
        <v>4000</v>
      </c>
      <c r="C20" s="4">
        <f>B20</f>
        <v>4000</v>
      </c>
    </row>
    <row r="21" spans="1:6" x14ac:dyDescent="0.3">
      <c r="A21" s="10" t="s">
        <v>52</v>
      </c>
      <c r="B21" s="4">
        <f>B20*12</f>
        <v>48000</v>
      </c>
    </row>
    <row r="22" spans="1:6" x14ac:dyDescent="0.3">
      <c r="A22" s="10" t="s">
        <v>91</v>
      </c>
      <c r="B22">
        <f>(K1/B19)</f>
        <v>9.7826086956521738</v>
      </c>
    </row>
    <row r="23" spans="1:6" x14ac:dyDescent="0.3">
      <c r="A23" s="10"/>
    </row>
    <row r="24" spans="1:6" x14ac:dyDescent="0.3">
      <c r="A24" s="12" t="s">
        <v>18</v>
      </c>
      <c r="B24" s="12"/>
      <c r="C24" s="12"/>
    </row>
    <row r="26" spans="1:6" ht="15" thickBot="1" x14ac:dyDescent="0.35">
      <c r="A26" s="11" t="s">
        <v>19</v>
      </c>
      <c r="B26" s="12"/>
      <c r="C26" s="12"/>
      <c r="D26" s="12"/>
      <c r="E26" s="12"/>
      <c r="F26" s="12"/>
    </row>
    <row r="27" spans="1:6" ht="15" thickBot="1" x14ac:dyDescent="0.35">
      <c r="A27" s="10" t="s">
        <v>56</v>
      </c>
      <c r="B27" s="21">
        <v>0.02</v>
      </c>
      <c r="C27" s="25">
        <f>B27</f>
        <v>0.02</v>
      </c>
    </row>
    <row r="28" spans="1:6" x14ac:dyDescent="0.3">
      <c r="A28" s="10" t="s">
        <v>44</v>
      </c>
      <c r="B28" s="4">
        <f>B39*B27</f>
        <v>5000</v>
      </c>
      <c r="C28" s="4">
        <f>B28</f>
        <v>5000</v>
      </c>
    </row>
    <row r="29" spans="1:6" ht="15" thickBot="1" x14ac:dyDescent="0.35">
      <c r="A29" s="10" t="s">
        <v>65</v>
      </c>
      <c r="B29" s="4">
        <f>B28/12</f>
        <v>416.66666666666669</v>
      </c>
      <c r="C29" s="4">
        <f>B29</f>
        <v>416.66666666666669</v>
      </c>
    </row>
    <row r="30" spans="1:6" ht="15" thickBot="1" x14ac:dyDescent="0.35">
      <c r="A30" s="10" t="s">
        <v>53</v>
      </c>
      <c r="B30" s="21">
        <v>0.06</v>
      </c>
      <c r="C30" s="25">
        <f>B30</f>
        <v>0.06</v>
      </c>
    </row>
    <row r="31" spans="1:6" x14ac:dyDescent="0.3">
      <c r="A31" s="10" t="s">
        <v>55</v>
      </c>
      <c r="B31" s="4">
        <f>(B65*B30)</f>
        <v>8100</v>
      </c>
      <c r="C31" s="4">
        <f>B16*C30</f>
        <v>15000</v>
      </c>
    </row>
    <row r="32" spans="1:6" x14ac:dyDescent="0.3">
      <c r="A32" s="10" t="s">
        <v>54</v>
      </c>
      <c r="B32" s="4">
        <f>B31/12</f>
        <v>675</v>
      </c>
      <c r="C32" s="4">
        <f>C31/12</f>
        <v>1250</v>
      </c>
    </row>
    <row r="33" spans="1:6" x14ac:dyDescent="0.3">
      <c r="A33" s="10" t="s">
        <v>58</v>
      </c>
      <c r="B33" s="4">
        <f>(B39*1%)/12</f>
        <v>208.33333333333334</v>
      </c>
      <c r="C33" s="4">
        <f>B33</f>
        <v>208.33333333333334</v>
      </c>
    </row>
    <row r="34" spans="1:6" x14ac:dyDescent="0.3">
      <c r="A34" s="10" t="s">
        <v>69</v>
      </c>
      <c r="B34" s="4">
        <f>B20*10%</f>
        <v>400</v>
      </c>
      <c r="C34" s="4">
        <f>C20*10%</f>
        <v>400</v>
      </c>
    </row>
    <row r="35" spans="1:6" x14ac:dyDescent="0.3">
      <c r="A35" s="10" t="s">
        <v>59</v>
      </c>
      <c r="B35" s="4">
        <f>B33+B32+B34+(B28/12)</f>
        <v>1700.0000000000002</v>
      </c>
      <c r="C35" s="4">
        <f>C33+C32+C34+(C28/12)</f>
        <v>2275</v>
      </c>
    </row>
    <row r="37" spans="1:6" x14ac:dyDescent="0.3">
      <c r="A37" s="12" t="s">
        <v>20</v>
      </c>
      <c r="B37" s="12"/>
      <c r="C37" s="12"/>
    </row>
    <row r="39" spans="1:6" x14ac:dyDescent="0.3">
      <c r="A39" s="10" t="s">
        <v>22</v>
      </c>
      <c r="B39" s="4">
        <f>B16</f>
        <v>250000</v>
      </c>
    </row>
    <row r="40" spans="1:6" x14ac:dyDescent="0.3">
      <c r="A40" s="10" t="s">
        <v>45</v>
      </c>
      <c r="B40" s="1">
        <v>0.7</v>
      </c>
    </row>
    <row r="41" spans="1:6" x14ac:dyDescent="0.3">
      <c r="A41" s="10" t="s">
        <v>21</v>
      </c>
      <c r="B41" s="4">
        <f>B39*B40</f>
        <v>175000</v>
      </c>
    </row>
    <row r="42" spans="1:6" x14ac:dyDescent="0.3">
      <c r="A42" s="10"/>
    </row>
    <row r="44" spans="1:6" x14ac:dyDescent="0.3">
      <c r="A44" s="11" t="s">
        <v>23</v>
      </c>
      <c r="B44" s="12"/>
      <c r="C44" s="12"/>
      <c r="D44" s="12"/>
      <c r="E44" s="12"/>
      <c r="F44" s="12"/>
    </row>
    <row r="45" spans="1:6" x14ac:dyDescent="0.3">
      <c r="A45" s="11" t="s">
        <v>24</v>
      </c>
      <c r="B45" s="12"/>
      <c r="C45" s="12"/>
      <c r="D45" s="12"/>
      <c r="E45" s="12"/>
      <c r="F45" s="12"/>
    </row>
    <row r="47" spans="1:6" x14ac:dyDescent="0.3">
      <c r="A47" s="10" t="s">
        <v>46</v>
      </c>
      <c r="B47" s="4">
        <f>B41</f>
        <v>175000</v>
      </c>
    </row>
    <row r="48" spans="1:6" x14ac:dyDescent="0.3">
      <c r="A48" s="10" t="s">
        <v>13</v>
      </c>
      <c r="B48" s="4">
        <f>B14</f>
        <v>100000</v>
      </c>
    </row>
    <row r="49" spans="1:2" x14ac:dyDescent="0.3">
      <c r="A49" s="10" t="s">
        <v>26</v>
      </c>
      <c r="B49" s="4">
        <f>B15</f>
        <v>50000</v>
      </c>
    </row>
    <row r="50" spans="1:2" x14ac:dyDescent="0.3">
      <c r="A50" s="10" t="s">
        <v>25</v>
      </c>
      <c r="B50" s="4">
        <f>(B47-B48-B49)</f>
        <v>25000</v>
      </c>
    </row>
    <row r="53" spans="1:2" x14ac:dyDescent="0.3">
      <c r="A53" s="13" t="s">
        <v>27</v>
      </c>
    </row>
    <row r="55" spans="1:2" x14ac:dyDescent="0.3">
      <c r="A55" s="10" t="s">
        <v>13</v>
      </c>
      <c r="B55" s="4">
        <f>B14</f>
        <v>100000</v>
      </c>
    </row>
    <row r="56" spans="1:2" x14ac:dyDescent="0.3">
      <c r="A56" s="10" t="s">
        <v>26</v>
      </c>
      <c r="B56" s="4">
        <f>B15</f>
        <v>50000</v>
      </c>
    </row>
    <row r="57" spans="1:2" ht="15" thickBot="1" x14ac:dyDescent="0.35">
      <c r="A57" s="10" t="s">
        <v>47</v>
      </c>
      <c r="B57" s="4">
        <f>SUM(B55:B56)</f>
        <v>150000</v>
      </c>
    </row>
    <row r="58" spans="1:2" ht="15" thickBot="1" x14ac:dyDescent="0.35">
      <c r="A58" s="10" t="s">
        <v>31</v>
      </c>
      <c r="B58" s="22">
        <v>0.1</v>
      </c>
    </row>
    <row r="59" spans="1:2" ht="15" thickBot="1" x14ac:dyDescent="0.35">
      <c r="A59" s="10" t="s">
        <v>28</v>
      </c>
      <c r="B59" s="4">
        <f>B57*B58</f>
        <v>15000</v>
      </c>
    </row>
    <row r="60" spans="1:2" ht="15" thickBot="1" x14ac:dyDescent="0.35">
      <c r="A60" s="10" t="s">
        <v>30</v>
      </c>
      <c r="B60" s="22">
        <v>0.05</v>
      </c>
    </row>
    <row r="61" spans="1:2" x14ac:dyDescent="0.3">
      <c r="A61" s="10" t="s">
        <v>29</v>
      </c>
      <c r="B61" s="4">
        <f>B57*B60</f>
        <v>7500</v>
      </c>
    </row>
    <row r="62" spans="1:2" x14ac:dyDescent="0.3">
      <c r="A62" s="10" t="s">
        <v>32</v>
      </c>
      <c r="B62" s="4">
        <f>B59+B61</f>
        <v>22500</v>
      </c>
    </row>
    <row r="63" spans="1:2" x14ac:dyDescent="0.3">
      <c r="A63" s="12" t="s">
        <v>33</v>
      </c>
    </row>
    <row r="65" spans="1:4" x14ac:dyDescent="0.3">
      <c r="A65" s="10" t="s">
        <v>34</v>
      </c>
      <c r="B65" s="4">
        <f>B55+B56-B59</f>
        <v>135000</v>
      </c>
    </row>
    <row r="66" spans="1:4" x14ac:dyDescent="0.3">
      <c r="A66" s="12" t="s">
        <v>35</v>
      </c>
      <c r="B66" s="12"/>
    </row>
    <row r="68" spans="1:4" x14ac:dyDescent="0.3">
      <c r="A68" t="s">
        <v>36</v>
      </c>
      <c r="B68" t="str">
        <f>IF(B50&gt;B62, "Y", "N")</f>
        <v>Y</v>
      </c>
      <c r="C68">
        <f>IF(B68="Y", 1, 0)</f>
        <v>1</v>
      </c>
    </row>
    <row r="69" spans="1:4" x14ac:dyDescent="0.3">
      <c r="A69" t="s">
        <v>37</v>
      </c>
      <c r="B69" s="4" t="str">
        <f>IF(B68="N", B50-B62, "…")</f>
        <v>…</v>
      </c>
    </row>
    <row r="71" spans="1:4" x14ac:dyDescent="0.3">
      <c r="A71" s="12" t="s">
        <v>38</v>
      </c>
      <c r="B71" s="12"/>
    </row>
    <row r="72" spans="1:4" x14ac:dyDescent="0.3">
      <c r="A72" s="10" t="s">
        <v>39</v>
      </c>
      <c r="B72" t="str">
        <f>IF(B50&gt;0, "Y", "N")</f>
        <v>Y</v>
      </c>
      <c r="C72">
        <f>IF(B72="Y", 1, 0)</f>
        <v>1</v>
      </c>
    </row>
    <row r="73" spans="1:4" x14ac:dyDescent="0.3">
      <c r="A73" s="10" t="s">
        <v>40</v>
      </c>
      <c r="B73" t="str">
        <f>IF(B19=B18,"Y",IF(B19&gt;B18,"Y",IF(B19&lt;B18,"N","eRRoR")))</f>
        <v>Y</v>
      </c>
      <c r="C73">
        <f>IF(B73="Y", 1, 0)</f>
        <v>1</v>
      </c>
    </row>
    <row r="74" spans="1:4" x14ac:dyDescent="0.3">
      <c r="A74" s="10" t="s">
        <v>41</v>
      </c>
      <c r="B74" s="4" t="str">
        <f>IF(B73="N", B19-B18, "…")</f>
        <v>…</v>
      </c>
    </row>
    <row r="75" spans="1:4" ht="15" thickBot="1" x14ac:dyDescent="0.35">
      <c r="A75" s="11" t="s">
        <v>42</v>
      </c>
      <c r="B75" s="12"/>
      <c r="C75" s="12"/>
      <c r="D75" s="12"/>
    </row>
    <row r="76" spans="1:4" ht="15" thickBot="1" x14ac:dyDescent="0.35">
      <c r="A76" s="10" t="s">
        <v>49</v>
      </c>
      <c r="B76" s="23" t="s">
        <v>72</v>
      </c>
    </row>
    <row r="77" spans="1:4" x14ac:dyDescent="0.3">
      <c r="A77" s="10" t="s">
        <v>48</v>
      </c>
      <c r="B77" t="str">
        <f>IF(B76="G","Y",IF(B76="S","Y","N"))</f>
        <v>Y</v>
      </c>
      <c r="C77">
        <f>IF(B77="Y", 1, 0)</f>
        <v>1</v>
      </c>
    </row>
    <row r="79" spans="1:4" x14ac:dyDescent="0.3">
      <c r="A79" s="10" t="s">
        <v>83</v>
      </c>
      <c r="C79">
        <f>SUM(C68+C72+C73+C77)</f>
        <v>4</v>
      </c>
    </row>
  </sheetData>
  <mergeCells count="2">
    <mergeCell ref="B3:G3"/>
    <mergeCell ref="B5:B6"/>
  </mergeCells>
  <conditionalFormatting sqref="B50">
    <cfRule type="cellIs" dxfId="40" priority="18" operator="equal">
      <formula>0</formula>
    </cfRule>
    <cfRule type="cellIs" dxfId="39" priority="19" operator="lessThan">
      <formula>0</formula>
    </cfRule>
    <cfRule type="cellIs" dxfId="38" priority="20" operator="greaterThan">
      <formula>0</formula>
    </cfRule>
  </conditionalFormatting>
  <conditionalFormatting sqref="B68">
    <cfRule type="containsText" dxfId="37" priority="16" operator="containsText" text="N">
      <formula>NOT(ISERROR(SEARCH("N",B68)))</formula>
    </cfRule>
    <cfRule type="containsText" dxfId="36" priority="17" operator="containsText" text="Y">
      <formula>NOT(ISERROR(SEARCH("Y",B68)))</formula>
    </cfRule>
  </conditionalFormatting>
  <conditionalFormatting sqref="B72:B73">
    <cfRule type="containsText" dxfId="35" priority="14" operator="containsText" text="N">
      <formula>NOT(ISERROR(SEARCH("N",B72)))</formula>
    </cfRule>
    <cfRule type="containsText" dxfId="34" priority="15" operator="containsText" text="Y">
      <formula>NOT(ISERROR(SEARCH("Y",B72)))</formula>
    </cfRule>
  </conditionalFormatting>
  <conditionalFormatting sqref="B77">
    <cfRule type="containsText" dxfId="33" priority="12" operator="containsText" text="N">
      <formula>NOT(ISERROR(SEARCH("N",B77)))</formula>
    </cfRule>
    <cfRule type="containsText" dxfId="32" priority="13" operator="containsText" text="Y">
      <formula>NOT(ISERROR(SEARCH("Y",B77)))</formula>
    </cfRule>
  </conditionalFormatting>
  <conditionalFormatting sqref="B19:C19">
    <cfRule type="cellIs" dxfId="31" priority="9" operator="lessThan">
      <formula>$B$18</formula>
    </cfRule>
    <cfRule type="cellIs" dxfId="30" priority="10" operator="equal">
      <formula>$B$18</formula>
    </cfRule>
    <cfRule type="cellIs" dxfId="29" priority="11" operator="greaterThan">
      <formula>$B$18</formula>
    </cfRule>
  </conditionalFormatting>
  <conditionalFormatting sqref="B9">
    <cfRule type="cellIs" dxfId="28" priority="8" operator="greaterThan">
      <formula>$B$8</formula>
    </cfRule>
  </conditionalFormatting>
  <conditionalFormatting sqref="B5:B6">
    <cfRule type="containsText" dxfId="27" priority="5" operator="containsText" text="Mayyybe">
      <formula>NOT(ISERROR(SEARCH("Mayyybe",B5)))</formula>
    </cfRule>
    <cfRule type="containsText" dxfId="26" priority="6" operator="containsText" text="GOLDEN">
      <formula>NOT(ISERROR(SEARCH("GOLDEN",B5)))</formula>
    </cfRule>
    <cfRule type="containsText" dxfId="25" priority="7" operator="containsText" text="NOPE">
      <formula>NOT(ISERROR(SEARCH("NOPE",B5)))</formula>
    </cfRule>
  </conditionalFormatting>
  <conditionalFormatting sqref="C1:C2">
    <cfRule type="containsText" dxfId="24" priority="2" operator="containsText" text="Mayyybe">
      <formula>NOT(ISERROR(SEARCH("Mayyybe",C1)))</formula>
    </cfRule>
    <cfRule type="containsText" dxfId="23" priority="3" operator="containsText" text="GOLDEN">
      <formula>NOT(ISERROR(SEARCH("GOLDEN",C1)))</formula>
    </cfRule>
    <cfRule type="containsText" dxfId="22" priority="4" operator="containsText" text="NOPE">
      <formula>NOT(ISERROR(SEARCH("NOPE",C1)))</formula>
    </cfRule>
  </conditionalFormatting>
  <conditionalFormatting sqref="G1">
    <cfRule type="cellIs" dxfId="21" priority="1" operator="greaterThan">
      <formula>$B$8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DFE4-61A9-498B-9AD7-308DAC5B3778}">
  <sheetPr>
    <tabColor theme="9" tint="0.59999389629810485"/>
  </sheetPr>
  <dimension ref="A1:O79"/>
  <sheetViews>
    <sheetView tabSelected="1" workbookViewId="0">
      <pane ySplit="1" topLeftCell="A2" activePane="bottomLeft" state="frozen"/>
      <selection pane="bottomLeft" activeCell="G21" sqref="G21"/>
    </sheetView>
  </sheetViews>
  <sheetFormatPr defaultRowHeight="14.4" x14ac:dyDescent="0.3"/>
  <cols>
    <col min="1" max="1" width="23.44140625" customWidth="1"/>
    <col min="2" max="2" width="15.109375" customWidth="1"/>
    <col min="3" max="3" width="10.5546875" bestFit="1" customWidth="1"/>
    <col min="5" max="5" width="11.5546875" bestFit="1" customWidth="1"/>
    <col min="7" max="7" width="11.5546875" bestFit="1" customWidth="1"/>
    <col min="9" max="9" width="12.109375" bestFit="1" customWidth="1"/>
    <col min="11" max="11" width="10.5546875" bestFit="1" customWidth="1"/>
    <col min="13" max="13" width="11.109375" bestFit="1" customWidth="1"/>
    <col min="15" max="15" width="12.109375" bestFit="1" customWidth="1"/>
  </cols>
  <sheetData>
    <row r="1" spans="1:15" x14ac:dyDescent="0.3">
      <c r="B1" t="s">
        <v>43</v>
      </c>
      <c r="C1" s="5" t="str">
        <f>IF(B9&gt;B8,"NOPE",IF(C79=4,"GOLDEN",IF(C79=3,"Mayyybe…",IF(C79&lt;3,"Yeah…NO"))))</f>
        <v>GOLDEN</v>
      </c>
      <c r="D1" t="s">
        <v>84</v>
      </c>
      <c r="E1" s="4">
        <f>B8</f>
        <v>140000</v>
      </c>
      <c r="F1" t="s">
        <v>85</v>
      </c>
      <c r="G1" s="19">
        <f>B9</f>
        <v>87285</v>
      </c>
      <c r="H1" t="s">
        <v>86</v>
      </c>
      <c r="I1" s="4">
        <f>B10</f>
        <v>52715</v>
      </c>
      <c r="J1" t="s">
        <v>87</v>
      </c>
      <c r="K1" s="4">
        <f>B62</f>
        <v>11385</v>
      </c>
      <c r="L1" t="s">
        <v>88</v>
      </c>
      <c r="M1" s="4">
        <f>B50</f>
        <v>64100</v>
      </c>
      <c r="N1" t="s">
        <v>89</v>
      </c>
      <c r="O1" s="4">
        <f>B10</f>
        <v>52715</v>
      </c>
    </row>
    <row r="2" spans="1:15" x14ac:dyDescent="0.3">
      <c r="A2" t="s">
        <v>11</v>
      </c>
      <c r="C2" s="24"/>
    </row>
    <row r="3" spans="1:15" ht="15.6" customHeight="1" x14ac:dyDescent="0.3">
      <c r="A3" s="10" t="s">
        <v>12</v>
      </c>
      <c r="B3" s="26" t="s">
        <v>93</v>
      </c>
      <c r="C3" s="26"/>
      <c r="D3" s="26"/>
      <c r="E3" s="26"/>
      <c r="F3" s="26"/>
      <c r="G3" s="26"/>
    </row>
    <row r="4" spans="1:15" x14ac:dyDescent="0.3">
      <c r="A4" s="10" t="s">
        <v>66</v>
      </c>
      <c r="B4" t="s">
        <v>67</v>
      </c>
    </row>
    <row r="5" spans="1:15" x14ac:dyDescent="0.3">
      <c r="A5" s="10" t="s">
        <v>43</v>
      </c>
      <c r="B5" s="28" t="str">
        <f>IF(B9&gt;B8,"NOPE",IF(C79=4,"GOLDEN",IF(C79=3,"Mayyybe…",IF(C79&lt;3,"Yeah…NO"))))</f>
        <v>GOLDEN</v>
      </c>
    </row>
    <row r="6" spans="1:15" x14ac:dyDescent="0.3">
      <c r="A6" s="10"/>
      <c r="B6" s="28"/>
    </row>
    <row r="7" spans="1:15" x14ac:dyDescent="0.3">
      <c r="A7" s="10"/>
    </row>
    <row r="8" spans="1:15" x14ac:dyDescent="0.3">
      <c r="A8" s="10" t="s">
        <v>60</v>
      </c>
      <c r="B8" s="4">
        <f>B41</f>
        <v>140000</v>
      </c>
    </row>
    <row r="9" spans="1:15" x14ac:dyDescent="0.3">
      <c r="A9" s="18" t="s">
        <v>61</v>
      </c>
      <c r="B9" s="19">
        <f>B14+B15+B62</f>
        <v>87285</v>
      </c>
    </row>
    <row r="10" spans="1:15" x14ac:dyDescent="0.3">
      <c r="A10" s="10" t="s">
        <v>62</v>
      </c>
      <c r="B10" s="4">
        <f>B8-B9</f>
        <v>52715</v>
      </c>
      <c r="E10" s="17"/>
    </row>
    <row r="11" spans="1:15" x14ac:dyDescent="0.3">
      <c r="A11" s="10" t="s">
        <v>70</v>
      </c>
      <c r="B11" s="17">
        <f>B50/B62</f>
        <v>5.6302151954325863</v>
      </c>
    </row>
    <row r="12" spans="1:15" x14ac:dyDescent="0.3">
      <c r="A12" s="10" t="s">
        <v>71</v>
      </c>
      <c r="B12" s="17">
        <f>B19/B62</f>
        <v>0.12687307861220906</v>
      </c>
    </row>
    <row r="13" spans="1:15" ht="15" thickBot="1" x14ac:dyDescent="0.35">
      <c r="B13" s="4"/>
      <c r="C13" t="s">
        <v>92</v>
      </c>
    </row>
    <row r="14" spans="1:15" ht="15" thickBot="1" x14ac:dyDescent="0.35">
      <c r="A14" s="10" t="s">
        <v>50</v>
      </c>
      <c r="B14" s="20">
        <v>15900</v>
      </c>
    </row>
    <row r="15" spans="1:15" ht="15" thickBot="1" x14ac:dyDescent="0.35">
      <c r="A15" s="10" t="s">
        <v>14</v>
      </c>
      <c r="B15" s="20">
        <v>60000</v>
      </c>
    </row>
    <row r="16" spans="1:15" ht="15" thickBot="1" x14ac:dyDescent="0.35">
      <c r="A16" s="10" t="s">
        <v>15</v>
      </c>
      <c r="B16" s="20">
        <v>200000</v>
      </c>
    </row>
    <row r="17" spans="1:6" ht="15" thickBot="1" x14ac:dyDescent="0.35">
      <c r="A17" s="10"/>
      <c r="B17" s="20"/>
    </row>
    <row r="18" spans="1:6" ht="15" thickBot="1" x14ac:dyDescent="0.35">
      <c r="A18" s="10" t="s">
        <v>16</v>
      </c>
      <c r="B18" s="20">
        <v>1000</v>
      </c>
      <c r="C18" s="4">
        <f>B18</f>
        <v>1000</v>
      </c>
    </row>
    <row r="19" spans="1:6" ht="15" thickBot="1" x14ac:dyDescent="0.35">
      <c r="A19" s="10" t="s">
        <v>17</v>
      </c>
      <c r="B19" s="4">
        <f>B20-B35</f>
        <v>1444.45</v>
      </c>
      <c r="C19" s="4">
        <f>C20-C35</f>
        <v>786</v>
      </c>
    </row>
    <row r="20" spans="1:6" ht="15" thickBot="1" x14ac:dyDescent="0.35">
      <c r="A20" s="10" t="s">
        <v>51</v>
      </c>
      <c r="B20" s="20">
        <v>2540</v>
      </c>
      <c r="C20" s="4">
        <f>B20</f>
        <v>2540</v>
      </c>
    </row>
    <row r="21" spans="1:6" x14ac:dyDescent="0.3">
      <c r="A21" s="10" t="s">
        <v>52</v>
      </c>
      <c r="B21" s="4">
        <f>B20*12</f>
        <v>30480</v>
      </c>
    </row>
    <row r="22" spans="1:6" x14ac:dyDescent="0.3">
      <c r="A22" s="10" t="s">
        <v>91</v>
      </c>
      <c r="B22">
        <f>(K1/B19)</f>
        <v>7.8818927619509154</v>
      </c>
    </row>
    <row r="23" spans="1:6" x14ac:dyDescent="0.3">
      <c r="A23" s="10"/>
    </row>
    <row r="24" spans="1:6" x14ac:dyDescent="0.3">
      <c r="A24" s="12" t="s">
        <v>18</v>
      </c>
      <c r="B24" s="12"/>
      <c r="C24" s="12"/>
    </row>
    <row r="26" spans="1:6" ht="15" thickBot="1" x14ac:dyDescent="0.35">
      <c r="A26" s="11" t="s">
        <v>19</v>
      </c>
      <c r="B26" s="12"/>
      <c r="C26" s="12"/>
      <c r="D26" s="12"/>
      <c r="E26" s="12"/>
      <c r="F26" s="12"/>
    </row>
    <row r="27" spans="1:6" ht="15" thickBot="1" x14ac:dyDescent="0.35">
      <c r="A27" s="10" t="s">
        <v>56</v>
      </c>
      <c r="B27" s="21">
        <v>0.02</v>
      </c>
      <c r="C27" s="25">
        <f>B27</f>
        <v>0.02</v>
      </c>
    </row>
    <row r="28" spans="1:6" x14ac:dyDescent="0.3">
      <c r="A28" s="10" t="s">
        <v>44</v>
      </c>
      <c r="B28" s="4">
        <f>B39*B27</f>
        <v>4000</v>
      </c>
      <c r="C28" s="4">
        <f>B28</f>
        <v>4000</v>
      </c>
    </row>
    <row r="29" spans="1:6" ht="15" thickBot="1" x14ac:dyDescent="0.35">
      <c r="A29" s="10" t="s">
        <v>65</v>
      </c>
      <c r="B29" s="4">
        <f>B28/12</f>
        <v>333.33333333333331</v>
      </c>
      <c r="C29" s="4">
        <f>B29</f>
        <v>333.33333333333331</v>
      </c>
    </row>
    <row r="30" spans="1:6" ht="15" thickBot="1" x14ac:dyDescent="0.35">
      <c r="A30" s="10" t="s">
        <v>53</v>
      </c>
      <c r="B30" s="21">
        <v>0.06</v>
      </c>
      <c r="C30" s="25">
        <f>B30</f>
        <v>0.06</v>
      </c>
    </row>
    <row r="31" spans="1:6" x14ac:dyDescent="0.3">
      <c r="A31" s="10" t="s">
        <v>55</v>
      </c>
      <c r="B31" s="4">
        <f>(B65*B30)</f>
        <v>4098.5999999999995</v>
      </c>
      <c r="C31" s="4">
        <f>B16*C30</f>
        <v>12000</v>
      </c>
    </row>
    <row r="32" spans="1:6" x14ac:dyDescent="0.3">
      <c r="A32" s="10" t="s">
        <v>54</v>
      </c>
      <c r="B32" s="4">
        <f>B31/12</f>
        <v>341.54999999999995</v>
      </c>
      <c r="C32" s="4">
        <f>C31/12</f>
        <v>1000</v>
      </c>
    </row>
    <row r="33" spans="1:6" x14ac:dyDescent="0.3">
      <c r="A33" s="10" t="s">
        <v>58</v>
      </c>
      <c r="B33" s="4">
        <f>(B39*1%)/12</f>
        <v>166.66666666666666</v>
      </c>
      <c r="C33" s="4">
        <f>B33</f>
        <v>166.66666666666666</v>
      </c>
    </row>
    <row r="34" spans="1:6" x14ac:dyDescent="0.3">
      <c r="A34" s="10" t="s">
        <v>69</v>
      </c>
      <c r="B34" s="4">
        <f>B20*10%</f>
        <v>254</v>
      </c>
      <c r="C34" s="4">
        <f>C20*10%</f>
        <v>254</v>
      </c>
    </row>
    <row r="35" spans="1:6" x14ac:dyDescent="0.3">
      <c r="A35" s="10" t="s">
        <v>59</v>
      </c>
      <c r="B35" s="4">
        <f>B33+B32+B34+(B28/12)</f>
        <v>1095.55</v>
      </c>
      <c r="C35" s="4">
        <f>C33+C32+C34+(C28/12)</f>
        <v>1754</v>
      </c>
    </row>
    <row r="37" spans="1:6" x14ac:dyDescent="0.3">
      <c r="A37" s="12" t="s">
        <v>20</v>
      </c>
      <c r="B37" s="12"/>
      <c r="C37" s="12"/>
    </row>
    <row r="39" spans="1:6" x14ac:dyDescent="0.3">
      <c r="A39" s="10" t="s">
        <v>22</v>
      </c>
      <c r="B39" s="4">
        <f>B16</f>
        <v>200000</v>
      </c>
    </row>
    <row r="40" spans="1:6" x14ac:dyDescent="0.3">
      <c r="A40" s="10" t="s">
        <v>45</v>
      </c>
      <c r="B40" s="1">
        <v>0.7</v>
      </c>
    </row>
    <row r="41" spans="1:6" x14ac:dyDescent="0.3">
      <c r="A41" s="10" t="s">
        <v>21</v>
      </c>
      <c r="B41" s="4">
        <f>B39*B40</f>
        <v>140000</v>
      </c>
    </row>
    <row r="42" spans="1:6" x14ac:dyDescent="0.3">
      <c r="A42" s="10"/>
    </row>
    <row r="44" spans="1:6" x14ac:dyDescent="0.3">
      <c r="A44" s="11" t="s">
        <v>23</v>
      </c>
      <c r="B44" s="12"/>
      <c r="C44" s="12"/>
      <c r="D44" s="12"/>
      <c r="E44" s="12"/>
      <c r="F44" s="12"/>
    </row>
    <row r="45" spans="1:6" x14ac:dyDescent="0.3">
      <c r="A45" s="11" t="s">
        <v>24</v>
      </c>
      <c r="B45" s="12"/>
      <c r="C45" s="12"/>
      <c r="D45" s="12"/>
      <c r="E45" s="12"/>
      <c r="F45" s="12"/>
    </row>
    <row r="47" spans="1:6" x14ac:dyDescent="0.3">
      <c r="A47" s="10" t="s">
        <v>46</v>
      </c>
      <c r="B47" s="4">
        <f>B41</f>
        <v>140000</v>
      </c>
    </row>
    <row r="48" spans="1:6" x14ac:dyDescent="0.3">
      <c r="A48" s="10" t="s">
        <v>13</v>
      </c>
      <c r="B48" s="4">
        <f>B14</f>
        <v>15900</v>
      </c>
    </row>
    <row r="49" spans="1:2" x14ac:dyDescent="0.3">
      <c r="A49" s="10" t="s">
        <v>26</v>
      </c>
      <c r="B49" s="4">
        <f>B15</f>
        <v>60000</v>
      </c>
    </row>
    <row r="50" spans="1:2" x14ac:dyDescent="0.3">
      <c r="A50" s="10" t="s">
        <v>25</v>
      </c>
      <c r="B50" s="4">
        <f>(B47-B48-B49)</f>
        <v>64100</v>
      </c>
    </row>
    <row r="53" spans="1:2" x14ac:dyDescent="0.3">
      <c r="A53" s="13" t="s">
        <v>27</v>
      </c>
    </row>
    <row r="55" spans="1:2" x14ac:dyDescent="0.3">
      <c r="A55" s="10" t="s">
        <v>13</v>
      </c>
      <c r="B55" s="4">
        <f>B14</f>
        <v>15900</v>
      </c>
    </row>
    <row r="56" spans="1:2" x14ac:dyDescent="0.3">
      <c r="A56" s="10" t="s">
        <v>26</v>
      </c>
      <c r="B56" s="4">
        <f>B15</f>
        <v>60000</v>
      </c>
    </row>
    <row r="57" spans="1:2" ht="15" thickBot="1" x14ac:dyDescent="0.35">
      <c r="A57" s="10" t="s">
        <v>47</v>
      </c>
      <c r="B57" s="4">
        <f>SUM(B55:B56)</f>
        <v>75900</v>
      </c>
    </row>
    <row r="58" spans="1:2" ht="15" thickBot="1" x14ac:dyDescent="0.35">
      <c r="A58" s="10" t="s">
        <v>31</v>
      </c>
      <c r="B58" s="22">
        <v>0.1</v>
      </c>
    </row>
    <row r="59" spans="1:2" ht="15" thickBot="1" x14ac:dyDescent="0.35">
      <c r="A59" s="10" t="s">
        <v>28</v>
      </c>
      <c r="B59" s="4">
        <f>B57*B58</f>
        <v>7590</v>
      </c>
    </row>
    <row r="60" spans="1:2" ht="15" thickBot="1" x14ac:dyDescent="0.35">
      <c r="A60" s="10" t="s">
        <v>30</v>
      </c>
      <c r="B60" s="22">
        <v>0.05</v>
      </c>
    </row>
    <row r="61" spans="1:2" x14ac:dyDescent="0.3">
      <c r="A61" s="10" t="s">
        <v>29</v>
      </c>
      <c r="B61" s="4">
        <f>B57*B60</f>
        <v>3795</v>
      </c>
    </row>
    <row r="62" spans="1:2" x14ac:dyDescent="0.3">
      <c r="A62" s="10" t="s">
        <v>32</v>
      </c>
      <c r="B62" s="4">
        <f>B59+B61</f>
        <v>11385</v>
      </c>
    </row>
    <row r="63" spans="1:2" x14ac:dyDescent="0.3">
      <c r="A63" s="12" t="s">
        <v>33</v>
      </c>
    </row>
    <row r="65" spans="1:4" x14ac:dyDescent="0.3">
      <c r="A65" s="10" t="s">
        <v>34</v>
      </c>
      <c r="B65" s="4">
        <f>B55+B56-B59</f>
        <v>68310</v>
      </c>
    </row>
    <row r="66" spans="1:4" x14ac:dyDescent="0.3">
      <c r="A66" s="12" t="s">
        <v>35</v>
      </c>
      <c r="B66" s="12"/>
    </row>
    <row r="68" spans="1:4" x14ac:dyDescent="0.3">
      <c r="A68" t="s">
        <v>36</v>
      </c>
      <c r="B68" t="str">
        <f>IF(B50&gt;B62, "Y", "N")</f>
        <v>Y</v>
      </c>
      <c r="C68">
        <f>IF(B68="Y", 1, 0)</f>
        <v>1</v>
      </c>
    </row>
    <row r="69" spans="1:4" x14ac:dyDescent="0.3">
      <c r="A69" t="s">
        <v>37</v>
      </c>
      <c r="B69" s="4" t="str">
        <f>IF(B68="N", B50-B62, "…")</f>
        <v>…</v>
      </c>
    </row>
    <row r="71" spans="1:4" x14ac:dyDescent="0.3">
      <c r="A71" s="12" t="s">
        <v>38</v>
      </c>
      <c r="B71" s="12"/>
    </row>
    <row r="72" spans="1:4" x14ac:dyDescent="0.3">
      <c r="A72" s="10" t="s">
        <v>39</v>
      </c>
      <c r="B72" t="str">
        <f>IF(B50&gt;0, "Y", "N")</f>
        <v>Y</v>
      </c>
      <c r="C72">
        <f>IF(B72="Y", 1, 0)</f>
        <v>1</v>
      </c>
    </row>
    <row r="73" spans="1:4" x14ac:dyDescent="0.3">
      <c r="A73" s="10" t="s">
        <v>40</v>
      </c>
      <c r="B73" t="str">
        <f>IF(B19=B18,"Y",IF(B19&gt;B18,"Y",IF(B19&lt;B18,"N","eRRoR")))</f>
        <v>Y</v>
      </c>
      <c r="C73">
        <f>IF(B73="Y", 1, 0)</f>
        <v>1</v>
      </c>
    </row>
    <row r="74" spans="1:4" x14ac:dyDescent="0.3">
      <c r="A74" s="10" t="s">
        <v>41</v>
      </c>
      <c r="B74" s="4" t="str">
        <f>IF(B73="N", B19-B18, "…")</f>
        <v>…</v>
      </c>
    </row>
    <row r="75" spans="1:4" ht="15" thickBot="1" x14ac:dyDescent="0.35">
      <c r="A75" s="11" t="s">
        <v>42</v>
      </c>
      <c r="B75" s="12"/>
      <c r="C75" s="12"/>
      <c r="D75" s="12"/>
    </row>
    <row r="76" spans="1:4" ht="15" thickBot="1" x14ac:dyDescent="0.35">
      <c r="A76" s="10" t="s">
        <v>49</v>
      </c>
      <c r="B76" s="23" t="s">
        <v>72</v>
      </c>
    </row>
    <row r="77" spans="1:4" x14ac:dyDescent="0.3">
      <c r="A77" s="10" t="s">
        <v>48</v>
      </c>
      <c r="B77" t="str">
        <f>IF(B76="G","Y",IF(B76="S","Y","N"))</f>
        <v>Y</v>
      </c>
      <c r="C77">
        <f>IF(B77="Y", 1, 0)</f>
        <v>1</v>
      </c>
    </row>
    <row r="79" spans="1:4" x14ac:dyDescent="0.3">
      <c r="A79" s="10" t="s">
        <v>83</v>
      </c>
      <c r="C79">
        <f>SUM(C68+C72+C73+C77)</f>
        <v>4</v>
      </c>
    </row>
  </sheetData>
  <mergeCells count="2">
    <mergeCell ref="B3:G3"/>
    <mergeCell ref="B5:B6"/>
  </mergeCells>
  <conditionalFormatting sqref="B50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B68">
    <cfRule type="containsText" dxfId="16" priority="16" operator="containsText" text="N">
      <formula>NOT(ISERROR(SEARCH("N",B68)))</formula>
    </cfRule>
    <cfRule type="containsText" dxfId="15" priority="17" operator="containsText" text="Y">
      <formula>NOT(ISERROR(SEARCH("Y",B68)))</formula>
    </cfRule>
  </conditionalFormatting>
  <conditionalFormatting sqref="B72:B73">
    <cfRule type="containsText" dxfId="14" priority="14" operator="containsText" text="N">
      <formula>NOT(ISERROR(SEARCH("N",B72)))</formula>
    </cfRule>
    <cfRule type="containsText" dxfId="13" priority="15" operator="containsText" text="Y">
      <formula>NOT(ISERROR(SEARCH("Y",B72)))</formula>
    </cfRule>
  </conditionalFormatting>
  <conditionalFormatting sqref="B77">
    <cfRule type="containsText" dxfId="12" priority="12" operator="containsText" text="N">
      <formula>NOT(ISERROR(SEARCH("N",B77)))</formula>
    </cfRule>
    <cfRule type="containsText" dxfId="11" priority="13" operator="containsText" text="Y">
      <formula>NOT(ISERROR(SEARCH("Y",B77)))</formula>
    </cfRule>
  </conditionalFormatting>
  <conditionalFormatting sqref="B19:C19">
    <cfRule type="cellIs" dxfId="10" priority="9" operator="lessThan">
      <formula>$B$18</formula>
    </cfRule>
    <cfRule type="cellIs" dxfId="9" priority="10" operator="equal">
      <formula>$B$18</formula>
    </cfRule>
    <cfRule type="cellIs" dxfId="8" priority="11" operator="greaterThan">
      <formula>$B$18</formula>
    </cfRule>
  </conditionalFormatting>
  <conditionalFormatting sqref="B9">
    <cfRule type="cellIs" dxfId="7" priority="8" operator="greaterThan">
      <formula>$B$8</formula>
    </cfRule>
  </conditionalFormatting>
  <conditionalFormatting sqref="B5:B6">
    <cfRule type="containsText" dxfId="6" priority="5" operator="containsText" text="Mayyybe">
      <formula>NOT(ISERROR(SEARCH("Mayyybe",B5)))</formula>
    </cfRule>
    <cfRule type="containsText" dxfId="5" priority="6" operator="containsText" text="GOLDEN">
      <formula>NOT(ISERROR(SEARCH("GOLDEN",B5)))</formula>
    </cfRule>
    <cfRule type="containsText" dxfId="4" priority="7" operator="containsText" text="NOPE">
      <formula>NOT(ISERROR(SEARCH("NOPE",B5)))</formula>
    </cfRule>
  </conditionalFormatting>
  <conditionalFormatting sqref="C1:C2">
    <cfRule type="containsText" dxfId="3" priority="2" operator="containsText" text="Mayyybe">
      <formula>NOT(ISERROR(SEARCH("Mayyybe",C1)))</formula>
    </cfRule>
    <cfRule type="containsText" dxfId="2" priority="3" operator="containsText" text="GOLDEN">
      <formula>NOT(ISERROR(SEARCH("GOLDEN",C1)))</formula>
    </cfRule>
    <cfRule type="containsText" dxfId="1" priority="4" operator="containsText" text="NOPE">
      <formula>NOT(ISERROR(SEARCH("NOPE",C1)))</formula>
    </cfRule>
  </conditionalFormatting>
  <conditionalFormatting sqref="G1">
    <cfRule type="cellIs" dxfId="0" priority="1" operator="greaterThan">
      <formula>$B$8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072F9-082B-4473-80B2-754B64A36A13}">
  <sheetPr codeName="Sheet6"/>
  <dimension ref="A2:C9"/>
  <sheetViews>
    <sheetView workbookViewId="0">
      <selection activeCell="C6" sqref="C6"/>
    </sheetView>
  </sheetViews>
  <sheetFormatPr defaultRowHeight="14.4" x14ac:dyDescent="0.3"/>
  <cols>
    <col min="1" max="1" width="8.88671875" style="16"/>
  </cols>
  <sheetData>
    <row r="2" spans="1:3" x14ac:dyDescent="0.3">
      <c r="A2" s="16" t="s">
        <v>80</v>
      </c>
      <c r="B2" t="s">
        <v>81</v>
      </c>
    </row>
    <row r="3" spans="1:3" x14ac:dyDescent="0.3">
      <c r="A3" s="16" t="s">
        <v>82</v>
      </c>
      <c r="B3" t="s">
        <v>73</v>
      </c>
    </row>
    <row r="4" spans="1:3" x14ac:dyDescent="0.3">
      <c r="C4" t="s">
        <v>74</v>
      </c>
    </row>
    <row r="5" spans="1:3" x14ac:dyDescent="0.3">
      <c r="C5" t="s">
        <v>75</v>
      </c>
    </row>
    <row r="6" spans="1:3" x14ac:dyDescent="0.3">
      <c r="C6" t="s">
        <v>76</v>
      </c>
    </row>
    <row r="7" spans="1:3" x14ac:dyDescent="0.3">
      <c r="C7" t="s">
        <v>77</v>
      </c>
    </row>
    <row r="8" spans="1:3" x14ac:dyDescent="0.3">
      <c r="C8" t="s">
        <v>78</v>
      </c>
    </row>
    <row r="9" spans="1:3" x14ac:dyDescent="0.3">
      <c r="C9" t="s">
        <v>79</v>
      </c>
    </row>
  </sheetData>
  <conditionalFormatting sqref="A1:A1048576">
    <cfRule type="containsText" dxfId="20" priority="1" operator="containsText" text="SUS">
      <formula>NOT(ISERROR(SEARCH("SUS",A1)))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70% Rule F&amp;F</vt:lpstr>
      <vt:lpstr>Le Cheat Sheet </vt:lpstr>
      <vt:lpstr>Le Cheat Sheet  (3)</vt:lpstr>
      <vt:lpstr>Le Cheat Sheet  (2)</vt:lpstr>
      <vt:lpstr>Le Cheat Sheet  (4)</vt:lpstr>
      <vt:lpstr>Le Cheat Sheet  (5)</vt:lpstr>
      <vt:lpstr>Le Cheat Sheet  (6)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 Joshua  Hellsing</dc:creator>
  <cp:lastModifiedBy>Sir Joshua  Hellsing</cp:lastModifiedBy>
  <dcterms:created xsi:type="dcterms:W3CDTF">2023-04-12T01:51:17Z</dcterms:created>
  <dcterms:modified xsi:type="dcterms:W3CDTF">2023-04-16T09:18:26Z</dcterms:modified>
</cp:coreProperties>
</file>