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895" firstSheet="1" activeTab="7"/>
  </bookViews>
  <sheets>
    <sheet name="Design Data (2)" sheetId="1" r:id="rId1"/>
    <sheet name="Design Data" sheetId="2" r:id="rId2"/>
    <sheet name="Purlin" sheetId="3" r:id="rId3"/>
    <sheet name="Rafter" sheetId="4" r:id="rId4"/>
    <sheet name="Hip" sheetId="5" r:id="rId5"/>
    <sheet name="Valley" sheetId="6" r:id="rId6"/>
    <sheet name="Ridge" sheetId="7" r:id="rId7"/>
    <sheet name="King Post" sheetId="8" r:id="rId8"/>
    <sheet name="Channel" sheetId="9" r:id="rId9"/>
    <sheet name="Equal L" sheetId="10" r:id="rId10"/>
    <sheet name="Analysis of Structure" sheetId="11" r:id="rId11"/>
    <sheet name="Sheet9" sheetId="12" r:id="rId12"/>
    <sheet name="Sheet8" sheetId="13" r:id="rId13"/>
    <sheet name="Sheet7" sheetId="14" r:id="rId14"/>
    <sheet name="Sheet6" sheetId="15" r:id="rId15"/>
    <sheet name="Sheet5" sheetId="16" r:id="rId16"/>
    <sheet name="Sheet4" sheetId="17" r:id="rId17"/>
    <sheet name="Sheet3" sheetId="18" r:id="rId18"/>
    <sheet name="Sheet2" sheetId="19" r:id="rId19"/>
    <sheet name="Sheet1" sheetId="20" r:id="rId20"/>
  </sheets>
  <definedNames>
    <definedName name="_xlnm.Print_Titles" localSheetId="2">'Purlin'!$1:$3</definedName>
  </definedNames>
  <calcPr fullCalcOnLoad="1"/>
</workbook>
</file>

<file path=xl/comments1.xml><?xml version="1.0" encoding="utf-8"?>
<comments xmlns="http://schemas.openxmlformats.org/spreadsheetml/2006/main">
  <authors>
    <author>KOBPUK</author>
  </authors>
  <commentList>
    <comment ref="H17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C  1  -  32
L  1  -  47</t>
        </r>
      </text>
    </comment>
    <comment ref="F18" authorId="0">
      <text>
        <r>
          <rPr>
            <sz val="8"/>
            <rFont val="Tahoma"/>
            <family val="0"/>
          </rPr>
          <t xml:space="preserve">
 1  =  ไม่ใส่  Sag Rod
 2  =  ใส่  Sag Rod ที่กึ่งกลางแป
 3  =  ใส่  Sag Rod ที่ระยะ L/3</t>
        </r>
      </text>
    </comment>
  </commentList>
</comments>
</file>

<file path=xl/comments2.xml><?xml version="1.0" encoding="utf-8"?>
<comments xmlns="http://schemas.openxmlformats.org/spreadsheetml/2006/main">
  <authors>
    <author>KOBPUK</author>
  </authors>
  <commentList>
    <comment ref="H17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C  1  -  32
L  1  -  47</t>
        </r>
      </text>
    </comment>
    <comment ref="F18" authorId="0">
      <text>
        <r>
          <rPr>
            <sz val="8"/>
            <rFont val="Tahoma"/>
            <family val="0"/>
          </rPr>
          <t xml:space="preserve">
 1  =  ไม่ใส่  Sag Rod
 2  =  ใส่  Sag Rod ที่กึ่งกลางแป
 3  =  ใส่  Sag Rod ที่ระยะ L/3</t>
        </r>
      </text>
    </comment>
  </commentList>
</comments>
</file>

<file path=xl/sharedStrings.xml><?xml version="1.0" encoding="utf-8"?>
<sst xmlns="http://schemas.openxmlformats.org/spreadsheetml/2006/main" count="866" uniqueCount="279">
  <si>
    <t>Sx</t>
  </si>
  <si>
    <t>m</t>
  </si>
  <si>
    <t>ความยาวของช่วงแป</t>
  </si>
  <si>
    <t>L</t>
  </si>
  <si>
    <t>DL</t>
  </si>
  <si>
    <t>PROJECT  :</t>
  </si>
  <si>
    <t>ENGINEER  :</t>
  </si>
  <si>
    <t>=</t>
  </si>
  <si>
    <t>kg/m</t>
  </si>
  <si>
    <r>
      <t>cm</t>
    </r>
    <r>
      <rPr>
        <vertAlign val="superscript"/>
        <sz val="14"/>
        <rFont val="Cordia New"/>
        <family val="2"/>
      </rPr>
      <t>3</t>
    </r>
  </si>
  <si>
    <r>
      <t>kg/m</t>
    </r>
    <r>
      <rPr>
        <vertAlign val="superscript"/>
        <sz val="14"/>
        <rFont val="Cordia New"/>
        <family val="2"/>
      </rPr>
      <t>2</t>
    </r>
  </si>
  <si>
    <t>cm</t>
  </si>
  <si>
    <r>
      <t>kg/cm</t>
    </r>
    <r>
      <rPr>
        <vertAlign val="superscript"/>
        <sz val="14"/>
        <rFont val="Cordia New"/>
        <family val="2"/>
      </rPr>
      <t>2</t>
    </r>
  </si>
  <si>
    <t>E</t>
  </si>
  <si>
    <t>แรงลม  :</t>
  </si>
  <si>
    <t>Allowable Bending Stress</t>
  </si>
  <si>
    <t>น้ำหนักแป (สมมุติ)</t>
  </si>
  <si>
    <t>น้ำหนักจร</t>
  </si>
  <si>
    <t>P</t>
  </si>
  <si>
    <t>Actual Bending Stress</t>
  </si>
  <si>
    <t>Sy</t>
  </si>
  <si>
    <t>Iy</t>
  </si>
  <si>
    <t>Light Lip Channel</t>
  </si>
  <si>
    <t>Sectional Dimensional</t>
  </si>
  <si>
    <t>(mm.)    </t>
  </si>
  <si>
    <t>Area</t>
  </si>
  <si>
    <t xml:space="preserve">(cm^2) </t>
  </si>
  <si>
    <t>Weight</t>
  </si>
  <si>
    <t xml:space="preserve">(kg/m) </t>
  </si>
  <si>
    <t>Distance</t>
  </si>
  <si>
    <t>from CG.</t>
  </si>
  <si>
    <t>(cm.)</t>
  </si>
  <si>
    <t>Moment of Inertia</t>
  </si>
  <si>
    <t xml:space="preserve">(cm^4) </t>
  </si>
  <si>
    <t>Radius of Gyration</t>
  </si>
  <si>
    <t xml:space="preserve">(cm.) </t>
  </si>
  <si>
    <t>Modulus of Section</t>
  </si>
  <si>
    <t xml:space="preserve">(cm^3) </t>
  </si>
  <si>
    <t>Shear Distance</t>
  </si>
  <si>
    <t>H x B x C</t>
  </si>
  <si>
    <t>t</t>
  </si>
  <si>
    <t>C x</t>
  </si>
  <si>
    <t>C y</t>
  </si>
  <si>
    <t xml:space="preserve">Ix </t>
  </si>
  <si>
    <t xml:space="preserve">ix </t>
  </si>
  <si>
    <t>iy</t>
  </si>
  <si>
    <t>Zx</t>
  </si>
  <si>
    <t>Zy</t>
  </si>
  <si>
    <t>60 x 30 x 10</t>
  </si>
  <si>
    <t>75 x 35 x 15</t>
  </si>
  <si>
    <t>75 x 45 x 15</t>
  </si>
  <si>
    <t>90 x 48 x 20</t>
  </si>
  <si>
    <t>100 x 50 x 20</t>
  </si>
  <si>
    <t>120 x 40 x 20</t>
  </si>
  <si>
    <t>120 x 60 x 20</t>
  </si>
  <si>
    <t>120 x 60 x 25</t>
  </si>
  <si>
    <t>125 x 50 x 20</t>
  </si>
  <si>
    <t>150 x 50 x 20</t>
  </si>
  <si>
    <t>150 x 65 x 20</t>
  </si>
  <si>
    <t>150 x 75 x 20</t>
  </si>
  <si>
    <t>150 x 75 x 25</t>
  </si>
  <si>
    <t>200 x 75 x 20</t>
  </si>
  <si>
    <t>200 x 75 x 25</t>
  </si>
  <si>
    <t>250 x 75 x 25</t>
  </si>
  <si>
    <t>Sectional</t>
  </si>
  <si>
    <t>ขนาด</t>
  </si>
  <si>
    <t>Equal Angle</t>
  </si>
  <si>
    <t xml:space="preserve">(TIS 1227 : 1996 / JIS G3192 : 1990) </t>
  </si>
  <si>
    <t>  (mm.)    </t>
  </si>
  <si>
    <t>(cm^2)</t>
  </si>
  <si>
    <t>Modulus of</t>
  </si>
  <si>
    <t>Section</t>
  </si>
  <si>
    <t>Distance of</t>
  </si>
  <si>
    <t>Center of</t>
  </si>
  <si>
    <t>gravity (cm.)</t>
  </si>
  <si>
    <t>H x B</t>
  </si>
  <si>
    <t>r1</t>
  </si>
  <si>
    <t>r2</t>
  </si>
  <si>
    <t>Iu</t>
  </si>
  <si>
    <t>Iv</t>
  </si>
  <si>
    <t>iu</t>
  </si>
  <si>
    <t>iv</t>
  </si>
  <si>
    <t>Cx</t>
  </si>
  <si>
    <t>Cy</t>
  </si>
  <si>
    <t>25 x 25</t>
  </si>
  <si>
    <t>30 x 30</t>
  </si>
  <si>
    <t>40 x 40</t>
  </si>
  <si>
    <t>45 x 45</t>
  </si>
  <si>
    <t>50 x 50</t>
  </si>
  <si>
    <t>60 x 60</t>
  </si>
  <si>
    <t>65 x 65</t>
  </si>
  <si>
    <t>70 x 70</t>
  </si>
  <si>
    <t>75 x 75</t>
  </si>
  <si>
    <t>80 x 80</t>
  </si>
  <si>
    <t>90 x 90</t>
  </si>
  <si>
    <t>100 x 100</t>
  </si>
  <si>
    <t>120 x 120</t>
  </si>
  <si>
    <t>130 x 130</t>
  </si>
  <si>
    <t>150 x 150</t>
  </si>
  <si>
    <t>175 x 175</t>
  </si>
  <si>
    <t>200 x 200</t>
  </si>
  <si>
    <t>250 x 250</t>
  </si>
  <si>
    <t>w</t>
  </si>
  <si>
    <t>D</t>
  </si>
  <si>
    <t>ออกแบบจันทันเหล็ก (Steel Rafter Design)</t>
  </si>
  <si>
    <t>แป</t>
  </si>
  <si>
    <t>C</t>
  </si>
  <si>
    <t>จันทัน</t>
  </si>
  <si>
    <t>วัสดุมุงหลังคา</t>
  </si>
  <si>
    <t>ฝ้าเพดาน</t>
  </si>
  <si>
    <t>kg</t>
  </si>
  <si>
    <t>อกไก่</t>
  </si>
  <si>
    <t>ดั้ง</t>
  </si>
  <si>
    <t>ออกแบบแปเหล็ก (Steel Purlin Design)</t>
  </si>
  <si>
    <t>Steel Properties  :  เหล็กรูปพรรณมาตรฐาน ว.ส.ท. และ AISC</t>
  </si>
  <si>
    <t>ค่าโมดูลัสยืดหยุ่น (Young's Modulus)</t>
  </si>
  <si>
    <t>ค่ากำลังจุดคลาก (Yield Strength)</t>
  </si>
  <si>
    <r>
      <t>F</t>
    </r>
    <r>
      <rPr>
        <vertAlign val="subscript"/>
        <sz val="10"/>
        <rFont val="MS Sans Serif"/>
        <family val="2"/>
      </rPr>
      <t>b</t>
    </r>
  </si>
  <si>
    <r>
      <t>kg/cm</t>
    </r>
    <r>
      <rPr>
        <vertAlign val="superscript"/>
        <sz val="10"/>
        <rFont val="MS Sans Serif"/>
        <family val="2"/>
      </rPr>
      <t>2</t>
    </r>
  </si>
  <si>
    <t>Structure</t>
  </si>
  <si>
    <t>ตะเข้สัน</t>
  </si>
  <si>
    <t>Type</t>
  </si>
  <si>
    <t>mm</t>
  </si>
  <si>
    <r>
      <t>cm</t>
    </r>
    <r>
      <rPr>
        <vertAlign val="superscript"/>
        <sz val="10"/>
        <rFont val="MS Sans Serif"/>
        <family val="2"/>
      </rPr>
      <t>2</t>
    </r>
  </si>
  <si>
    <r>
      <t>cm</t>
    </r>
    <r>
      <rPr>
        <vertAlign val="superscript"/>
        <sz val="10"/>
        <rFont val="MS Sans Serif"/>
        <family val="2"/>
      </rPr>
      <t>4</t>
    </r>
  </si>
  <si>
    <r>
      <t>cm</t>
    </r>
    <r>
      <rPr>
        <vertAlign val="superscript"/>
        <sz val="10"/>
        <rFont val="MS Sans Serif"/>
        <family val="2"/>
      </rPr>
      <t>3</t>
    </r>
  </si>
  <si>
    <t>Design Section</t>
  </si>
  <si>
    <r>
      <t>I</t>
    </r>
    <r>
      <rPr>
        <vertAlign val="subscript"/>
        <sz val="10"/>
        <rFont val="MS Sans Serif"/>
        <family val="2"/>
      </rPr>
      <t>x</t>
    </r>
  </si>
  <si>
    <r>
      <t>I</t>
    </r>
    <r>
      <rPr>
        <vertAlign val="subscript"/>
        <sz val="10"/>
        <rFont val="MS Sans Serif"/>
        <family val="2"/>
      </rPr>
      <t>y</t>
    </r>
  </si>
  <si>
    <r>
      <t>S</t>
    </r>
    <r>
      <rPr>
        <vertAlign val="subscript"/>
        <sz val="10"/>
        <rFont val="MS Sans Serif"/>
        <family val="2"/>
      </rPr>
      <t>x</t>
    </r>
  </si>
  <si>
    <r>
      <t>S</t>
    </r>
    <r>
      <rPr>
        <vertAlign val="subscript"/>
        <sz val="10"/>
        <rFont val="MS Sans Serif"/>
        <family val="2"/>
      </rPr>
      <t>y</t>
    </r>
  </si>
  <si>
    <t>Steel Properties  :</t>
  </si>
  <si>
    <t>External Loads  :</t>
  </si>
  <si>
    <r>
      <t>Yield Strength   F</t>
    </r>
    <r>
      <rPr>
        <vertAlign val="subscript"/>
        <sz val="10"/>
        <rFont val="MS Sans Serif"/>
        <family val="2"/>
      </rPr>
      <t>y</t>
    </r>
  </si>
  <si>
    <t>s</t>
  </si>
  <si>
    <t>Sag</t>
  </si>
  <si>
    <t>Rod</t>
  </si>
  <si>
    <t>Design Data</t>
  </si>
  <si>
    <t>Steel</t>
  </si>
  <si>
    <t>Size</t>
  </si>
  <si>
    <t xml:space="preserve"> @m</t>
  </si>
  <si>
    <t>Result</t>
  </si>
  <si>
    <t>Roof Structure Design</t>
  </si>
  <si>
    <t>Roof Dimension  :</t>
  </si>
  <si>
    <t>h</t>
  </si>
  <si>
    <t>b</t>
  </si>
  <si>
    <r>
      <t>kg/cm</t>
    </r>
    <r>
      <rPr>
        <vertAlign val="superscript"/>
        <sz val="10"/>
        <color indexed="9"/>
        <rFont val="MS Sans Serif"/>
        <family val="2"/>
      </rPr>
      <t>2</t>
    </r>
  </si>
  <si>
    <t>King Post Design Data  :</t>
  </si>
  <si>
    <t>สูง   H</t>
  </si>
  <si>
    <t>s'</t>
  </si>
  <si>
    <r>
      <t>F</t>
    </r>
    <r>
      <rPr>
        <vertAlign val="subscript"/>
        <sz val="14"/>
        <rFont val="Cordia New"/>
        <family val="2"/>
      </rPr>
      <t>y</t>
    </r>
  </si>
  <si>
    <r>
      <t>หน่วยแรงอัดที่ยอมให้ (Allowable Bending Stress)    F</t>
    </r>
    <r>
      <rPr>
        <vertAlign val="subscript"/>
        <sz val="14"/>
        <rFont val="Cordia New"/>
        <family val="2"/>
      </rPr>
      <t>b</t>
    </r>
    <r>
      <rPr>
        <sz val="14"/>
        <rFont val="Cordia New"/>
        <family val="2"/>
      </rPr>
      <t xml:space="preserve">  =  0.6F</t>
    </r>
    <r>
      <rPr>
        <vertAlign val="subscript"/>
        <sz val="14"/>
        <rFont val="Cordia New"/>
        <family val="2"/>
      </rPr>
      <t>y</t>
    </r>
  </si>
  <si>
    <r>
      <t>F</t>
    </r>
    <r>
      <rPr>
        <vertAlign val="subscript"/>
        <sz val="14"/>
        <rFont val="Cordia New"/>
        <family val="2"/>
      </rPr>
      <t>b</t>
    </r>
  </si>
  <si>
    <t>ระยะวางแปตามลาด</t>
  </si>
  <si>
    <t>ระยะวางแปทางระดับ</t>
  </si>
  <si>
    <t>q  =</t>
  </si>
  <si>
    <t>Young's Modulus    E</t>
  </si>
  <si>
    <t>แรงลมตามแนวราบ</t>
  </si>
  <si>
    <r>
      <t>kg/m</t>
    </r>
    <r>
      <rPr>
        <vertAlign val="superscript"/>
        <sz val="10"/>
        <rFont val="MS Sans Serif"/>
        <family val="2"/>
      </rPr>
      <t>2</t>
    </r>
  </si>
  <si>
    <r>
      <t>w</t>
    </r>
    <r>
      <rPr>
        <vertAlign val="subscript"/>
        <sz val="14"/>
        <rFont val="Cordia New"/>
        <family val="2"/>
      </rPr>
      <t>0</t>
    </r>
  </si>
  <si>
    <t xml:space="preserve"> - วัสดุมุงหลังคา</t>
  </si>
  <si>
    <t xml:space="preserve"> - ฝ้าเพดาน</t>
  </si>
  <si>
    <t xml:space="preserve"> - น้ำหนักจร</t>
  </si>
  <si>
    <r>
      <t>w</t>
    </r>
    <r>
      <rPr>
        <vertAlign val="subscript"/>
        <sz val="14"/>
        <rFont val="Cordia New"/>
        <family val="2"/>
      </rPr>
      <t>t</t>
    </r>
  </si>
  <si>
    <r>
      <t>P[ 2Sin</t>
    </r>
    <r>
      <rPr>
        <sz val="12"/>
        <rFont val="Symbol"/>
        <family val="1"/>
      </rPr>
      <t>q</t>
    </r>
    <r>
      <rPr>
        <i/>
        <sz val="14"/>
        <rFont val="Symbol"/>
        <family val="1"/>
      </rPr>
      <t xml:space="preserve"> </t>
    </r>
    <r>
      <rPr>
        <sz val="14"/>
        <rFont val="Cordia New"/>
        <family val="2"/>
      </rPr>
      <t>] / [ 1+Sin</t>
    </r>
    <r>
      <rPr>
        <vertAlign val="superscript"/>
        <sz val="14"/>
        <rFont val="Cordia New"/>
        <family val="2"/>
      </rPr>
      <t>2</t>
    </r>
    <r>
      <rPr>
        <sz val="12"/>
        <rFont val="Symbol"/>
        <family val="1"/>
      </rPr>
      <t>q</t>
    </r>
    <r>
      <rPr>
        <i/>
        <sz val="14"/>
        <rFont val="Symbol"/>
        <family val="1"/>
      </rPr>
      <t xml:space="preserve"> </t>
    </r>
    <r>
      <rPr>
        <sz val="14"/>
        <rFont val="Cordia New"/>
        <family val="2"/>
      </rPr>
      <t xml:space="preserve"> ]</t>
    </r>
  </si>
  <si>
    <r>
      <t>P</t>
    </r>
    <r>
      <rPr>
        <vertAlign val="subscript"/>
        <sz val="14"/>
        <rFont val="Cordia New"/>
        <family val="2"/>
      </rPr>
      <t>n</t>
    </r>
  </si>
  <si>
    <t>แนวราบ</t>
  </si>
  <si>
    <t>แนวตั้งฉาก</t>
  </si>
  <si>
    <t>Design Loads  :</t>
  </si>
  <si>
    <r>
      <t>w</t>
    </r>
    <r>
      <rPr>
        <vertAlign val="subscript"/>
        <sz val="14"/>
        <rFont val="Cordia New"/>
        <family val="2"/>
      </rPr>
      <t>t</t>
    </r>
    <r>
      <rPr>
        <sz val="14"/>
        <rFont val="Cordia New"/>
        <family val="2"/>
      </rPr>
      <t xml:space="preserve">  =  w</t>
    </r>
    <r>
      <rPr>
        <vertAlign val="subscript"/>
        <sz val="14"/>
        <rFont val="Cordia New"/>
        <family val="2"/>
      </rPr>
      <t>0</t>
    </r>
    <r>
      <rPr>
        <sz val="14"/>
        <rFont val="Cordia New"/>
        <family val="2"/>
      </rPr>
      <t xml:space="preserve"> + w</t>
    </r>
    <r>
      <rPr>
        <vertAlign val="subscript"/>
        <sz val="14"/>
        <rFont val="Cordia New"/>
        <family val="2"/>
      </rPr>
      <t>1</t>
    </r>
  </si>
  <si>
    <r>
      <t>w</t>
    </r>
    <r>
      <rPr>
        <vertAlign val="subscript"/>
        <sz val="14"/>
        <rFont val="Cordia New"/>
        <family val="2"/>
      </rPr>
      <t>1</t>
    </r>
  </si>
  <si>
    <r>
      <t>w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 =  w</t>
    </r>
    <r>
      <rPr>
        <vertAlign val="subscript"/>
        <sz val="14"/>
        <rFont val="Cordia New"/>
        <family val="2"/>
      </rPr>
      <t xml:space="preserve">t </t>
    </r>
    <r>
      <rPr>
        <sz val="14"/>
        <rFont val="Cordia New"/>
        <family val="2"/>
      </rPr>
      <t>Sin</t>
    </r>
    <r>
      <rPr>
        <sz val="12"/>
        <rFont val="Symbol"/>
        <family val="1"/>
      </rPr>
      <t>q</t>
    </r>
    <r>
      <rPr>
        <i/>
        <sz val="14"/>
        <rFont val="Symbol"/>
        <family val="1"/>
      </rPr>
      <t xml:space="preserve"> </t>
    </r>
  </si>
  <si>
    <r>
      <t>w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 =  w</t>
    </r>
    <r>
      <rPr>
        <vertAlign val="subscript"/>
        <sz val="14"/>
        <rFont val="Cordia New"/>
        <family val="2"/>
      </rPr>
      <t xml:space="preserve">t </t>
    </r>
    <r>
      <rPr>
        <sz val="14"/>
        <rFont val="Cordia New"/>
        <family val="2"/>
      </rPr>
      <t>Cos</t>
    </r>
    <r>
      <rPr>
        <sz val="12"/>
        <rFont val="Symbol"/>
        <family val="1"/>
      </rPr>
      <t>q</t>
    </r>
    <r>
      <rPr>
        <i/>
        <sz val="14"/>
        <rFont val="Symbol"/>
        <family val="1"/>
      </rPr>
      <t xml:space="preserve"> </t>
    </r>
    <r>
      <rPr>
        <sz val="14"/>
        <rFont val="Cordia New"/>
        <family val="2"/>
      </rPr>
      <t>+</t>
    </r>
    <r>
      <rPr>
        <i/>
        <sz val="14"/>
        <rFont val="Cordia New"/>
        <family val="2"/>
      </rPr>
      <t xml:space="preserve"> </t>
    </r>
    <r>
      <rPr>
        <sz val="14"/>
        <rFont val="Cordia New"/>
        <family val="2"/>
      </rPr>
      <t>P</t>
    </r>
    <r>
      <rPr>
        <vertAlign val="subscript"/>
        <sz val="14"/>
        <rFont val="Cordia New"/>
        <family val="2"/>
      </rPr>
      <t>n</t>
    </r>
  </si>
  <si>
    <r>
      <t>w</t>
    </r>
    <r>
      <rPr>
        <vertAlign val="subscript"/>
        <sz val="14"/>
        <rFont val="Cordia New"/>
        <family val="2"/>
      </rPr>
      <t>x</t>
    </r>
  </si>
  <si>
    <r>
      <t>w</t>
    </r>
    <r>
      <rPr>
        <vertAlign val="subscript"/>
        <sz val="14"/>
        <rFont val="Cordia New"/>
        <family val="2"/>
      </rPr>
      <t>y</t>
    </r>
  </si>
  <si>
    <t>Bending Moment  :</t>
  </si>
  <si>
    <t>Moment  รอบแกน  x</t>
  </si>
  <si>
    <t xml:space="preserve"> - ไม่ใส่  Sag Rod</t>
  </si>
  <si>
    <t xml:space="preserve"> - ใส่  Sag Rod  ที่กึ่งกลางแป</t>
  </si>
  <si>
    <t xml:space="preserve"> - ใส่  Sag Rod  ที่ระยะ  L/3</t>
  </si>
  <si>
    <r>
      <t>M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 =  w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L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/8</t>
    </r>
  </si>
  <si>
    <r>
      <t>M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 =  w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L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/8</t>
    </r>
  </si>
  <si>
    <r>
      <t>M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 =  w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L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/32</t>
    </r>
  </si>
  <si>
    <r>
      <t>M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 =  2w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L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/175</t>
    </r>
  </si>
  <si>
    <t>Moment  รอบแกน  y  มี  3  กรณี</t>
  </si>
  <si>
    <t>kg - m</t>
  </si>
  <si>
    <t>Design Section  :</t>
  </si>
  <si>
    <t>Required Section Modulus</t>
  </si>
  <si>
    <r>
      <t>F</t>
    </r>
    <r>
      <rPr>
        <vertAlign val="subscript"/>
        <sz val="14"/>
        <rFont val="Cordia New"/>
        <family val="2"/>
      </rPr>
      <t>b</t>
    </r>
    <r>
      <rPr>
        <sz val="14"/>
        <rFont val="Cordia New"/>
        <family val="2"/>
      </rPr>
      <t xml:space="preserve">  =  0.6F</t>
    </r>
    <r>
      <rPr>
        <vertAlign val="subscript"/>
        <sz val="14"/>
        <rFont val="Cordia New"/>
        <family val="2"/>
      </rPr>
      <t>y</t>
    </r>
  </si>
  <si>
    <r>
      <t>S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 =  M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/ F</t>
    </r>
    <r>
      <rPr>
        <vertAlign val="subscript"/>
        <sz val="14"/>
        <rFont val="Cordia New"/>
        <family val="2"/>
      </rPr>
      <t>b</t>
    </r>
  </si>
  <si>
    <r>
      <t>S</t>
    </r>
    <r>
      <rPr>
        <vertAlign val="subscript"/>
        <sz val="14"/>
        <rFont val="Cordia New"/>
        <family val="2"/>
      </rPr>
      <t>x</t>
    </r>
  </si>
  <si>
    <t>กรณี</t>
  </si>
  <si>
    <r>
      <t>I</t>
    </r>
    <r>
      <rPr>
        <vertAlign val="subscript"/>
        <sz val="14"/>
        <rFont val="Cordia New"/>
        <family val="2"/>
      </rPr>
      <t>x</t>
    </r>
  </si>
  <si>
    <r>
      <t>S</t>
    </r>
    <r>
      <rPr>
        <vertAlign val="subscript"/>
        <sz val="14"/>
        <rFont val="Cordia New"/>
        <family val="2"/>
      </rPr>
      <t>y</t>
    </r>
  </si>
  <si>
    <t>Allowable Deflection</t>
  </si>
  <si>
    <t>Actual Deflection</t>
  </si>
  <si>
    <r>
      <t>f</t>
    </r>
    <r>
      <rPr>
        <vertAlign val="subscript"/>
        <sz val="14"/>
        <rFont val="Cordia New"/>
        <family val="2"/>
      </rPr>
      <t>b</t>
    </r>
    <r>
      <rPr>
        <sz val="14"/>
        <rFont val="Cordia New"/>
        <family val="2"/>
      </rPr>
      <t xml:space="preserve">  =  (M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/ S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>) + (M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/ S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>)</t>
    </r>
  </si>
  <si>
    <r>
      <t>D</t>
    </r>
    <r>
      <rPr>
        <vertAlign val="subscript"/>
        <sz val="14"/>
        <rFont val="Cordia New"/>
        <family val="2"/>
      </rPr>
      <t>all</t>
    </r>
    <r>
      <rPr>
        <sz val="14"/>
        <rFont val="Cordia New"/>
        <family val="2"/>
      </rPr>
      <t xml:space="preserve">  =  L / 360</t>
    </r>
  </si>
  <si>
    <r>
      <t>D</t>
    </r>
    <r>
      <rPr>
        <vertAlign val="subscript"/>
        <sz val="14"/>
        <rFont val="Cordia New"/>
        <family val="2"/>
      </rPr>
      <t>all</t>
    </r>
  </si>
  <si>
    <r>
      <t>D</t>
    </r>
    <r>
      <rPr>
        <vertAlign val="subscript"/>
        <sz val="14"/>
        <rFont val="Cordia New"/>
        <family val="2"/>
      </rPr>
      <t>max</t>
    </r>
    <r>
      <rPr>
        <sz val="14"/>
        <rFont val="Cordia New"/>
        <family val="2"/>
      </rPr>
      <t xml:space="preserve">  =  5/384 (w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>L)(L</t>
    </r>
    <r>
      <rPr>
        <vertAlign val="superscript"/>
        <sz val="14"/>
        <rFont val="Cordia New"/>
        <family val="2"/>
      </rPr>
      <t>3</t>
    </r>
    <r>
      <rPr>
        <sz val="14"/>
        <rFont val="Cordia New"/>
        <family val="2"/>
      </rPr>
      <t>/EI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>)</t>
    </r>
  </si>
  <si>
    <r>
      <t>D</t>
    </r>
    <r>
      <rPr>
        <vertAlign val="subscript"/>
        <sz val="14"/>
        <rFont val="Cordia New"/>
        <family val="2"/>
      </rPr>
      <t>max</t>
    </r>
  </si>
  <si>
    <r>
      <t>f</t>
    </r>
    <r>
      <rPr>
        <vertAlign val="subscript"/>
        <sz val="14"/>
        <rFont val="Cordia New"/>
        <family val="2"/>
      </rPr>
      <t>b</t>
    </r>
  </si>
  <si>
    <t>No Sag Rod</t>
  </si>
  <si>
    <t>Sag Rod  L/2</t>
  </si>
  <si>
    <t>Sag Rod  L/3</t>
  </si>
  <si>
    <t>Allowable Values</t>
  </si>
  <si>
    <t>Design Loads &amp; Bending Moment  :</t>
  </si>
  <si>
    <r>
      <t>M</t>
    </r>
    <r>
      <rPr>
        <sz val="14"/>
        <rFont val="Cordia New"/>
        <family val="2"/>
      </rPr>
      <t xml:space="preserve">  =  w</t>
    </r>
    <r>
      <rPr>
        <sz val="14"/>
        <rFont val="Cordia New"/>
        <family val="2"/>
      </rPr>
      <t xml:space="preserve"> L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/8</t>
    </r>
  </si>
  <si>
    <t>M</t>
  </si>
  <si>
    <r>
      <t>w</t>
    </r>
    <r>
      <rPr>
        <sz val="14"/>
        <rFont val="Cordia New"/>
        <family val="2"/>
      </rPr>
      <t xml:space="preserve">  =  w</t>
    </r>
    <r>
      <rPr>
        <vertAlign val="subscript"/>
        <sz val="14"/>
        <rFont val="Cordia New"/>
        <family val="2"/>
      </rPr>
      <t>t</t>
    </r>
  </si>
  <si>
    <t>ออกแบบดั้งเหล็ก (Steel King Post Design)</t>
  </si>
  <si>
    <t>ดั้งที่ต้องการออกแบบ  :</t>
  </si>
  <si>
    <t>ความสูงของดั้ง</t>
  </si>
  <si>
    <t>น้ำหนักดั้ง (สมมุติ)</t>
  </si>
  <si>
    <r>
      <t>น้ำหนักบรรทุกในแนวดิ่ง  (w</t>
    </r>
    <r>
      <rPr>
        <vertAlign val="subscript"/>
        <sz val="14"/>
        <rFont val="Cordia New"/>
        <family val="2"/>
      </rPr>
      <t>1</t>
    </r>
    <r>
      <rPr>
        <sz val="14"/>
        <rFont val="Cordia New"/>
        <family val="2"/>
      </rPr>
      <t>)</t>
    </r>
  </si>
  <si>
    <t xml:space="preserve"> - อกไก่ 1</t>
  </si>
  <si>
    <t xml:space="preserve"> - อกไก่ 2</t>
  </si>
  <si>
    <t xml:space="preserve"> - จันทัน 1</t>
  </si>
  <si>
    <t xml:space="preserve"> - จันทัน 2</t>
  </si>
  <si>
    <t xml:space="preserve"> - จันทัน 3</t>
  </si>
  <si>
    <t xml:space="preserve"> - ตะเข้ 1</t>
  </si>
  <si>
    <t xml:space="preserve"> - ตะเข้ 2</t>
  </si>
  <si>
    <t>Structural Analysis</t>
  </si>
  <si>
    <t>W</t>
  </si>
  <si>
    <t xml:space="preserve">Page          </t>
  </si>
  <si>
    <t>a</t>
  </si>
  <si>
    <r>
      <t>Steel Properties  :</t>
    </r>
    <r>
      <rPr>
        <sz val="14"/>
        <rFont val="Cordia New"/>
        <family val="2"/>
      </rPr>
      <t xml:space="preserve">  เหล็กรูปพรรณมาตรฐาน ว.ส.ท. และ AISC</t>
    </r>
  </si>
  <si>
    <t>kg-m</t>
  </si>
  <si>
    <r>
      <t>M</t>
    </r>
    <r>
      <rPr>
        <vertAlign val="subscript"/>
        <sz val="14"/>
        <rFont val="Cordia New"/>
        <family val="2"/>
      </rPr>
      <t>max</t>
    </r>
  </si>
  <si>
    <t>Design Data  :</t>
  </si>
  <si>
    <t>ความยาวจันทัน :</t>
  </si>
  <si>
    <t>ระยะห่างจันทัน :</t>
  </si>
  <si>
    <t>น้ำหนักจันทัน :</t>
  </si>
  <si>
    <r>
      <t xml:space="preserve">Loads  </t>
    </r>
    <r>
      <rPr>
        <b/>
        <sz val="14"/>
        <rFont val="Cordia New"/>
        <family val="2"/>
      </rPr>
      <t>( w</t>
    </r>
    <r>
      <rPr>
        <b/>
        <vertAlign val="subscript"/>
        <sz val="14"/>
        <rFont val="Cordia New"/>
        <family val="2"/>
      </rPr>
      <t xml:space="preserve">1 </t>
    </r>
    <r>
      <rPr>
        <b/>
        <sz val="14"/>
        <rFont val="Cordia New"/>
        <family val="2"/>
      </rPr>
      <t>)</t>
    </r>
    <r>
      <rPr>
        <b/>
        <i/>
        <sz val="14"/>
        <rFont val="Cordia New"/>
        <family val="2"/>
      </rPr>
      <t xml:space="preserve">  :</t>
    </r>
  </si>
  <si>
    <t xml:space="preserve"> - วัสดุมุงหลังคา :</t>
  </si>
  <si>
    <t xml:space="preserve"> - ฝ้าเพดาน :</t>
  </si>
  <si>
    <t xml:space="preserve"> - น้ำหนักแป :</t>
  </si>
  <si>
    <t xml:space="preserve"> - น้ำหนักจร :</t>
  </si>
  <si>
    <r>
      <t>w</t>
    </r>
    <r>
      <rPr>
        <vertAlign val="subscript"/>
        <sz val="14"/>
        <rFont val="Cordia New"/>
        <family val="2"/>
      </rPr>
      <t>t</t>
    </r>
    <r>
      <rPr>
        <sz val="14"/>
        <rFont val="Cordia New"/>
        <family val="2"/>
      </rPr>
      <t xml:space="preserve">  =  w</t>
    </r>
    <r>
      <rPr>
        <vertAlign val="subscript"/>
        <sz val="14"/>
        <rFont val="Cordia New"/>
        <family val="2"/>
      </rPr>
      <t>0</t>
    </r>
    <r>
      <rPr>
        <sz val="14"/>
        <rFont val="Cordia New"/>
        <family val="2"/>
      </rPr>
      <t xml:space="preserve"> + w</t>
    </r>
    <r>
      <rPr>
        <vertAlign val="subscript"/>
        <sz val="14"/>
        <rFont val="Cordia New"/>
        <family val="2"/>
      </rPr>
      <t xml:space="preserve">1    </t>
    </r>
  </si>
  <si>
    <t xml:space="preserve"> - แนวราบ</t>
  </si>
  <si>
    <t xml:space="preserve"> - แนวตั้งฉาก</t>
  </si>
  <si>
    <r>
      <t>P[2Sin</t>
    </r>
    <r>
      <rPr>
        <sz val="14"/>
        <rFont val="Symbol"/>
        <family val="1"/>
      </rPr>
      <t>q</t>
    </r>
    <r>
      <rPr>
        <sz val="14"/>
        <rFont val="Cordia New"/>
        <family val="2"/>
      </rPr>
      <t>] / [1+Sin</t>
    </r>
    <r>
      <rPr>
        <vertAlign val="superscript"/>
        <sz val="14"/>
        <rFont val="Cordia New"/>
        <family val="2"/>
      </rPr>
      <t>2</t>
    </r>
    <r>
      <rPr>
        <sz val="14"/>
        <rFont val="Symbol"/>
        <family val="1"/>
      </rPr>
      <t>q</t>
    </r>
    <r>
      <rPr>
        <sz val="14"/>
        <rFont val="Cordia New"/>
        <family val="2"/>
      </rPr>
      <t>]</t>
    </r>
  </si>
  <si>
    <r>
      <t>w   =   w</t>
    </r>
    <r>
      <rPr>
        <vertAlign val="subscript"/>
        <sz val="14"/>
        <rFont val="Cordia New"/>
        <family val="2"/>
      </rPr>
      <t xml:space="preserve">t </t>
    </r>
    <r>
      <rPr>
        <sz val="14"/>
        <rFont val="Cordia New"/>
        <family val="2"/>
      </rPr>
      <t>Cos</t>
    </r>
    <r>
      <rPr>
        <sz val="14"/>
        <rFont val="Symbol"/>
        <family val="1"/>
      </rPr>
      <t xml:space="preserve">q </t>
    </r>
    <r>
      <rPr>
        <sz val="14"/>
        <rFont val="Cordia New"/>
        <family val="2"/>
      </rPr>
      <t>+ P</t>
    </r>
    <r>
      <rPr>
        <vertAlign val="subscript"/>
        <sz val="14"/>
        <rFont val="Cordia New"/>
        <family val="2"/>
      </rPr>
      <t>n</t>
    </r>
  </si>
  <si>
    <t>ออกแบบตะเข้สันเหล็ก (Steel Hip Rafter Design)</t>
  </si>
  <si>
    <t>ความยาวตะเข้ :</t>
  </si>
  <si>
    <t>น้ำหนักตะเข้ :</t>
  </si>
  <si>
    <t>น้ำหนักที่ปลายยื่นตะเข้</t>
  </si>
  <si>
    <t xml:space="preserve"> - แนวดิ่ง</t>
  </si>
  <si>
    <r>
      <t>P</t>
    </r>
    <r>
      <rPr>
        <vertAlign val="subscript"/>
        <sz val="14"/>
        <rFont val="Cordia New"/>
        <family val="2"/>
      </rPr>
      <t>H</t>
    </r>
  </si>
  <si>
    <r>
      <t>P</t>
    </r>
    <r>
      <rPr>
        <vertAlign val="subscript"/>
        <sz val="14"/>
        <rFont val="Cordia New"/>
        <family val="2"/>
      </rPr>
      <t>V</t>
    </r>
  </si>
  <si>
    <r>
      <t>Required  S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 =  M</t>
    </r>
    <r>
      <rPr>
        <vertAlign val="subscript"/>
        <sz val="14"/>
        <rFont val="Cordia New"/>
        <family val="2"/>
      </rPr>
      <t>max</t>
    </r>
    <r>
      <rPr>
        <sz val="14"/>
        <rFont val="Cordia New"/>
        <family val="2"/>
      </rPr>
      <t xml:space="preserve"> / F</t>
    </r>
    <r>
      <rPr>
        <vertAlign val="subscript"/>
        <sz val="14"/>
        <rFont val="Cordia New"/>
        <family val="2"/>
      </rPr>
      <t>b</t>
    </r>
  </si>
  <si>
    <t>Designed Section :</t>
  </si>
  <si>
    <r>
      <t>P[2Sin</t>
    </r>
    <r>
      <rPr>
        <sz val="11"/>
        <rFont val="Symbol"/>
        <family val="1"/>
      </rPr>
      <t>q</t>
    </r>
    <r>
      <rPr>
        <sz val="14"/>
        <rFont val="Cordia New"/>
        <family val="2"/>
      </rPr>
      <t>] / [1+Sin</t>
    </r>
    <r>
      <rPr>
        <vertAlign val="superscript"/>
        <sz val="14"/>
        <rFont val="Cordia New"/>
        <family val="2"/>
      </rPr>
      <t>2</t>
    </r>
    <r>
      <rPr>
        <sz val="11"/>
        <rFont val="Symbol"/>
        <family val="1"/>
      </rPr>
      <t>q</t>
    </r>
    <r>
      <rPr>
        <sz val="14"/>
        <rFont val="Cordia New"/>
        <family val="2"/>
      </rPr>
      <t>]</t>
    </r>
  </si>
  <si>
    <r>
      <t>R</t>
    </r>
    <r>
      <rPr>
        <vertAlign val="subscript"/>
        <sz val="14"/>
        <rFont val="Cordia New"/>
        <family val="2"/>
      </rPr>
      <t xml:space="preserve"> L</t>
    </r>
  </si>
  <si>
    <r>
      <t>R</t>
    </r>
    <r>
      <rPr>
        <vertAlign val="subscript"/>
        <sz val="14"/>
        <rFont val="Cordia New"/>
        <family val="2"/>
      </rPr>
      <t xml:space="preserve"> R</t>
    </r>
  </si>
  <si>
    <t>ตะเข้ราง</t>
  </si>
  <si>
    <t>ออกแบบตะเข้รางเหล็ก (Steel Hip Rafter Design)</t>
  </si>
  <si>
    <t>ออกแบบอกไก่เหล็ก (Steel Rafter Design)</t>
  </si>
  <si>
    <t>ความยาวอกไก่ :</t>
  </si>
  <si>
    <t>น้ำหนักอกไก่ :</t>
  </si>
  <si>
    <t>ข้อมูลออกแบบอกไก่  :</t>
  </si>
  <si>
    <r>
      <t>คุณสมบัติเหล็ก  :</t>
    </r>
    <r>
      <rPr>
        <sz val="14"/>
        <rFont val="Cordia New"/>
        <family val="2"/>
      </rPr>
      <t xml:space="preserve">  เหล็กรูปพรรณมาตรฐาน ว.ส.ท. และ AISC</t>
    </r>
  </si>
  <si>
    <r>
      <t>w</t>
    </r>
    <r>
      <rPr>
        <vertAlign val="subscript"/>
        <sz val="14"/>
        <rFont val="Cordia New"/>
        <family val="2"/>
      </rPr>
      <t>p</t>
    </r>
  </si>
  <si>
    <t>รวมน้ำหนักจากหลังคา :</t>
  </si>
  <si>
    <t>น้ำหนักรวม</t>
  </si>
  <si>
    <t>น้ำหนักบรรทุกจากภายนอก  :</t>
  </si>
  <si>
    <t>Design Load    w</t>
  </si>
  <si>
    <t>แรงลมแนวดิ่ง</t>
  </si>
  <si>
    <t>น้ำหนักบรรทุก :</t>
  </si>
  <si>
    <r>
      <t>W</t>
    </r>
    <r>
      <rPr>
        <vertAlign val="subscript"/>
        <sz val="14"/>
        <rFont val="Cordia New"/>
        <family val="2"/>
      </rPr>
      <t>1</t>
    </r>
  </si>
  <si>
    <r>
      <t>คิดข้างเดียว    w</t>
    </r>
    <r>
      <rPr>
        <vertAlign val="subscript"/>
        <sz val="14"/>
        <rFont val="Cordia New"/>
        <family val="2"/>
      </rPr>
      <t>Vmax</t>
    </r>
  </si>
  <si>
    <r>
      <t xml:space="preserve">Loads </t>
    </r>
    <r>
      <rPr>
        <b/>
        <sz val="14"/>
        <rFont val="Cordia New"/>
        <family val="2"/>
      </rPr>
      <t>( W</t>
    </r>
    <r>
      <rPr>
        <b/>
        <vertAlign val="subscript"/>
        <sz val="14"/>
        <rFont val="Cordia New"/>
        <family val="2"/>
      </rPr>
      <t>1</t>
    </r>
    <r>
      <rPr>
        <b/>
        <sz val="14"/>
        <rFont val="Cordia New"/>
        <family val="2"/>
      </rPr>
      <t>)</t>
    </r>
    <r>
      <rPr>
        <b/>
        <i/>
        <sz val="14"/>
        <rFont val="Cordia New"/>
        <family val="2"/>
      </rPr>
      <t xml:space="preserve">  :</t>
    </r>
  </si>
  <si>
    <r>
      <t xml:space="preserve">Loads  </t>
    </r>
    <r>
      <rPr>
        <b/>
        <sz val="14"/>
        <rFont val="Cordia New"/>
        <family val="2"/>
      </rPr>
      <t>( W</t>
    </r>
    <r>
      <rPr>
        <b/>
        <vertAlign val="subscript"/>
        <sz val="14"/>
        <rFont val="Cordia New"/>
        <family val="2"/>
      </rPr>
      <t>1</t>
    </r>
    <r>
      <rPr>
        <b/>
        <sz val="14"/>
        <rFont val="Cordia New"/>
        <family val="2"/>
      </rPr>
      <t>)</t>
    </r>
    <r>
      <rPr>
        <b/>
        <i/>
        <sz val="14"/>
        <rFont val="Cordia New"/>
        <family val="2"/>
      </rPr>
      <t xml:space="preserve">  :</t>
    </r>
  </si>
  <si>
    <t xml:space="preserve">                 </t>
  </si>
  <si>
    <t>ENGINEER         พ.ท. กอบภัค  สร้อยพาบ 0813783534</t>
  </si>
  <si>
    <r>
      <t xml:space="preserve">     </t>
    </r>
    <r>
      <rPr>
        <sz val="14"/>
        <color indexed="9"/>
        <rFont val="Cordia New"/>
        <family val="2"/>
      </rPr>
      <t xml:space="preserve"> พ.ท. กอบภัค  สร้อยพาบ 0813783534</t>
    </r>
  </si>
  <si>
    <r>
      <rPr>
        <sz val="14"/>
        <color indexed="9"/>
        <rFont val="Cordia New"/>
        <family val="2"/>
      </rPr>
      <t xml:space="preserve">     พ.ท. กอบภัค  สร้อยพาบ 081378353</t>
    </r>
    <r>
      <rPr>
        <sz val="14"/>
        <rFont val="Cordia New"/>
        <family val="2"/>
      </rPr>
      <t>4</t>
    </r>
  </si>
  <si>
    <r>
      <t xml:space="preserve">    </t>
    </r>
    <r>
      <rPr>
        <sz val="14"/>
        <color indexed="9"/>
        <rFont val="Cordia New"/>
        <family val="2"/>
      </rPr>
      <t xml:space="preserve">    พ.ท. กอบภัค  สร้อยพาบ 0813783534</t>
    </r>
  </si>
  <si>
    <r>
      <t xml:space="preserve">ENGINEER  :    </t>
    </r>
    <r>
      <rPr>
        <sz val="14"/>
        <color indexed="9"/>
        <rFont val="Cordia New"/>
        <family val="2"/>
      </rPr>
      <t xml:space="preserve">     พ.ท. กอบภัค  สร้อยพาบ 0813783534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</si>
</sst>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  <numFmt numFmtId="193" formatCode="_-* #,##0.0_-;\-* #,##0.0_-;_-* &quot;-&quot;?_-;_-@_-"/>
    <numFmt numFmtId="194" formatCode="[$-41E]d\ mmmm\ yyyy"/>
    <numFmt numFmtId="195" formatCode="[$-1070409]d/mm/yyyy\ h:mm\ AM/PM;@"/>
    <numFmt numFmtId="196" formatCode="#,##0.00_ ;\-#,##0.00\ "/>
    <numFmt numFmtId="197" formatCode="0.00_ ;\-0.00\ "/>
  </numFmts>
  <fonts count="86">
    <font>
      <sz val="10"/>
      <name val="Arial"/>
      <family val="0"/>
    </font>
    <font>
      <sz val="8"/>
      <name val="Arial"/>
      <family val="0"/>
    </font>
    <font>
      <sz val="14"/>
      <name val="Cordia New"/>
      <family val="2"/>
    </font>
    <font>
      <vertAlign val="superscript"/>
      <sz val="14"/>
      <name val="Cordia New"/>
      <family val="2"/>
    </font>
    <font>
      <sz val="14"/>
      <name val="Symbol"/>
      <family val="1"/>
    </font>
    <font>
      <sz val="12"/>
      <name val="Cordia New"/>
      <family val="2"/>
    </font>
    <font>
      <sz val="16"/>
      <name val="Cordia New"/>
      <family val="2"/>
    </font>
    <font>
      <i/>
      <sz val="14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24"/>
      <name val="MS Sans Serif"/>
      <family val="2"/>
    </font>
    <font>
      <sz val="8.5"/>
      <color indexed="8"/>
      <name val="MS Sans Serif"/>
      <family val="2"/>
    </font>
    <font>
      <sz val="8.5"/>
      <name val="MS Sans Serif"/>
      <family val="2"/>
    </font>
    <font>
      <sz val="24"/>
      <name val="MS Sans Serif"/>
      <family val="2"/>
    </font>
    <font>
      <sz val="12"/>
      <name val="Symbol"/>
      <family val="1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sz val="14.5"/>
      <name val="MS Sans Serif"/>
      <family val="2"/>
    </font>
    <font>
      <sz val="10"/>
      <color indexed="10"/>
      <name val="MS Sans Serif"/>
      <family val="2"/>
    </font>
    <font>
      <sz val="18"/>
      <name val="MS Sans Serif"/>
      <family val="2"/>
    </font>
    <font>
      <sz val="18"/>
      <color indexed="15"/>
      <name val="MS Sans Serif"/>
      <family val="2"/>
    </font>
    <font>
      <sz val="10"/>
      <color indexed="9"/>
      <name val="MS Sans Serif"/>
      <family val="2"/>
    </font>
    <font>
      <vertAlign val="superscript"/>
      <sz val="10"/>
      <color indexed="9"/>
      <name val="MS Sans Serif"/>
      <family val="2"/>
    </font>
    <font>
      <b/>
      <sz val="10"/>
      <color indexed="12"/>
      <name val="MS Sans Serif"/>
      <family val="2"/>
    </font>
    <font>
      <vertAlign val="subscript"/>
      <sz val="14"/>
      <name val="Cordia New"/>
      <family val="2"/>
    </font>
    <font>
      <sz val="10"/>
      <name val="Symbol"/>
      <family val="1"/>
    </font>
    <font>
      <i/>
      <sz val="14"/>
      <name val="Cordia New"/>
      <family val="2"/>
    </font>
    <font>
      <sz val="14"/>
      <color indexed="12"/>
      <name val="Cordia New"/>
      <family val="2"/>
    </font>
    <font>
      <sz val="8.5"/>
      <color indexed="10"/>
      <name val="MS Sans Serif"/>
      <family val="2"/>
    </font>
    <font>
      <sz val="8.5"/>
      <color indexed="12"/>
      <name val="MS Sans Serif"/>
      <family val="2"/>
    </font>
    <font>
      <sz val="8.5"/>
      <color indexed="14"/>
      <name val="MS Sans Serif"/>
      <family val="2"/>
    </font>
    <font>
      <sz val="18"/>
      <name val="Arial"/>
      <family val="2"/>
    </font>
    <font>
      <sz val="12"/>
      <name val="Arial"/>
      <family val="2"/>
    </font>
    <font>
      <sz val="5"/>
      <name val="Cordia New"/>
      <family val="2"/>
    </font>
    <font>
      <b/>
      <sz val="14"/>
      <name val="Cordia New"/>
      <family val="2"/>
    </font>
    <font>
      <b/>
      <i/>
      <sz val="14"/>
      <name val="Cordia New"/>
      <family val="2"/>
    </font>
    <font>
      <b/>
      <vertAlign val="subscript"/>
      <sz val="14"/>
      <name val="Cordia New"/>
      <family val="2"/>
    </font>
    <font>
      <sz val="8"/>
      <name val="Cordia New"/>
      <family val="2"/>
    </font>
    <font>
      <sz val="14"/>
      <color indexed="9"/>
      <name val="Cordia New"/>
      <family val="2"/>
    </font>
    <font>
      <sz val="11"/>
      <name val="Symbol"/>
      <family val="1"/>
    </font>
    <font>
      <sz val="14"/>
      <color indexed="10"/>
      <name val="Cordia New"/>
      <family val="2"/>
    </font>
    <font>
      <b/>
      <sz val="8.5"/>
      <color indexed="10"/>
      <name val="MS Sans Serif"/>
      <family val="2"/>
    </font>
    <font>
      <b/>
      <sz val="8.5"/>
      <color indexed="49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5"/>
      <color indexed="56"/>
      <name val="MS Sans Serif"/>
      <family val="2"/>
    </font>
    <font>
      <sz val="10"/>
      <color indexed="8"/>
      <name val="Symbol"/>
      <family val="1"/>
    </font>
    <font>
      <sz val="10"/>
      <color indexed="8"/>
      <name val="Arial"/>
      <family val="2"/>
    </font>
    <font>
      <sz val="12"/>
      <color indexed="8"/>
      <name val="Cordia New"/>
      <family val="2"/>
    </font>
    <font>
      <sz val="14"/>
      <color indexed="8"/>
      <name val="Cordia New"/>
      <family val="2"/>
    </font>
    <font>
      <vertAlign val="subscript"/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.5"/>
      <color rgb="FF002060"/>
      <name val="MS Sans Serif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43" fontId="12" fillId="33" borderId="12" xfId="0" applyNumberFormat="1" applyFont="1" applyFill="1" applyBorder="1" applyAlignment="1">
      <alignment horizontal="right" vertical="center"/>
    </xf>
    <xf numFmtId="43" fontId="12" fillId="33" borderId="13" xfId="0" applyNumberFormat="1" applyFont="1" applyFill="1" applyBorder="1" applyAlignment="1">
      <alignment horizontal="right" vertical="center"/>
    </xf>
    <xf numFmtId="43" fontId="12" fillId="33" borderId="14" xfId="0" applyNumberFormat="1" applyFont="1" applyFill="1" applyBorder="1" applyAlignment="1">
      <alignment horizontal="right" vertical="center"/>
    </xf>
    <xf numFmtId="43" fontId="12" fillId="33" borderId="15" xfId="0" applyNumberFormat="1" applyFont="1" applyFill="1" applyBorder="1" applyAlignment="1">
      <alignment horizontal="right" vertical="center"/>
    </xf>
    <xf numFmtId="43" fontId="12" fillId="33" borderId="16" xfId="0" applyNumberFormat="1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vertical="center"/>
    </xf>
    <xf numFmtId="43" fontId="12" fillId="33" borderId="23" xfId="0" applyNumberFormat="1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3" fillId="33" borderId="33" xfId="0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34" borderId="21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34" xfId="0" applyFont="1" applyFill="1" applyBorder="1" applyAlignment="1">
      <alignment horizontal="right" vertical="center"/>
    </xf>
    <xf numFmtId="0" fontId="12" fillId="38" borderId="32" xfId="0" applyFont="1" applyFill="1" applyBorder="1" applyAlignment="1">
      <alignment horizontal="right" vertical="center"/>
    </xf>
    <xf numFmtId="0" fontId="12" fillId="38" borderId="35" xfId="0" applyFont="1" applyFill="1" applyBorder="1" applyAlignment="1">
      <alignment horizontal="right" vertical="center"/>
    </xf>
    <xf numFmtId="0" fontId="12" fillId="38" borderId="17" xfId="0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3" fontId="12" fillId="37" borderId="17" xfId="0" applyNumberFormat="1" applyFont="1" applyFill="1" applyBorder="1" applyAlignment="1">
      <alignment horizontal="center" vertical="center"/>
    </xf>
    <xf numFmtId="43" fontId="12" fillId="33" borderId="36" xfId="0" applyNumberFormat="1" applyFont="1" applyFill="1" applyBorder="1" applyAlignment="1">
      <alignment horizontal="right" vertical="center"/>
    </xf>
    <xf numFmtId="0" fontId="12" fillId="37" borderId="3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left" indent="1"/>
    </xf>
    <xf numFmtId="2" fontId="5" fillId="33" borderId="0" xfId="0" applyNumberFormat="1" applyFont="1" applyFill="1" applyAlignment="1">
      <alignment/>
    </xf>
    <xf numFmtId="0" fontId="12" fillId="39" borderId="22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12" fillId="39" borderId="37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indent="1"/>
    </xf>
    <xf numFmtId="0" fontId="15" fillId="33" borderId="0" xfId="0" applyFont="1" applyFill="1" applyAlignment="1">
      <alignment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right" indent="1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5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2" fontId="12" fillId="33" borderId="50" xfId="0" applyNumberFormat="1" applyFont="1" applyFill="1" applyBorder="1" applyAlignment="1">
      <alignment horizontal="center" vertical="center"/>
    </xf>
    <xf numFmtId="2" fontId="12" fillId="33" borderId="51" xfId="0" applyNumberFormat="1" applyFont="1" applyFill="1" applyBorder="1" applyAlignment="1">
      <alignment horizontal="center" vertical="center"/>
    </xf>
    <xf numFmtId="2" fontId="12" fillId="33" borderId="49" xfId="0" applyNumberFormat="1" applyFont="1" applyFill="1" applyBorder="1" applyAlignment="1">
      <alignment horizontal="center" vertical="center"/>
    </xf>
    <xf numFmtId="0" fontId="15" fillId="41" borderId="52" xfId="0" applyFont="1" applyFill="1" applyBorder="1" applyAlignment="1">
      <alignment horizontal="center" vertical="center"/>
    </xf>
    <xf numFmtId="0" fontId="15" fillId="41" borderId="53" xfId="0" applyFont="1" applyFill="1" applyBorder="1" applyAlignment="1">
      <alignment horizontal="center" vertical="center"/>
    </xf>
    <xf numFmtId="0" fontId="15" fillId="41" borderId="54" xfId="0" applyFont="1" applyFill="1" applyBorder="1" applyAlignment="1">
      <alignment horizontal="center" vertical="center"/>
    </xf>
    <xf numFmtId="0" fontId="15" fillId="41" borderId="55" xfId="0" applyFont="1" applyFill="1" applyBorder="1" applyAlignment="1">
      <alignment horizontal="center" vertical="center"/>
    </xf>
    <xf numFmtId="0" fontId="15" fillId="41" borderId="13" xfId="0" applyFont="1" applyFill="1" applyBorder="1" applyAlignment="1">
      <alignment horizontal="center" vertical="center"/>
    </xf>
    <xf numFmtId="1" fontId="15" fillId="41" borderId="13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15" fillId="35" borderId="56" xfId="0" applyFont="1" applyFill="1" applyBorder="1" applyAlignment="1">
      <alignment horizontal="center" vertical="center"/>
    </xf>
    <xf numFmtId="0" fontId="15" fillId="35" borderId="57" xfId="0" applyFont="1" applyFill="1" applyBorder="1" applyAlignment="1">
      <alignment horizontal="center" vertical="center"/>
    </xf>
    <xf numFmtId="1" fontId="15" fillId="35" borderId="58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6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indent="1"/>
    </xf>
    <xf numFmtId="0" fontId="2" fillId="33" borderId="0" xfId="0" applyFont="1" applyFill="1" applyAlignment="1">
      <alignment horizontal="left" indent="2"/>
    </xf>
    <xf numFmtId="2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 indent="2"/>
    </xf>
    <xf numFmtId="0" fontId="28" fillId="33" borderId="0" xfId="0" applyFont="1" applyFill="1" applyAlignment="1">
      <alignment/>
    </xf>
    <xf numFmtId="0" fontId="2" fillId="33" borderId="59" xfId="0" applyFont="1" applyFill="1" applyBorder="1" applyAlignment="1">
      <alignment vertical="center"/>
    </xf>
    <xf numFmtId="0" fontId="2" fillId="33" borderId="60" xfId="0" applyFont="1" applyFill="1" applyBorder="1" applyAlignment="1">
      <alignment vertical="center"/>
    </xf>
    <xf numFmtId="0" fontId="2" fillId="33" borderId="61" xfId="0" applyFont="1" applyFill="1" applyBorder="1" applyAlignment="1">
      <alignment horizontal="center"/>
    </xf>
    <xf numFmtId="0" fontId="15" fillId="35" borderId="62" xfId="0" applyFont="1" applyFill="1" applyBorder="1" applyAlignment="1">
      <alignment horizontal="center" vertical="center"/>
    </xf>
    <xf numFmtId="0" fontId="15" fillId="35" borderId="60" xfId="0" applyFont="1" applyFill="1" applyBorder="1" applyAlignment="1">
      <alignment horizontal="center" vertical="center"/>
    </xf>
    <xf numFmtId="1" fontId="15" fillId="35" borderId="63" xfId="0" applyNumberFormat="1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center" vertical="center"/>
    </xf>
    <xf numFmtId="0" fontId="15" fillId="35" borderId="55" xfId="0" applyFont="1" applyFill="1" applyBorder="1" applyAlignment="1">
      <alignment horizontal="center" vertical="center"/>
    </xf>
    <xf numFmtId="1" fontId="15" fillId="35" borderId="23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2" fontId="12" fillId="33" borderId="65" xfId="0" applyNumberFormat="1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2" fontId="15" fillId="33" borderId="54" xfId="0" applyNumberFormat="1" applyFont="1" applyFill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4" fillId="33" borderId="61" xfId="0" applyNumberFormat="1" applyFont="1" applyFill="1" applyBorder="1" applyAlignment="1">
      <alignment horizontal="center"/>
    </xf>
    <xf numFmtId="2" fontId="2" fillId="33" borderId="61" xfId="0" applyNumberFormat="1" applyFont="1" applyFill="1" applyBorder="1" applyAlignment="1">
      <alignment horizontal="center"/>
    </xf>
    <xf numFmtId="0" fontId="29" fillId="33" borderId="46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/>
    </xf>
    <xf numFmtId="3" fontId="2" fillId="33" borderId="6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top"/>
    </xf>
    <xf numFmtId="0" fontId="26" fillId="33" borderId="0" xfId="0" applyFont="1" applyFill="1" applyAlignment="1">
      <alignment horizontal="right" vertical="top"/>
    </xf>
    <xf numFmtId="2" fontId="5" fillId="33" borderId="0" xfId="0" applyNumberFormat="1" applyFont="1" applyFill="1" applyAlignment="1">
      <alignment vertical="center"/>
    </xf>
    <xf numFmtId="0" fontId="29" fillId="33" borderId="66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center" vertical="center"/>
    </xf>
    <xf numFmtId="1" fontId="15" fillId="42" borderId="12" xfId="0" applyNumberFormat="1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left" vertical="center" indent="1"/>
    </xf>
    <xf numFmtId="2" fontId="5" fillId="33" borderId="0" xfId="0" applyNumberFormat="1" applyFont="1" applyFill="1" applyAlignment="1">
      <alignment horizontal="right" vertical="top"/>
    </xf>
    <xf numFmtId="0" fontId="2" fillId="33" borderId="61" xfId="0" applyFont="1" applyFill="1" applyBorder="1" applyAlignment="1">
      <alignment/>
    </xf>
    <xf numFmtId="0" fontId="15" fillId="34" borderId="13" xfId="0" applyFont="1" applyFill="1" applyBorder="1" applyAlignment="1">
      <alignment horizontal="left" vertical="center" indent="1"/>
    </xf>
    <xf numFmtId="0" fontId="15" fillId="34" borderId="13" xfId="0" applyFont="1" applyFill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2" fontId="15" fillId="34" borderId="13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vertical="top" textRotation="24"/>
    </xf>
    <xf numFmtId="2" fontId="5" fillId="33" borderId="0" xfId="0" applyNumberFormat="1" applyFont="1" applyFill="1" applyAlignment="1">
      <alignment vertical="top"/>
    </xf>
    <xf numFmtId="0" fontId="15" fillId="43" borderId="54" xfId="0" applyFont="1" applyFill="1" applyBorder="1" applyAlignment="1">
      <alignment horizontal="left" vertical="center" indent="1"/>
    </xf>
    <xf numFmtId="0" fontId="15" fillId="43" borderId="54" xfId="0" applyFont="1" applyFill="1" applyBorder="1" applyAlignment="1">
      <alignment horizontal="center" vertical="center"/>
    </xf>
    <xf numFmtId="1" fontId="15" fillId="43" borderId="23" xfId="0" applyNumberFormat="1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left" vertical="center" indent="1"/>
    </xf>
    <xf numFmtId="1" fontId="15" fillId="40" borderId="12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Alignment="1">
      <alignment horizontal="center"/>
    </xf>
    <xf numFmtId="2" fontId="15" fillId="43" borderId="54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/>
    </xf>
    <xf numFmtId="0" fontId="1" fillId="33" borderId="55" xfId="0" applyNumberFormat="1" applyFont="1" applyFill="1" applyBorder="1" applyAlignment="1">
      <alignment horizontal="center"/>
    </xf>
    <xf numFmtId="0" fontId="1" fillId="33" borderId="55" xfId="0" applyNumberFormat="1" applyFont="1" applyFill="1" applyBorder="1" applyAlignment="1">
      <alignment/>
    </xf>
    <xf numFmtId="0" fontId="1" fillId="33" borderId="68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64" xfId="0" applyNumberFormat="1" applyFont="1" applyFill="1" applyBorder="1" applyAlignment="1">
      <alignment horizontal="center"/>
    </xf>
    <xf numFmtId="0" fontId="1" fillId="33" borderId="69" xfId="0" applyNumberFormat="1" applyFont="1" applyFill="1" applyBorder="1" applyAlignment="1">
      <alignment horizontal="center"/>
    </xf>
    <xf numFmtId="0" fontId="1" fillId="33" borderId="54" xfId="0" applyNumberFormat="1" applyFont="1" applyFill="1" applyBorder="1" applyAlignment="1">
      <alignment horizontal="center"/>
    </xf>
    <xf numFmtId="0" fontId="1" fillId="33" borderId="53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7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33" borderId="71" xfId="0" applyNumberFormat="1" applyFont="1" applyFill="1" applyBorder="1" applyAlignment="1">
      <alignment horizontal="center"/>
    </xf>
    <xf numFmtId="0" fontId="1" fillId="33" borderId="72" xfId="0" applyNumberFormat="1" applyFont="1" applyFill="1" applyBorder="1" applyAlignment="1">
      <alignment horizontal="center"/>
    </xf>
    <xf numFmtId="0" fontId="1" fillId="33" borderId="73" xfId="0" applyNumberFormat="1" applyFont="1" applyFill="1" applyBorder="1" applyAlignment="1">
      <alignment horizontal="center"/>
    </xf>
    <xf numFmtId="0" fontId="1" fillId="33" borderId="55" xfId="0" applyNumberFormat="1" applyFont="1" applyFill="1" applyBorder="1" applyAlignment="1">
      <alignment horizontal="left"/>
    </xf>
    <xf numFmtId="0" fontId="1" fillId="33" borderId="74" xfId="0" applyNumberFormat="1" applyFont="1" applyFill="1" applyBorder="1" applyAlignment="1">
      <alignment horizontal="center"/>
    </xf>
    <xf numFmtId="0" fontId="1" fillId="33" borderId="52" xfId="0" applyNumberFormat="1" applyFont="1" applyFill="1" applyBorder="1" applyAlignment="1">
      <alignment horizontal="center"/>
    </xf>
    <xf numFmtId="0" fontId="1" fillId="33" borderId="75" xfId="0" applyNumberFormat="1" applyFont="1" applyFill="1" applyBorder="1" applyAlignment="1">
      <alignment horizontal="center"/>
    </xf>
    <xf numFmtId="0" fontId="1" fillId="33" borderId="76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72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1" fillId="33" borderId="76" xfId="0" applyNumberFormat="1" applyFont="1" applyFill="1" applyBorder="1" applyAlignment="1">
      <alignment horizontal="right"/>
    </xf>
    <xf numFmtId="0" fontId="1" fillId="33" borderId="77" xfId="0" applyNumberFormat="1" applyFont="1" applyFill="1" applyBorder="1" applyAlignment="1">
      <alignment horizontal="center"/>
    </xf>
    <xf numFmtId="0" fontId="1" fillId="33" borderId="78" xfId="0" applyNumberFormat="1" applyFont="1" applyFill="1" applyBorder="1" applyAlignment="1">
      <alignment horizontal="center"/>
    </xf>
    <xf numFmtId="1" fontId="1" fillId="33" borderId="55" xfId="0" applyNumberFormat="1" applyFont="1" applyFill="1" applyBorder="1" applyAlignment="1">
      <alignment horizontal="left"/>
    </xf>
    <xf numFmtId="0" fontId="1" fillId="33" borderId="79" xfId="0" applyNumberFormat="1" applyFont="1" applyFill="1" applyBorder="1" applyAlignment="1">
      <alignment horizontal="center"/>
    </xf>
    <xf numFmtId="0" fontId="32" fillId="33" borderId="0" xfId="0" applyNumberFormat="1" applyFont="1" applyFill="1" applyAlignment="1">
      <alignment/>
    </xf>
    <xf numFmtId="0" fontId="32" fillId="33" borderId="0" xfId="0" applyNumberFormat="1" applyFont="1" applyFill="1" applyAlignment="1">
      <alignment horizontal="center"/>
    </xf>
    <xf numFmtId="0" fontId="33" fillId="33" borderId="0" xfId="0" applyNumberFormat="1" applyFont="1" applyFill="1" applyBorder="1" applyAlignment="1">
      <alignment horizontal="center" vertical="center"/>
    </xf>
    <xf numFmtId="0" fontId="33" fillId="33" borderId="0" xfId="0" applyNumberFormat="1" applyFont="1" applyFill="1" applyAlignment="1">
      <alignment horizontal="center"/>
    </xf>
    <xf numFmtId="0" fontId="33" fillId="33" borderId="0" xfId="0" applyNumberFormat="1" applyFont="1" applyFill="1" applyBorder="1" applyAlignment="1">
      <alignment vertical="center"/>
    </xf>
    <xf numFmtId="0" fontId="1" fillId="33" borderId="76" xfId="0" applyNumberFormat="1" applyFont="1" applyFill="1" applyBorder="1" applyAlignment="1">
      <alignment horizontal="left"/>
    </xf>
    <xf numFmtId="0" fontId="1" fillId="33" borderId="71" xfId="0" applyNumberFormat="1" applyFont="1" applyFill="1" applyBorder="1" applyAlignment="1">
      <alignment horizontal="right"/>
    </xf>
    <xf numFmtId="4" fontId="1" fillId="33" borderId="71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1" fillId="33" borderId="76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195" fontId="34" fillId="33" borderId="0" xfId="0" applyNumberFormat="1" applyFont="1" applyFill="1" applyBorder="1" applyAlignment="1">
      <alignment horizontal="right" vertical="center"/>
    </xf>
    <xf numFmtId="0" fontId="34" fillId="33" borderId="0" xfId="0" applyFont="1" applyFill="1" applyAlignment="1">
      <alignment vertical="center"/>
    </xf>
    <xf numFmtId="0" fontId="2" fillId="33" borderId="59" xfId="0" applyFont="1" applyFill="1" applyBorder="1" applyAlignment="1">
      <alignment horizontal="right" vertical="center"/>
    </xf>
    <xf numFmtId="43" fontId="2" fillId="33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43" fontId="2" fillId="33" borderId="0" xfId="0" applyNumberFormat="1" applyFont="1" applyFill="1" applyAlignment="1">
      <alignment/>
    </xf>
    <xf numFmtId="43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 indent="1"/>
    </xf>
    <xf numFmtId="0" fontId="2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97" fontId="5" fillId="33" borderId="0" xfId="0" applyNumberFormat="1" applyFont="1" applyFill="1" applyBorder="1" applyAlignment="1">
      <alignment horizontal="left"/>
    </xf>
    <xf numFmtId="197" fontId="2" fillId="33" borderId="0" xfId="0" applyNumberFormat="1" applyFont="1" applyFill="1" applyBorder="1" applyAlignment="1">
      <alignment/>
    </xf>
    <xf numFmtId="197" fontId="5" fillId="33" borderId="0" xfId="0" applyNumberFormat="1" applyFont="1" applyFill="1" applyBorder="1" applyAlignment="1">
      <alignment horizont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right"/>
    </xf>
    <xf numFmtId="0" fontId="34" fillId="33" borderId="0" xfId="0" applyFont="1" applyFill="1" applyAlignment="1">
      <alignment horizontal="center"/>
    </xf>
    <xf numFmtId="43" fontId="34" fillId="33" borderId="0" xfId="0" applyNumberFormat="1" applyFont="1" applyFill="1" applyAlignment="1">
      <alignment horizontal="center"/>
    </xf>
    <xf numFmtId="0" fontId="34" fillId="33" borderId="0" xfId="0" applyFont="1" applyFill="1" applyAlignment="1">
      <alignment horizontal="left" indent="1"/>
    </xf>
    <xf numFmtId="197" fontId="5" fillId="33" borderId="0" xfId="0" applyNumberFormat="1" applyFont="1" applyFill="1" applyAlignment="1">
      <alignment horizontal="center"/>
    </xf>
    <xf numFmtId="2" fontId="5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2" fillId="33" borderId="0" xfId="0" applyNumberFormat="1" applyFont="1" applyFill="1" applyAlignment="1">
      <alignment horizontal="left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197" fontId="2" fillId="33" borderId="0" xfId="0" applyNumberFormat="1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191" fontId="5" fillId="33" borderId="0" xfId="0" applyNumberFormat="1" applyFont="1" applyFill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left"/>
    </xf>
    <xf numFmtId="2" fontId="5" fillId="33" borderId="0" xfId="0" applyNumberFormat="1" applyFont="1" applyFill="1" applyAlignment="1">
      <alignment horizontal="right"/>
    </xf>
    <xf numFmtId="197" fontId="5" fillId="33" borderId="0" xfId="0" applyNumberFormat="1" applyFont="1" applyFill="1" applyAlignment="1">
      <alignment horizontal="left" indent="2"/>
    </xf>
    <xf numFmtId="197" fontId="5" fillId="33" borderId="0" xfId="0" applyNumberFormat="1" applyFont="1" applyFill="1" applyBorder="1" applyAlignment="1">
      <alignment horizontal="left" indent="2"/>
    </xf>
    <xf numFmtId="11" fontId="2" fillId="33" borderId="0" xfId="0" applyNumberFormat="1" applyFont="1" applyFill="1" applyAlignment="1">
      <alignment horizontal="center"/>
    </xf>
    <xf numFmtId="0" fontId="38" fillId="33" borderId="0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195" fontId="38" fillId="33" borderId="0" xfId="0" applyNumberFormat="1" applyFont="1" applyFill="1" applyBorder="1" applyAlignment="1">
      <alignment horizontal="right" vertical="center"/>
    </xf>
    <xf numFmtId="0" fontId="38" fillId="33" borderId="0" xfId="0" applyFont="1" applyFill="1" applyAlignment="1">
      <alignment vertical="center"/>
    </xf>
    <xf numFmtId="191" fontId="5" fillId="33" borderId="0" xfId="0" applyNumberFormat="1" applyFont="1" applyFill="1" applyAlignment="1">
      <alignment horizontal="center" vertical="top"/>
    </xf>
    <xf numFmtId="0" fontId="39" fillId="33" borderId="0" xfId="0" applyFont="1" applyFill="1" applyAlignment="1">
      <alignment/>
    </xf>
    <xf numFmtId="0" fontId="36" fillId="33" borderId="0" xfId="0" applyFont="1" applyFill="1" applyAlignment="1">
      <alignment horizontal="right"/>
    </xf>
    <xf numFmtId="1" fontId="5" fillId="33" borderId="0" xfId="0" applyNumberFormat="1" applyFont="1" applyFill="1" applyAlignment="1">
      <alignment horizontal="left" indent="1"/>
    </xf>
    <xf numFmtId="0" fontId="2" fillId="33" borderId="0" xfId="0" applyNumberFormat="1" applyFont="1" applyFill="1" applyBorder="1" applyAlignment="1">
      <alignment horizontal="left"/>
    </xf>
    <xf numFmtId="2" fontId="5" fillId="33" borderId="0" xfId="0" applyNumberFormat="1" applyFont="1" applyFill="1" applyAlignment="1">
      <alignment horizontal="left" vertical="center"/>
    </xf>
    <xf numFmtId="0" fontId="41" fillId="33" borderId="0" xfId="0" applyFont="1" applyFill="1" applyAlignment="1">
      <alignment/>
    </xf>
    <xf numFmtId="197" fontId="5" fillId="33" borderId="0" xfId="0" applyNumberFormat="1" applyFont="1" applyFill="1" applyBorder="1" applyAlignment="1">
      <alignment horizontal="right"/>
    </xf>
    <xf numFmtId="197" fontId="5" fillId="33" borderId="0" xfId="0" applyNumberFormat="1" applyFont="1" applyFill="1" applyBorder="1" applyAlignment="1">
      <alignment horizontal="left" indent="1"/>
    </xf>
    <xf numFmtId="197" fontId="5" fillId="33" borderId="0" xfId="0" applyNumberFormat="1" applyFont="1" applyFill="1" applyAlignment="1">
      <alignment horizontal="left" indent="1"/>
    </xf>
    <xf numFmtId="0" fontId="42" fillId="33" borderId="80" xfId="0" applyFont="1" applyFill="1" applyBorder="1" applyAlignment="1">
      <alignment horizontal="center" vertical="center"/>
    </xf>
    <xf numFmtId="0" fontId="42" fillId="33" borderId="81" xfId="0" applyFont="1" applyFill="1" applyBorder="1" applyAlignment="1">
      <alignment horizontal="center" vertical="center"/>
    </xf>
    <xf numFmtId="0" fontId="42" fillId="33" borderId="69" xfId="0" applyFont="1" applyFill="1" applyBorder="1" applyAlignment="1">
      <alignment horizontal="center" vertical="center"/>
    </xf>
    <xf numFmtId="0" fontId="42" fillId="33" borderId="68" xfId="0" applyFont="1" applyFill="1" applyBorder="1" applyAlignment="1">
      <alignment horizontal="center" vertical="center"/>
    </xf>
    <xf numFmtId="43" fontId="42" fillId="33" borderId="68" xfId="0" applyNumberFormat="1" applyFont="1" applyFill="1" applyBorder="1" applyAlignment="1">
      <alignment horizontal="center" vertical="center"/>
    </xf>
    <xf numFmtId="0" fontId="29" fillId="33" borderId="69" xfId="0" applyFont="1" applyFill="1" applyBorder="1" applyAlignment="1">
      <alignment vertical="center"/>
    </xf>
    <xf numFmtId="0" fontId="43" fillId="44" borderId="82" xfId="0" applyFont="1" applyFill="1" applyBorder="1" applyAlignment="1">
      <alignment horizontal="center" vertical="center"/>
    </xf>
    <xf numFmtId="0" fontId="31" fillId="44" borderId="82" xfId="0" applyFont="1" applyFill="1" applyBorder="1" applyAlignment="1">
      <alignment horizontal="center" vertical="center"/>
    </xf>
    <xf numFmtId="0" fontId="30" fillId="44" borderId="82" xfId="0" applyFont="1" applyFill="1" applyBorder="1" applyAlignment="1">
      <alignment horizontal="center" vertical="center"/>
    </xf>
    <xf numFmtId="43" fontId="2" fillId="33" borderId="0" xfId="0" applyNumberFormat="1" applyFont="1" applyFill="1" applyAlignment="1">
      <alignment horizontal="left" vertical="top"/>
    </xf>
    <xf numFmtId="0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2" fontId="5" fillId="33" borderId="74" xfId="0" applyNumberFormat="1" applyFont="1" applyFill="1" applyBorder="1" applyAlignment="1">
      <alignment horizontal="right"/>
    </xf>
    <xf numFmtId="197" fontId="5" fillId="33" borderId="73" xfId="0" applyNumberFormat="1" applyFont="1" applyFill="1" applyBorder="1" applyAlignment="1">
      <alignment horizontal="left" indent="2"/>
    </xf>
    <xf numFmtId="2" fontId="5" fillId="33" borderId="70" xfId="0" applyNumberFormat="1" applyFont="1" applyFill="1" applyBorder="1" applyAlignment="1">
      <alignment horizontal="right"/>
    </xf>
    <xf numFmtId="197" fontId="5" fillId="33" borderId="69" xfId="0" applyNumberFormat="1" applyFont="1" applyFill="1" applyBorder="1" applyAlignment="1">
      <alignment horizontal="center"/>
    </xf>
    <xf numFmtId="0" fontId="5" fillId="33" borderId="78" xfId="0" applyFont="1" applyFill="1" applyBorder="1" applyAlignment="1">
      <alignment/>
    </xf>
    <xf numFmtId="0" fontId="2" fillId="33" borderId="79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right"/>
    </xf>
    <xf numFmtId="197" fontId="5" fillId="33" borderId="55" xfId="0" applyNumberFormat="1" applyFont="1" applyFill="1" applyBorder="1" applyAlignment="1">
      <alignment/>
    </xf>
    <xf numFmtId="197" fontId="5" fillId="33" borderId="0" xfId="0" applyNumberFormat="1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5" xfId="0" applyFont="1" applyFill="1" applyBorder="1" applyAlignment="1">
      <alignment horizontal="center"/>
    </xf>
    <xf numFmtId="0" fontId="36" fillId="33" borderId="0" xfId="0" applyFont="1" applyFill="1" applyAlignment="1">
      <alignment horizontal="left" indent="1"/>
    </xf>
    <xf numFmtId="0" fontId="43" fillId="45" borderId="82" xfId="0" applyFont="1" applyFill="1" applyBorder="1" applyAlignment="1">
      <alignment horizontal="center" vertical="center"/>
    </xf>
    <xf numFmtId="0" fontId="31" fillId="45" borderId="82" xfId="0" applyFont="1" applyFill="1" applyBorder="1" applyAlignment="1">
      <alignment horizontal="center" vertical="center"/>
    </xf>
    <xf numFmtId="0" fontId="30" fillId="45" borderId="82" xfId="0" applyFont="1" applyFill="1" applyBorder="1" applyAlignment="1">
      <alignment horizontal="center" vertical="center"/>
    </xf>
    <xf numFmtId="0" fontId="84" fillId="46" borderId="68" xfId="0" applyFont="1" applyFill="1" applyBorder="1" applyAlignment="1">
      <alignment horizontal="center"/>
    </xf>
    <xf numFmtId="0" fontId="84" fillId="46" borderId="64" xfId="0" applyFont="1" applyFill="1" applyBorder="1" applyAlignment="1">
      <alignment horizontal="center"/>
    </xf>
    <xf numFmtId="0" fontId="84" fillId="46" borderId="12" xfId="0" applyFont="1" applyFill="1" applyBorder="1" applyAlignment="1">
      <alignment horizontal="center"/>
    </xf>
    <xf numFmtId="3" fontId="15" fillId="37" borderId="13" xfId="0" applyNumberFormat="1" applyFont="1" applyFill="1" applyBorder="1" applyAlignment="1">
      <alignment horizontal="center"/>
    </xf>
    <xf numFmtId="2" fontId="15" fillId="37" borderId="13" xfId="0" applyNumberFormat="1" applyFont="1" applyFill="1" applyBorder="1" applyAlignment="1">
      <alignment horizontal="center"/>
    </xf>
    <xf numFmtId="2" fontId="15" fillId="35" borderId="68" xfId="0" applyNumberFormat="1" applyFont="1" applyFill="1" applyBorder="1" applyAlignment="1">
      <alignment horizontal="center"/>
    </xf>
    <xf numFmtId="2" fontId="15" fillId="35" borderId="12" xfId="0" applyNumberFormat="1" applyFont="1" applyFill="1" applyBorder="1" applyAlignment="1">
      <alignment horizontal="center"/>
    </xf>
    <xf numFmtId="2" fontId="15" fillId="37" borderId="68" xfId="0" applyNumberFormat="1" applyFont="1" applyFill="1" applyBorder="1" applyAlignment="1">
      <alignment horizontal="center"/>
    </xf>
    <xf numFmtId="2" fontId="15" fillId="37" borderId="12" xfId="0" applyNumberFormat="1" applyFont="1" applyFill="1" applyBorder="1" applyAlignment="1">
      <alignment horizontal="center"/>
    </xf>
    <xf numFmtId="0" fontId="15" fillId="35" borderId="68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18" fillId="47" borderId="13" xfId="0" applyFont="1" applyFill="1" applyBorder="1" applyAlignment="1">
      <alignment horizontal="center" vertical="center"/>
    </xf>
    <xf numFmtId="0" fontId="18" fillId="42" borderId="68" xfId="0" applyFont="1" applyFill="1" applyBorder="1" applyAlignment="1">
      <alignment horizontal="center" vertical="center"/>
    </xf>
    <xf numFmtId="0" fontId="18" fillId="42" borderId="64" xfId="0" applyFont="1" applyFill="1" applyBorder="1" applyAlignment="1">
      <alignment horizontal="center" vertical="center"/>
    </xf>
    <xf numFmtId="0" fontId="18" fillId="42" borderId="12" xfId="0" applyFont="1" applyFill="1" applyBorder="1" applyAlignment="1">
      <alignment horizontal="center" vertical="center"/>
    </xf>
    <xf numFmtId="0" fontId="18" fillId="48" borderId="68" xfId="0" applyFont="1" applyFill="1" applyBorder="1" applyAlignment="1">
      <alignment horizontal="center" vertical="center"/>
    </xf>
    <xf numFmtId="0" fontId="18" fillId="48" borderId="64" xfId="0" applyFont="1" applyFill="1" applyBorder="1" applyAlignment="1">
      <alignment horizontal="center" vertical="center"/>
    </xf>
    <xf numFmtId="0" fontId="18" fillId="48" borderId="12" xfId="0" applyFont="1" applyFill="1" applyBorder="1" applyAlignment="1">
      <alignment horizontal="center" vertical="center"/>
    </xf>
    <xf numFmtId="0" fontId="15" fillId="41" borderId="52" xfId="0" applyFont="1" applyFill="1" applyBorder="1" applyAlignment="1">
      <alignment horizontal="center" vertical="center"/>
    </xf>
    <xf numFmtId="0" fontId="15" fillId="41" borderId="54" xfId="0" applyFont="1" applyFill="1" applyBorder="1" applyAlignment="1">
      <alignment horizontal="center" vertical="center"/>
    </xf>
    <xf numFmtId="0" fontId="15" fillId="41" borderId="13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5" fillId="40" borderId="52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4" fillId="40" borderId="52" xfId="0" applyFont="1" applyFill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15" fillId="35" borderId="72" xfId="0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center" vertical="center"/>
    </xf>
    <xf numFmtId="2" fontId="15" fillId="35" borderId="52" xfId="0" applyNumberFormat="1" applyFont="1" applyFill="1" applyBorder="1" applyAlignment="1">
      <alignment horizontal="center" vertical="center"/>
    </xf>
    <xf numFmtId="2" fontId="15" fillId="35" borderId="72" xfId="0" applyNumberFormat="1" applyFont="1" applyFill="1" applyBorder="1" applyAlignment="1">
      <alignment horizontal="center" vertical="center"/>
    </xf>
    <xf numFmtId="2" fontId="15" fillId="35" borderId="54" xfId="0" applyNumberFormat="1" applyFont="1" applyFill="1" applyBorder="1" applyAlignment="1">
      <alignment horizontal="center" vertical="center"/>
    </xf>
    <xf numFmtId="0" fontId="21" fillId="49" borderId="68" xfId="0" applyFont="1" applyFill="1" applyBorder="1" applyAlignment="1">
      <alignment horizontal="center"/>
    </xf>
    <xf numFmtId="0" fontId="21" fillId="49" borderId="64" xfId="0" applyFont="1" applyFill="1" applyBorder="1" applyAlignment="1">
      <alignment horizontal="center"/>
    </xf>
    <xf numFmtId="0" fontId="21" fillId="49" borderId="12" xfId="0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 vertical="center"/>
    </xf>
    <xf numFmtId="0" fontId="2" fillId="33" borderId="83" xfId="0" applyFont="1" applyFill="1" applyBorder="1" applyAlignment="1">
      <alignment horizontal="center"/>
    </xf>
    <xf numFmtId="0" fontId="2" fillId="33" borderId="84" xfId="0" applyFont="1" applyFill="1" applyBorder="1" applyAlignment="1">
      <alignment horizontal="center"/>
    </xf>
    <xf numFmtId="0" fontId="2" fillId="33" borderId="85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195" fontId="2" fillId="33" borderId="60" xfId="0" applyNumberFormat="1" applyFont="1" applyFill="1" applyBorder="1" applyAlignment="1">
      <alignment horizontal="right" vertical="center"/>
    </xf>
    <xf numFmtId="0" fontId="2" fillId="33" borderId="59" xfId="0" applyFont="1" applyFill="1" applyBorder="1" applyAlignment="1">
      <alignment horizontal="left" vertical="center"/>
    </xf>
    <xf numFmtId="0" fontId="2" fillId="33" borderId="60" xfId="0" applyFont="1" applyFill="1" applyBorder="1" applyAlignment="1">
      <alignment horizontal="left" vertical="center"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2" fillId="33" borderId="83" xfId="0" applyNumberFormat="1" applyFont="1" applyFill="1" applyBorder="1" applyAlignment="1">
      <alignment horizontal="center"/>
    </xf>
    <xf numFmtId="0" fontId="2" fillId="33" borderId="84" xfId="0" applyNumberFormat="1" applyFont="1" applyFill="1" applyBorder="1" applyAlignment="1">
      <alignment horizontal="center"/>
    </xf>
    <xf numFmtId="0" fontId="2" fillId="33" borderId="85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1" fontId="5" fillId="33" borderId="0" xfId="0" applyNumberFormat="1" applyFont="1" applyFill="1" applyBorder="1" applyAlignment="1">
      <alignment horizontal="right"/>
    </xf>
    <xf numFmtId="0" fontId="2" fillId="33" borderId="61" xfId="0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left" indent="6"/>
    </xf>
    <xf numFmtId="0" fontId="12" fillId="33" borderId="0" xfId="0" applyFont="1" applyFill="1" applyAlignment="1">
      <alignment vertical="center"/>
    </xf>
    <xf numFmtId="0" fontId="11" fillId="34" borderId="86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1" fillId="34" borderId="88" xfId="0" applyFont="1" applyFill="1" applyBorder="1" applyAlignment="1">
      <alignment horizontal="center" vertical="center"/>
    </xf>
    <xf numFmtId="0" fontId="11" fillId="34" borderId="89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0" fillId="33" borderId="91" xfId="0" applyFont="1" applyFill="1" applyBorder="1" applyAlignment="1">
      <alignment horizontal="center" vertical="center"/>
    </xf>
    <xf numFmtId="0" fontId="10" fillId="33" borderId="92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12" fillId="34" borderId="94" xfId="0" applyFont="1" applyFill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/>
    </xf>
    <xf numFmtId="0" fontId="12" fillId="34" borderId="96" xfId="0" applyFont="1" applyFill="1" applyBorder="1" applyAlignment="1">
      <alignment horizontal="center" vertical="center"/>
    </xf>
    <xf numFmtId="0" fontId="11" fillId="34" borderId="97" xfId="0" applyFont="1" applyFill="1" applyBorder="1" applyAlignment="1">
      <alignment horizontal="center" vertical="center"/>
    </xf>
    <xf numFmtId="0" fontId="11" fillId="34" borderId="98" xfId="0" applyFont="1" applyFill="1" applyBorder="1" applyAlignment="1">
      <alignment horizontal="center" vertical="center"/>
    </xf>
    <xf numFmtId="0" fontId="12" fillId="34" borderId="89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2" fillId="34" borderId="98" xfId="0" applyFont="1" applyFill="1" applyBorder="1" applyAlignment="1">
      <alignment vertical="center"/>
    </xf>
    <xf numFmtId="0" fontId="12" fillId="34" borderId="31" xfId="0" applyFont="1" applyFill="1" applyBorder="1" applyAlignment="1">
      <alignment vertical="center"/>
    </xf>
    <xf numFmtId="0" fontId="12" fillId="34" borderId="2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right" vertical="center"/>
    </xf>
    <xf numFmtId="0" fontId="11" fillId="34" borderId="31" xfId="0" applyFont="1" applyFill="1" applyBorder="1" applyAlignment="1">
      <alignment horizontal="right" vertical="center"/>
    </xf>
    <xf numFmtId="0" fontId="11" fillId="34" borderId="99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87" xfId="0" applyFont="1" applyFill="1" applyBorder="1" applyAlignment="1">
      <alignment horizontal="center" vertical="center"/>
    </xf>
    <xf numFmtId="0" fontId="11" fillId="34" borderId="95" xfId="0" applyFont="1" applyFill="1" applyBorder="1" applyAlignment="1">
      <alignment horizontal="center" vertical="center"/>
    </xf>
    <xf numFmtId="0" fontId="11" fillId="34" borderId="96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vertical="center"/>
    </xf>
    <xf numFmtId="0" fontId="10" fillId="33" borderId="97" xfId="0" applyFont="1" applyFill="1" applyBorder="1" applyAlignment="1">
      <alignment horizontal="center" vertical="center"/>
    </xf>
    <xf numFmtId="0" fontId="10" fillId="33" borderId="94" xfId="0" applyFont="1" applyFill="1" applyBorder="1" applyAlignment="1">
      <alignment horizontal="center" vertical="center"/>
    </xf>
    <xf numFmtId="0" fontId="12" fillId="33" borderId="100" xfId="0" applyFont="1" applyFill="1" applyBorder="1" applyAlignment="1">
      <alignment horizontal="center" vertical="center"/>
    </xf>
    <xf numFmtId="0" fontId="12" fillId="33" borderId="101" xfId="0" applyFont="1" applyFill="1" applyBorder="1" applyAlignment="1">
      <alignment horizontal="center" vertical="center"/>
    </xf>
    <xf numFmtId="0" fontId="11" fillId="34" borderId="10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/>
    </xf>
    <xf numFmtId="0" fontId="1" fillId="33" borderId="53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33" borderId="71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1" fillId="33" borderId="76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7</xdr:row>
      <xdr:rowOff>19050</xdr:rowOff>
    </xdr:from>
    <xdr:ext cx="2038350" cy="1047750"/>
    <xdr:grpSp>
      <xdr:nvGrpSpPr>
        <xdr:cNvPr id="1" name="Group 31"/>
        <xdr:cNvGrpSpPr>
          <a:grpSpLocks/>
        </xdr:cNvGrpSpPr>
      </xdr:nvGrpSpPr>
      <xdr:grpSpPr>
        <a:xfrm>
          <a:off x="2781300" y="1219200"/>
          <a:ext cx="2038350" cy="1047750"/>
          <a:chOff x="322" y="132"/>
          <a:chExt cx="214" cy="113"/>
        </a:xfrm>
        <a:solidFill>
          <a:srgbClr val="FFFFFF"/>
        </a:solidFill>
      </xdr:grpSpPr>
      <xdr:sp>
        <xdr:nvSpPr>
          <xdr:cNvPr id="3" name="Line 20"/>
          <xdr:cNvSpPr>
            <a:spLocks/>
          </xdr:cNvSpPr>
        </xdr:nvSpPr>
        <xdr:spPr>
          <a:xfrm>
            <a:off x="380" y="202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1"/>
          <xdr:cNvSpPr>
            <a:spLocks/>
          </xdr:cNvSpPr>
        </xdr:nvSpPr>
        <xdr:spPr>
          <a:xfrm>
            <a:off x="327" y="22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2"/>
          <xdr:cNvSpPr>
            <a:spLocks/>
          </xdr:cNvSpPr>
        </xdr:nvSpPr>
        <xdr:spPr>
          <a:xfrm>
            <a:off x="322" y="240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3"/>
          <xdr:cNvSpPr>
            <a:spLocks/>
          </xdr:cNvSpPr>
        </xdr:nvSpPr>
        <xdr:spPr>
          <a:xfrm>
            <a:off x="509" y="202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4"/>
          <xdr:cNvSpPr txBox="1">
            <a:spLocks noChangeArrowheads="1"/>
          </xdr:cNvSpPr>
        </xdr:nvSpPr>
        <xdr:spPr>
          <a:xfrm>
            <a:off x="348" y="223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441" y="223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9" name="Line 27"/>
          <xdr:cNvSpPr>
            <a:spLocks/>
          </xdr:cNvSpPr>
        </xdr:nvSpPr>
        <xdr:spPr>
          <a:xfrm>
            <a:off x="513" y="135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8"/>
          <xdr:cNvSpPr>
            <a:spLocks/>
          </xdr:cNvSpPr>
        </xdr:nvSpPr>
        <xdr:spPr>
          <a:xfrm>
            <a:off x="527" y="132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9"/>
          <xdr:cNvSpPr>
            <a:spLocks/>
          </xdr:cNvSpPr>
        </xdr:nvSpPr>
        <xdr:spPr>
          <a:xfrm>
            <a:off x="513" y="198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30"/>
          <xdr:cNvSpPr txBox="1">
            <a:spLocks noChangeArrowheads="1"/>
          </xdr:cNvSpPr>
        </xdr:nvSpPr>
        <xdr:spPr>
          <a:xfrm>
            <a:off x="527" y="156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oneCellAnchor>
  <xdr:oneCellAnchor>
    <xdr:from>
      <xdr:col>10</xdr:col>
      <xdr:colOff>247650</xdr:colOff>
      <xdr:row>9</xdr:row>
      <xdr:rowOff>38100</xdr:rowOff>
    </xdr:from>
    <xdr:ext cx="180975" cy="171450"/>
    <xdr:sp>
      <xdr:nvSpPr>
        <xdr:cNvPr id="13" name="Text Box 32"/>
        <xdr:cNvSpPr txBox="1">
          <a:spLocks noChangeArrowheads="1"/>
        </xdr:cNvSpPr>
      </xdr:nvSpPr>
      <xdr:spPr>
        <a:xfrm>
          <a:off x="3638550" y="1619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 =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7</xdr:row>
      <xdr:rowOff>19050</xdr:rowOff>
    </xdr:from>
    <xdr:ext cx="2038350" cy="1047750"/>
    <xdr:grpSp>
      <xdr:nvGrpSpPr>
        <xdr:cNvPr id="1" name="Group 31"/>
        <xdr:cNvGrpSpPr>
          <a:grpSpLocks/>
        </xdr:cNvGrpSpPr>
      </xdr:nvGrpSpPr>
      <xdr:grpSpPr>
        <a:xfrm>
          <a:off x="3019425" y="1219200"/>
          <a:ext cx="2038350" cy="1047750"/>
          <a:chOff x="322" y="132"/>
          <a:chExt cx="214" cy="113"/>
        </a:xfrm>
        <a:solidFill>
          <a:srgbClr val="FFFFFF"/>
        </a:solidFill>
      </xdr:grpSpPr>
      <xdr:sp>
        <xdr:nvSpPr>
          <xdr:cNvPr id="3" name="Line 20"/>
          <xdr:cNvSpPr>
            <a:spLocks/>
          </xdr:cNvSpPr>
        </xdr:nvSpPr>
        <xdr:spPr>
          <a:xfrm>
            <a:off x="380" y="202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1"/>
          <xdr:cNvSpPr>
            <a:spLocks/>
          </xdr:cNvSpPr>
        </xdr:nvSpPr>
        <xdr:spPr>
          <a:xfrm>
            <a:off x="327" y="22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2"/>
          <xdr:cNvSpPr>
            <a:spLocks/>
          </xdr:cNvSpPr>
        </xdr:nvSpPr>
        <xdr:spPr>
          <a:xfrm>
            <a:off x="322" y="240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3"/>
          <xdr:cNvSpPr>
            <a:spLocks/>
          </xdr:cNvSpPr>
        </xdr:nvSpPr>
        <xdr:spPr>
          <a:xfrm>
            <a:off x="509" y="202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4"/>
          <xdr:cNvSpPr txBox="1">
            <a:spLocks noChangeArrowheads="1"/>
          </xdr:cNvSpPr>
        </xdr:nvSpPr>
        <xdr:spPr>
          <a:xfrm>
            <a:off x="348" y="223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441" y="223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9" name="Line 27"/>
          <xdr:cNvSpPr>
            <a:spLocks/>
          </xdr:cNvSpPr>
        </xdr:nvSpPr>
        <xdr:spPr>
          <a:xfrm>
            <a:off x="513" y="135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8"/>
          <xdr:cNvSpPr>
            <a:spLocks/>
          </xdr:cNvSpPr>
        </xdr:nvSpPr>
        <xdr:spPr>
          <a:xfrm>
            <a:off x="527" y="132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9"/>
          <xdr:cNvSpPr>
            <a:spLocks/>
          </xdr:cNvSpPr>
        </xdr:nvSpPr>
        <xdr:spPr>
          <a:xfrm>
            <a:off x="513" y="198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30"/>
          <xdr:cNvSpPr txBox="1">
            <a:spLocks noChangeArrowheads="1"/>
          </xdr:cNvSpPr>
        </xdr:nvSpPr>
        <xdr:spPr>
          <a:xfrm>
            <a:off x="527" y="156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oneCellAnchor>
  <xdr:oneCellAnchor>
    <xdr:from>
      <xdr:col>10</xdr:col>
      <xdr:colOff>247650</xdr:colOff>
      <xdr:row>9</xdr:row>
      <xdr:rowOff>38100</xdr:rowOff>
    </xdr:from>
    <xdr:ext cx="180975" cy="171450"/>
    <xdr:sp>
      <xdr:nvSpPr>
        <xdr:cNvPr id="13" name="Text Box 32"/>
        <xdr:cNvSpPr txBox="1">
          <a:spLocks noChangeArrowheads="1"/>
        </xdr:cNvSpPr>
      </xdr:nvSpPr>
      <xdr:spPr>
        <a:xfrm>
          <a:off x="3943350" y="1619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 =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10</xdr:row>
      <xdr:rowOff>47625</xdr:rowOff>
    </xdr:from>
    <xdr:ext cx="1724025" cy="1504950"/>
    <xdr:grpSp>
      <xdr:nvGrpSpPr>
        <xdr:cNvPr id="1" name="Group 69"/>
        <xdr:cNvGrpSpPr>
          <a:grpSpLocks/>
        </xdr:cNvGrpSpPr>
      </xdr:nvGrpSpPr>
      <xdr:grpSpPr>
        <a:xfrm>
          <a:off x="228600" y="2781300"/>
          <a:ext cx="1724025" cy="1504950"/>
          <a:chOff x="24" y="304"/>
          <a:chExt cx="181" cy="158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24" y="368"/>
            <a:ext cx="181" cy="94"/>
            <a:chOff x="24" y="368"/>
            <a:chExt cx="181" cy="94"/>
          </a:xfrm>
          <a:solidFill>
            <a:srgbClr val="FFFFFF"/>
          </a:solidFill>
        </xdr:grpSpPr>
        <xdr:sp>
          <xdr:nvSpPr>
            <xdr:cNvPr id="3" name="AutoShape 1"/>
            <xdr:cNvSpPr>
              <a:spLocks/>
            </xdr:cNvSpPr>
          </xdr:nvSpPr>
          <xdr:spPr>
            <a:xfrm flipH="1">
              <a:off x="33" y="373"/>
              <a:ext cx="147" cy="70"/>
            </a:xfrm>
            <a:prstGeom prst="rtTriangl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3"/>
            <xdr:cNvSpPr>
              <a:spLocks/>
            </xdr:cNvSpPr>
          </xdr:nvSpPr>
          <xdr:spPr>
            <a:xfrm>
              <a:off x="183" y="373"/>
              <a:ext cx="2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"/>
            <xdr:cNvSpPr>
              <a:spLocks/>
            </xdr:cNvSpPr>
          </xdr:nvSpPr>
          <xdr:spPr>
            <a:xfrm>
              <a:off x="199" y="368"/>
              <a:ext cx="0" cy="8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183" y="443"/>
              <a:ext cx="2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29" y="457"/>
              <a:ext cx="15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33" y="447"/>
              <a:ext cx="0" cy="1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80" y="447"/>
              <a:ext cx="0" cy="1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59" y="426"/>
              <a:ext cx="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q</a:t>
              </a:r>
            </a:p>
          </xdr:txBody>
        </xdr:sp>
        <xdr:sp>
          <xdr:nvSpPr>
            <xdr:cNvPr id="12" name="Rectangle 15"/>
            <xdr:cNvSpPr>
              <a:spLocks/>
            </xdr:cNvSpPr>
          </xdr:nvSpPr>
          <xdr:spPr>
            <a:xfrm rot="20040000">
              <a:off x="30" y="431"/>
              <a:ext cx="4" cy="1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6"/>
            <xdr:cNvSpPr>
              <a:spLocks/>
            </xdr:cNvSpPr>
          </xdr:nvSpPr>
          <xdr:spPr>
            <a:xfrm rot="20040000">
              <a:off x="173" y="364"/>
              <a:ext cx="4" cy="1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7"/>
            <xdr:cNvSpPr>
              <a:spLocks/>
            </xdr:cNvSpPr>
          </xdr:nvSpPr>
          <xdr:spPr>
            <a:xfrm rot="20040000">
              <a:off x="78" y="408"/>
              <a:ext cx="4" cy="1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8"/>
            <xdr:cNvSpPr>
              <a:spLocks/>
            </xdr:cNvSpPr>
          </xdr:nvSpPr>
          <xdr:spPr>
            <a:xfrm rot="20040000">
              <a:off x="127" y="385"/>
              <a:ext cx="4" cy="1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Line 32"/>
          <xdr:cNvSpPr>
            <a:spLocks/>
          </xdr:cNvSpPr>
        </xdr:nvSpPr>
        <xdr:spPr>
          <a:xfrm flipV="1">
            <a:off x="132" y="376"/>
            <a:ext cx="25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3"/>
          <xdr:cNvSpPr>
            <a:spLocks/>
          </xdr:cNvSpPr>
        </xdr:nvSpPr>
        <xdr:spPr>
          <a:xfrm>
            <a:off x="106" y="340"/>
            <a:ext cx="2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4"/>
          <xdr:cNvSpPr>
            <a:spLocks/>
          </xdr:cNvSpPr>
        </xdr:nvSpPr>
        <xdr:spPr>
          <a:xfrm>
            <a:off x="131" y="334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36"/>
          <xdr:cNvSpPr txBox="1">
            <a:spLocks noChangeArrowheads="1"/>
          </xdr:cNvSpPr>
        </xdr:nvSpPr>
        <xdr:spPr>
          <a:xfrm>
            <a:off x="148" y="348"/>
            <a:ext cx="1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w</a:t>
            </a:r>
            <a:r>
              <a:rPr lang="en-US" cap="none" sz="1400" b="0" i="0" u="none" baseline="-2500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x</a:t>
            </a:r>
          </a:p>
        </xdr:txBody>
      </xdr:sp>
      <xdr:sp>
        <xdr:nvSpPr>
          <xdr:cNvPr id="20" name="Text Box 58"/>
          <xdr:cNvSpPr txBox="1">
            <a:spLocks noChangeArrowheads="1"/>
          </xdr:cNvSpPr>
        </xdr:nvSpPr>
        <xdr:spPr>
          <a:xfrm>
            <a:off x="122" y="304"/>
            <a:ext cx="1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w</a:t>
            </a:r>
            <a:r>
              <a:rPr lang="en-US" cap="none" sz="1400" b="0" i="0" u="none" baseline="-2500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t</a:t>
            </a:r>
          </a:p>
        </xdr:txBody>
      </xdr:sp>
      <xdr:sp>
        <xdr:nvSpPr>
          <xdr:cNvPr id="21" name="Text Box 59"/>
          <xdr:cNvSpPr txBox="1">
            <a:spLocks noChangeArrowheads="1"/>
          </xdr:cNvSpPr>
        </xdr:nvSpPr>
        <xdr:spPr>
          <a:xfrm>
            <a:off x="90" y="311"/>
            <a:ext cx="1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w</a:t>
            </a:r>
            <a:r>
              <a:rPr lang="en-US" cap="none" sz="1400" b="0" i="0" u="none" baseline="-2500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y</a:t>
            </a:r>
          </a:p>
        </xdr:txBody>
      </xdr:sp>
    </xdr:grpSp>
    <xdr:clientData/>
  </xdr:oneCellAnchor>
  <xdr:oneCellAnchor>
    <xdr:from>
      <xdr:col>1</xdr:col>
      <xdr:colOff>38100</xdr:colOff>
      <xdr:row>16</xdr:row>
      <xdr:rowOff>76200</xdr:rowOff>
    </xdr:from>
    <xdr:ext cx="1619250" cy="923925"/>
    <xdr:grpSp>
      <xdr:nvGrpSpPr>
        <xdr:cNvPr id="22" name="Group 70"/>
        <xdr:cNvGrpSpPr>
          <a:grpSpLocks/>
        </xdr:cNvGrpSpPr>
      </xdr:nvGrpSpPr>
      <xdr:grpSpPr>
        <a:xfrm>
          <a:off x="333375" y="4543425"/>
          <a:ext cx="1619250" cy="923925"/>
          <a:chOff x="35" y="493"/>
          <a:chExt cx="170" cy="97"/>
        </a:xfrm>
        <a:solidFill>
          <a:srgbClr val="FFFFFF"/>
        </a:solidFill>
      </xdr:grpSpPr>
      <xdr:sp>
        <xdr:nvSpPr>
          <xdr:cNvPr id="23" name="Rectangle 38"/>
          <xdr:cNvSpPr>
            <a:spLocks/>
          </xdr:cNvSpPr>
        </xdr:nvSpPr>
        <xdr:spPr>
          <a:xfrm>
            <a:off x="58" y="498"/>
            <a:ext cx="6" cy="8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40"/>
          <xdr:cNvSpPr>
            <a:spLocks/>
          </xdr:cNvSpPr>
        </xdr:nvSpPr>
        <xdr:spPr>
          <a:xfrm>
            <a:off x="152" y="498"/>
            <a:ext cx="6" cy="8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41"/>
          <xdr:cNvSpPr>
            <a:spLocks/>
          </xdr:cNvSpPr>
        </xdr:nvSpPr>
        <xdr:spPr>
          <a:xfrm>
            <a:off x="39" y="498"/>
            <a:ext cx="137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42"/>
          <xdr:cNvSpPr>
            <a:spLocks/>
          </xdr:cNvSpPr>
        </xdr:nvSpPr>
        <xdr:spPr>
          <a:xfrm>
            <a:off x="39" y="526"/>
            <a:ext cx="137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44"/>
          <xdr:cNvSpPr>
            <a:spLocks/>
          </xdr:cNvSpPr>
        </xdr:nvSpPr>
        <xdr:spPr>
          <a:xfrm>
            <a:off x="39" y="554"/>
            <a:ext cx="137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46"/>
          <xdr:cNvSpPr>
            <a:spLocks/>
          </xdr:cNvSpPr>
        </xdr:nvSpPr>
        <xdr:spPr>
          <a:xfrm>
            <a:off x="173" y="493"/>
            <a:ext cx="8" cy="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47"/>
          <xdr:cNvSpPr>
            <a:spLocks/>
          </xdr:cNvSpPr>
        </xdr:nvSpPr>
        <xdr:spPr>
          <a:xfrm>
            <a:off x="35" y="495"/>
            <a:ext cx="8" cy="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48"/>
          <xdr:cNvSpPr>
            <a:spLocks/>
          </xdr:cNvSpPr>
        </xdr:nvSpPr>
        <xdr:spPr>
          <a:xfrm>
            <a:off x="52" y="573"/>
            <a:ext cx="111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9"/>
          <xdr:cNvSpPr>
            <a:spLocks/>
          </xdr:cNvSpPr>
        </xdr:nvSpPr>
        <xdr:spPr>
          <a:xfrm>
            <a:off x="61" y="577"/>
            <a:ext cx="0" cy="1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"/>
          <xdr:cNvSpPr>
            <a:spLocks/>
          </xdr:cNvSpPr>
        </xdr:nvSpPr>
        <xdr:spPr>
          <a:xfrm>
            <a:off x="56" y="585"/>
            <a:ext cx="10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"/>
          <xdr:cNvSpPr>
            <a:spLocks/>
          </xdr:cNvSpPr>
        </xdr:nvSpPr>
        <xdr:spPr>
          <a:xfrm>
            <a:off x="155" y="577"/>
            <a:ext cx="0" cy="1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2"/>
          <xdr:cNvSpPr>
            <a:spLocks/>
          </xdr:cNvSpPr>
        </xdr:nvSpPr>
        <xdr:spPr>
          <a:xfrm>
            <a:off x="199" y="494"/>
            <a:ext cx="0" cy="4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3"/>
          <xdr:cNvSpPr>
            <a:spLocks/>
          </xdr:cNvSpPr>
        </xdr:nvSpPr>
        <xdr:spPr>
          <a:xfrm>
            <a:off x="177" y="529"/>
            <a:ext cx="2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54"/>
          <xdr:cNvSpPr>
            <a:spLocks/>
          </xdr:cNvSpPr>
        </xdr:nvSpPr>
        <xdr:spPr>
          <a:xfrm>
            <a:off x="176" y="501"/>
            <a:ext cx="2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55"/>
          <xdr:cNvSpPr>
            <a:spLocks/>
          </xdr:cNvSpPr>
        </xdr:nvSpPr>
        <xdr:spPr>
          <a:xfrm>
            <a:off x="61" y="515"/>
            <a:ext cx="94" cy="2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60"/>
          <xdr:cNvSpPr txBox="1">
            <a:spLocks noChangeArrowheads="1"/>
          </xdr:cNvSpPr>
        </xdr:nvSpPr>
        <xdr:spPr>
          <a:xfrm>
            <a:off x="96" y="513"/>
            <a:ext cx="1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w</a:t>
            </a:r>
            <a:r>
              <a:rPr lang="en-US" cap="none" sz="1400" b="0" i="0" u="none" baseline="-2500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t</a:t>
            </a:r>
          </a:p>
        </xdr:txBody>
      </xdr:sp>
    </xdr:grpSp>
    <xdr:clientData/>
  </xdr:oneCellAnchor>
  <xdr:oneCellAnchor>
    <xdr:from>
      <xdr:col>1</xdr:col>
      <xdr:colOff>38100</xdr:colOff>
      <xdr:row>23</xdr:row>
      <xdr:rowOff>28575</xdr:rowOff>
    </xdr:from>
    <xdr:ext cx="1371600" cy="581025"/>
    <xdr:grpSp>
      <xdr:nvGrpSpPr>
        <xdr:cNvPr id="39" name="Group 74"/>
        <xdr:cNvGrpSpPr>
          <a:grpSpLocks/>
        </xdr:cNvGrpSpPr>
      </xdr:nvGrpSpPr>
      <xdr:grpSpPr>
        <a:xfrm>
          <a:off x="333375" y="6505575"/>
          <a:ext cx="1371600" cy="581025"/>
          <a:chOff x="35" y="702"/>
          <a:chExt cx="144" cy="61"/>
        </a:xfrm>
        <a:solidFill>
          <a:srgbClr val="FFFFFF"/>
        </a:solidFill>
      </xdr:grpSpPr>
      <xdr:grpSp>
        <xdr:nvGrpSpPr>
          <xdr:cNvPr id="40" name="Group 71"/>
          <xdr:cNvGrpSpPr>
            <a:grpSpLocks/>
          </xdr:cNvGrpSpPr>
        </xdr:nvGrpSpPr>
        <xdr:grpSpPr>
          <a:xfrm>
            <a:off x="35" y="702"/>
            <a:ext cx="144" cy="61"/>
            <a:chOff x="36" y="610"/>
            <a:chExt cx="144" cy="61"/>
          </a:xfrm>
          <a:solidFill>
            <a:srgbClr val="FFFFFF"/>
          </a:solidFill>
        </xdr:grpSpPr>
        <xdr:sp>
          <xdr:nvSpPr>
            <xdr:cNvPr id="41" name="Rectangle 61"/>
            <xdr:cNvSpPr>
              <a:spLocks/>
            </xdr:cNvSpPr>
          </xdr:nvSpPr>
          <xdr:spPr>
            <a:xfrm>
              <a:off x="39" y="636"/>
              <a:ext cx="137" cy="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62"/>
            <xdr:cNvSpPr>
              <a:spLocks/>
            </xdr:cNvSpPr>
          </xdr:nvSpPr>
          <xdr:spPr>
            <a:xfrm>
              <a:off x="61" y="642"/>
              <a:ext cx="0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63"/>
            <xdr:cNvSpPr>
              <a:spLocks/>
            </xdr:cNvSpPr>
          </xdr:nvSpPr>
          <xdr:spPr>
            <a:xfrm>
              <a:off x="155" y="642"/>
              <a:ext cx="0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Rectangle 64"/>
            <xdr:cNvSpPr>
              <a:spLocks/>
            </xdr:cNvSpPr>
          </xdr:nvSpPr>
          <xdr:spPr>
            <a:xfrm>
              <a:off x="172" y="631"/>
              <a:ext cx="8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66"/>
            <xdr:cNvSpPr>
              <a:spLocks/>
            </xdr:cNvSpPr>
          </xdr:nvSpPr>
          <xdr:spPr>
            <a:xfrm>
              <a:off x="36" y="633"/>
              <a:ext cx="8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Text Box 67"/>
            <xdr:cNvSpPr txBox="1">
              <a:spLocks noChangeArrowheads="1"/>
            </xdr:cNvSpPr>
          </xdr:nvSpPr>
          <xdr:spPr>
            <a:xfrm>
              <a:off x="119" y="610"/>
              <a:ext cx="26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45720" rIns="18288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kg/m</a:t>
              </a:r>
            </a:p>
          </xdr:txBody>
        </xdr:sp>
        <xdr:sp>
          <xdr:nvSpPr>
            <xdr:cNvPr id="47" name="Rectangle 68" descr="ลายซิกแซก"/>
            <xdr:cNvSpPr>
              <a:spLocks/>
            </xdr:cNvSpPr>
          </xdr:nvSpPr>
          <xdr:spPr>
            <a:xfrm>
              <a:off x="61" y="632"/>
              <a:ext cx="94" cy="4"/>
            </a:xfrm>
            <a:prstGeom prst="rect">
              <a:avLst/>
            </a:prstGeom>
            <a:pattFill prst="zigZ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8" name="Line 73"/>
          <xdr:cNvSpPr>
            <a:spLocks/>
          </xdr:cNvSpPr>
        </xdr:nvSpPr>
        <xdr:spPr>
          <a:xfrm>
            <a:off x="53" y="755"/>
            <a:ext cx="1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285750</xdr:rowOff>
    </xdr:from>
    <xdr:ext cx="2181225" cy="1238250"/>
    <xdr:grpSp>
      <xdr:nvGrpSpPr>
        <xdr:cNvPr id="1" name="Group 209"/>
        <xdr:cNvGrpSpPr>
          <a:grpSpLocks/>
        </xdr:cNvGrpSpPr>
      </xdr:nvGrpSpPr>
      <xdr:grpSpPr>
        <a:xfrm>
          <a:off x="180975" y="4362450"/>
          <a:ext cx="2181225" cy="1238250"/>
          <a:chOff x="20" y="470"/>
          <a:chExt cx="229" cy="130"/>
        </a:xfrm>
        <a:solidFill>
          <a:srgbClr val="FFFFFF"/>
        </a:solidFill>
      </xdr:grpSpPr>
      <xdr:sp>
        <xdr:nvSpPr>
          <xdr:cNvPr id="2" name="Rectangle 148"/>
          <xdr:cNvSpPr>
            <a:spLocks/>
          </xdr:cNvSpPr>
        </xdr:nvSpPr>
        <xdr:spPr>
          <a:xfrm>
            <a:off x="84" y="470"/>
            <a:ext cx="8" cy="13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47"/>
          <xdr:cNvSpPr>
            <a:spLocks/>
          </xdr:cNvSpPr>
        </xdr:nvSpPr>
        <xdr:spPr>
          <a:xfrm>
            <a:off x="216" y="470"/>
            <a:ext cx="8" cy="13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38"/>
          <xdr:cNvSpPr>
            <a:spLocks/>
          </xdr:cNvSpPr>
        </xdr:nvSpPr>
        <xdr:spPr>
          <a:xfrm>
            <a:off x="20" y="470"/>
            <a:ext cx="204" cy="6"/>
          </a:xfrm>
          <a:prstGeom prst="rect">
            <a:avLst/>
          </a:pr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40"/>
          <xdr:cNvSpPr>
            <a:spLocks/>
          </xdr:cNvSpPr>
        </xdr:nvSpPr>
        <xdr:spPr>
          <a:xfrm>
            <a:off x="228" y="535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1"/>
          <xdr:cNvSpPr>
            <a:spLocks/>
          </xdr:cNvSpPr>
        </xdr:nvSpPr>
        <xdr:spPr>
          <a:xfrm>
            <a:off x="244" y="473"/>
            <a:ext cx="0" cy="6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2"/>
          <xdr:cNvSpPr>
            <a:spLocks/>
          </xdr:cNvSpPr>
        </xdr:nvSpPr>
        <xdr:spPr>
          <a:xfrm>
            <a:off x="228" y="473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5"/>
          <xdr:cNvSpPr>
            <a:spLocks/>
          </xdr:cNvSpPr>
        </xdr:nvSpPr>
        <xdr:spPr>
          <a:xfrm>
            <a:off x="20" y="594"/>
            <a:ext cx="204" cy="6"/>
          </a:xfrm>
          <a:prstGeom prst="rect">
            <a:avLst/>
          </a:pr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46"/>
          <xdr:cNvSpPr>
            <a:spLocks/>
          </xdr:cNvSpPr>
        </xdr:nvSpPr>
        <xdr:spPr>
          <a:xfrm>
            <a:off x="20" y="504"/>
            <a:ext cx="204" cy="62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39"/>
          <xdr:cNvSpPr>
            <a:spLocks/>
          </xdr:cNvSpPr>
        </xdr:nvSpPr>
        <xdr:spPr>
          <a:xfrm>
            <a:off x="20" y="532"/>
            <a:ext cx="204" cy="6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0</xdr:colOff>
      <xdr:row>24</xdr:row>
      <xdr:rowOff>228600</xdr:rowOff>
    </xdr:from>
    <xdr:ext cx="1943100" cy="419100"/>
    <xdr:grpSp>
      <xdr:nvGrpSpPr>
        <xdr:cNvPr id="11" name="Group 208"/>
        <xdr:cNvGrpSpPr>
          <a:grpSpLocks/>
        </xdr:cNvGrpSpPr>
      </xdr:nvGrpSpPr>
      <xdr:grpSpPr>
        <a:xfrm>
          <a:off x="180975" y="6943725"/>
          <a:ext cx="1943100" cy="419100"/>
          <a:chOff x="20" y="738"/>
          <a:chExt cx="204" cy="43"/>
        </a:xfrm>
        <a:solidFill>
          <a:srgbClr val="FFFFFF"/>
        </a:solidFill>
      </xdr:grpSpPr>
      <xdr:sp>
        <xdr:nvSpPr>
          <xdr:cNvPr id="12" name="Rectangle 157"/>
          <xdr:cNvSpPr>
            <a:spLocks/>
          </xdr:cNvSpPr>
        </xdr:nvSpPr>
        <xdr:spPr>
          <a:xfrm>
            <a:off x="20" y="738"/>
            <a:ext cx="204" cy="6"/>
          </a:xfrm>
          <a:prstGeom prst="rect">
            <a:avLst/>
          </a:pr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63"/>
          <xdr:cNvSpPr>
            <a:spLocks/>
          </xdr:cNvSpPr>
        </xdr:nvSpPr>
        <xdr:spPr>
          <a:xfrm>
            <a:off x="20" y="765"/>
            <a:ext cx="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4"/>
          <xdr:cNvSpPr>
            <a:spLocks/>
          </xdr:cNvSpPr>
        </xdr:nvSpPr>
        <xdr:spPr>
          <a:xfrm>
            <a:off x="88" y="765"/>
            <a:ext cx="1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65"/>
          <xdr:cNvSpPr>
            <a:spLocks/>
          </xdr:cNvSpPr>
        </xdr:nvSpPr>
        <xdr:spPr>
          <a:xfrm>
            <a:off x="20" y="749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88" y="744"/>
            <a:ext cx="0" cy="3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0"/>
          <xdr:cNvSpPr>
            <a:spLocks/>
          </xdr:cNvSpPr>
        </xdr:nvSpPr>
        <xdr:spPr>
          <a:xfrm>
            <a:off x="224" y="744"/>
            <a:ext cx="0" cy="3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0</xdr:colOff>
      <xdr:row>30</xdr:row>
      <xdr:rowOff>47625</xdr:rowOff>
    </xdr:from>
    <xdr:ext cx="1943100" cy="219075"/>
    <xdr:grpSp>
      <xdr:nvGrpSpPr>
        <xdr:cNvPr id="18" name="Group 207"/>
        <xdr:cNvGrpSpPr>
          <a:grpSpLocks/>
        </xdr:cNvGrpSpPr>
      </xdr:nvGrpSpPr>
      <xdr:grpSpPr>
        <a:xfrm>
          <a:off x="180975" y="8458200"/>
          <a:ext cx="1943100" cy="219075"/>
          <a:chOff x="20" y="896"/>
          <a:chExt cx="204" cy="23"/>
        </a:xfrm>
        <a:solidFill>
          <a:srgbClr val="FFFFFF"/>
        </a:solidFill>
      </xdr:grpSpPr>
      <xdr:sp>
        <xdr:nvSpPr>
          <xdr:cNvPr id="19" name="Line 179"/>
          <xdr:cNvSpPr>
            <a:spLocks/>
          </xdr:cNvSpPr>
        </xdr:nvSpPr>
        <xdr:spPr>
          <a:xfrm>
            <a:off x="20" y="914"/>
            <a:ext cx="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80"/>
          <xdr:cNvSpPr>
            <a:spLocks/>
          </xdr:cNvSpPr>
        </xdr:nvSpPr>
        <xdr:spPr>
          <a:xfrm>
            <a:off x="89" y="914"/>
            <a:ext cx="7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81"/>
          <xdr:cNvSpPr>
            <a:spLocks/>
          </xdr:cNvSpPr>
        </xdr:nvSpPr>
        <xdr:spPr>
          <a:xfrm>
            <a:off x="20" y="896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82"/>
          <xdr:cNvSpPr>
            <a:spLocks/>
          </xdr:cNvSpPr>
        </xdr:nvSpPr>
        <xdr:spPr>
          <a:xfrm>
            <a:off x="164" y="914"/>
            <a:ext cx="6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86"/>
          <xdr:cNvSpPr>
            <a:spLocks/>
          </xdr:cNvSpPr>
        </xdr:nvSpPr>
        <xdr:spPr>
          <a:xfrm>
            <a:off x="88" y="896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87"/>
          <xdr:cNvSpPr>
            <a:spLocks/>
          </xdr:cNvSpPr>
        </xdr:nvSpPr>
        <xdr:spPr>
          <a:xfrm>
            <a:off x="164" y="896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93"/>
          <xdr:cNvSpPr>
            <a:spLocks/>
          </xdr:cNvSpPr>
        </xdr:nvSpPr>
        <xdr:spPr>
          <a:xfrm>
            <a:off x="224" y="896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0</xdr:colOff>
      <xdr:row>31</xdr:row>
      <xdr:rowOff>219075</xdr:rowOff>
    </xdr:from>
    <xdr:ext cx="1952625" cy="1266825"/>
    <xdr:grpSp>
      <xdr:nvGrpSpPr>
        <xdr:cNvPr id="26" name="Group 206"/>
        <xdr:cNvGrpSpPr>
          <a:grpSpLocks/>
        </xdr:cNvGrpSpPr>
      </xdr:nvGrpSpPr>
      <xdr:grpSpPr>
        <a:xfrm>
          <a:off x="180975" y="8905875"/>
          <a:ext cx="1952625" cy="1266825"/>
          <a:chOff x="20" y="946"/>
          <a:chExt cx="205" cy="177"/>
        </a:xfrm>
        <a:solidFill>
          <a:srgbClr val="FFFFFF"/>
        </a:solidFill>
      </xdr:grpSpPr>
      <xdr:grpSp>
        <xdr:nvGrpSpPr>
          <xdr:cNvPr id="28" name="Group 205"/>
          <xdr:cNvGrpSpPr>
            <a:grpSpLocks/>
          </xdr:cNvGrpSpPr>
        </xdr:nvGrpSpPr>
        <xdr:grpSpPr>
          <a:xfrm>
            <a:off x="20" y="946"/>
            <a:ext cx="205" cy="104"/>
            <a:chOff x="20" y="946"/>
            <a:chExt cx="205" cy="104"/>
          </a:xfrm>
          <a:solidFill>
            <a:srgbClr val="FFFFFF"/>
          </a:solidFill>
        </xdr:grpSpPr>
        <xdr:grpSp>
          <xdr:nvGrpSpPr>
            <xdr:cNvPr id="30" name="Group 204"/>
            <xdr:cNvGrpSpPr>
              <a:grpSpLocks/>
            </xdr:cNvGrpSpPr>
          </xdr:nvGrpSpPr>
          <xdr:grpSpPr>
            <a:xfrm>
              <a:off x="20" y="947"/>
              <a:ext cx="204" cy="40"/>
              <a:chOff x="20" y="947"/>
              <a:chExt cx="204" cy="40"/>
            </a:xfrm>
            <a:solidFill>
              <a:srgbClr val="FFFFFF"/>
            </a:solidFill>
          </xdr:grpSpPr>
          <xdr:sp>
            <xdr:nvSpPr>
              <xdr:cNvPr id="31" name="Line 183"/>
              <xdr:cNvSpPr>
                <a:spLocks/>
              </xdr:cNvSpPr>
            </xdr:nvSpPr>
            <xdr:spPr>
              <a:xfrm>
                <a:off x="20" y="972"/>
                <a:ext cx="20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Line 185"/>
              <xdr:cNvSpPr>
                <a:spLocks/>
              </xdr:cNvSpPr>
            </xdr:nvSpPr>
            <xdr:spPr>
              <a:xfrm>
                <a:off x="164" y="947"/>
                <a:ext cx="0" cy="2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Line 203"/>
              <xdr:cNvSpPr>
                <a:spLocks/>
              </xdr:cNvSpPr>
            </xdr:nvSpPr>
            <xdr:spPr>
              <a:xfrm>
                <a:off x="88" y="973"/>
                <a:ext cx="0" cy="1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oneCellAnchor>
  <xdr:oneCellAnchor>
    <xdr:from>
      <xdr:col>0</xdr:col>
      <xdr:colOff>0</xdr:colOff>
      <xdr:row>10</xdr:row>
      <xdr:rowOff>0</xdr:rowOff>
    </xdr:from>
    <xdr:ext cx="2305050" cy="1457325"/>
    <xdr:grpSp>
      <xdr:nvGrpSpPr>
        <xdr:cNvPr id="34" name="Group 213"/>
        <xdr:cNvGrpSpPr>
          <a:grpSpLocks/>
        </xdr:cNvGrpSpPr>
      </xdr:nvGrpSpPr>
      <xdr:grpSpPr>
        <a:xfrm>
          <a:off x="0" y="2619375"/>
          <a:ext cx="2305050" cy="1457325"/>
          <a:chOff x="3" y="287"/>
          <a:chExt cx="246" cy="153"/>
        </a:xfrm>
        <a:solidFill>
          <a:srgbClr val="FFFFFF"/>
        </a:solidFill>
      </xdr:grpSpPr>
      <xdr:sp>
        <xdr:nvSpPr>
          <xdr:cNvPr id="35" name="Rectangle 121"/>
          <xdr:cNvSpPr>
            <a:spLocks/>
          </xdr:cNvSpPr>
        </xdr:nvSpPr>
        <xdr:spPr>
          <a:xfrm rot="19800000">
            <a:off x="3" y="346"/>
            <a:ext cx="238" cy="6"/>
          </a:xfrm>
          <a:prstGeom prst="rect">
            <a:avLst/>
          </a:pr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27"/>
          <xdr:cNvSpPr>
            <a:spLocks/>
          </xdr:cNvSpPr>
        </xdr:nvSpPr>
        <xdr:spPr>
          <a:xfrm>
            <a:off x="92" y="374"/>
            <a:ext cx="7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29"/>
          <xdr:cNvSpPr>
            <a:spLocks/>
          </xdr:cNvSpPr>
        </xdr:nvSpPr>
        <xdr:spPr>
          <a:xfrm>
            <a:off x="228" y="374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30"/>
          <xdr:cNvSpPr>
            <a:spLocks/>
          </xdr:cNvSpPr>
        </xdr:nvSpPr>
        <xdr:spPr>
          <a:xfrm>
            <a:off x="244" y="287"/>
            <a:ext cx="0" cy="8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31"/>
          <xdr:cNvSpPr>
            <a:spLocks/>
          </xdr:cNvSpPr>
        </xdr:nvSpPr>
        <xdr:spPr>
          <a:xfrm>
            <a:off x="228" y="287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32"/>
          <xdr:cNvSpPr>
            <a:spLocks/>
          </xdr:cNvSpPr>
        </xdr:nvSpPr>
        <xdr:spPr>
          <a:xfrm>
            <a:off x="20" y="434"/>
            <a:ext cx="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133"/>
          <xdr:cNvSpPr>
            <a:spLocks/>
          </xdr:cNvSpPr>
        </xdr:nvSpPr>
        <xdr:spPr>
          <a:xfrm>
            <a:off x="88" y="434"/>
            <a:ext cx="1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34"/>
          <xdr:cNvSpPr>
            <a:spLocks/>
          </xdr:cNvSpPr>
        </xdr:nvSpPr>
        <xdr:spPr>
          <a:xfrm>
            <a:off x="20" y="415"/>
            <a:ext cx="0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35"/>
          <xdr:cNvSpPr>
            <a:spLocks/>
          </xdr:cNvSpPr>
        </xdr:nvSpPr>
        <xdr:spPr>
          <a:xfrm>
            <a:off x="88" y="412"/>
            <a:ext cx="0" cy="2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36"/>
          <xdr:cNvSpPr>
            <a:spLocks/>
          </xdr:cNvSpPr>
        </xdr:nvSpPr>
        <xdr:spPr>
          <a:xfrm>
            <a:off x="224" y="412"/>
            <a:ext cx="0" cy="2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211" descr="ลายเส้นบางทแยงมุมขึ้น"/>
          <xdr:cNvSpPr>
            <a:spLocks/>
          </xdr:cNvSpPr>
        </xdr:nvSpPr>
        <xdr:spPr>
          <a:xfrm>
            <a:off x="222" y="295"/>
            <a:ext cx="8" cy="13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212" descr="ลายเส้นบางทแยงมุมขึ้น"/>
          <xdr:cNvSpPr>
            <a:spLocks/>
          </xdr:cNvSpPr>
        </xdr:nvSpPr>
        <xdr:spPr>
          <a:xfrm>
            <a:off x="84" y="374"/>
            <a:ext cx="8" cy="13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3</xdr:col>
      <xdr:colOff>104775</xdr:colOff>
      <xdr:row>16</xdr:row>
      <xdr:rowOff>295275</xdr:rowOff>
    </xdr:from>
    <xdr:to>
      <xdr:col>3</xdr:col>
      <xdr:colOff>104775</xdr:colOff>
      <xdr:row>19</xdr:row>
      <xdr:rowOff>19050</xdr:rowOff>
    </xdr:to>
    <xdr:sp>
      <xdr:nvSpPr>
        <xdr:cNvPr id="48" name="Line 214"/>
        <xdr:cNvSpPr>
          <a:spLocks/>
        </xdr:cNvSpPr>
      </xdr:nvSpPr>
      <xdr:spPr>
        <a:xfrm>
          <a:off x="1581150" y="4686300"/>
          <a:ext cx="0" cy="5905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104775</xdr:rowOff>
    </xdr:from>
    <xdr:to>
      <xdr:col>3</xdr:col>
      <xdr:colOff>104775</xdr:colOff>
      <xdr:row>21</xdr:row>
      <xdr:rowOff>19050</xdr:rowOff>
    </xdr:to>
    <xdr:sp>
      <xdr:nvSpPr>
        <xdr:cNvPr id="49" name="Line 215"/>
        <xdr:cNvSpPr>
          <a:spLocks/>
        </xdr:cNvSpPr>
      </xdr:nvSpPr>
      <xdr:spPr>
        <a:xfrm>
          <a:off x="1581150" y="5638800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20</xdr:row>
      <xdr:rowOff>104775</xdr:rowOff>
    </xdr:from>
    <xdr:to>
      <xdr:col>3</xdr:col>
      <xdr:colOff>609600</xdr:colOff>
      <xdr:row>21</xdr:row>
      <xdr:rowOff>19050</xdr:rowOff>
    </xdr:to>
    <xdr:sp>
      <xdr:nvSpPr>
        <xdr:cNvPr id="50" name="Line 216"/>
        <xdr:cNvSpPr>
          <a:spLocks/>
        </xdr:cNvSpPr>
      </xdr:nvSpPr>
      <xdr:spPr>
        <a:xfrm>
          <a:off x="2085975" y="5638800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247650</xdr:rowOff>
    </xdr:from>
    <xdr:to>
      <xdr:col>3</xdr:col>
      <xdr:colOff>600075</xdr:colOff>
      <xdr:row>20</xdr:row>
      <xdr:rowOff>247650</xdr:rowOff>
    </xdr:to>
    <xdr:sp>
      <xdr:nvSpPr>
        <xdr:cNvPr id="51" name="Line 217"/>
        <xdr:cNvSpPr>
          <a:spLocks/>
        </xdr:cNvSpPr>
      </xdr:nvSpPr>
      <xdr:spPr>
        <a:xfrm>
          <a:off x="1590675" y="57816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247650</xdr:rowOff>
    </xdr:from>
    <xdr:ext cx="1952625" cy="1228725"/>
    <xdr:grpSp>
      <xdr:nvGrpSpPr>
        <xdr:cNvPr id="1" name="Group 27"/>
        <xdr:cNvGrpSpPr>
          <a:grpSpLocks/>
        </xdr:cNvGrpSpPr>
      </xdr:nvGrpSpPr>
      <xdr:grpSpPr>
        <a:xfrm>
          <a:off x="161925" y="9144000"/>
          <a:ext cx="1952625" cy="1228725"/>
          <a:chOff x="20" y="946"/>
          <a:chExt cx="205" cy="177"/>
        </a:xfrm>
        <a:solidFill>
          <a:srgbClr val="FFFFFF"/>
        </a:solidFill>
      </xdr:grpSpPr>
      <xdr:grpSp>
        <xdr:nvGrpSpPr>
          <xdr:cNvPr id="3" name="Group 29"/>
          <xdr:cNvGrpSpPr>
            <a:grpSpLocks/>
          </xdr:cNvGrpSpPr>
        </xdr:nvGrpSpPr>
        <xdr:grpSpPr>
          <a:xfrm>
            <a:off x="20" y="946"/>
            <a:ext cx="205" cy="104"/>
            <a:chOff x="20" y="946"/>
            <a:chExt cx="205" cy="104"/>
          </a:xfrm>
          <a:solidFill>
            <a:srgbClr val="FFFFFF"/>
          </a:solidFill>
        </xdr:grpSpPr>
        <xdr:grpSp>
          <xdr:nvGrpSpPr>
            <xdr:cNvPr id="5" name="Group 31"/>
            <xdr:cNvGrpSpPr>
              <a:grpSpLocks/>
            </xdr:cNvGrpSpPr>
          </xdr:nvGrpSpPr>
          <xdr:grpSpPr>
            <a:xfrm>
              <a:off x="20" y="947"/>
              <a:ext cx="204" cy="40"/>
              <a:chOff x="20" y="947"/>
              <a:chExt cx="204" cy="40"/>
            </a:xfrm>
            <a:solidFill>
              <a:srgbClr val="FFFFFF"/>
            </a:solidFill>
          </xdr:grpSpPr>
          <xdr:sp>
            <xdr:nvSpPr>
              <xdr:cNvPr id="6" name="Line 32"/>
              <xdr:cNvSpPr>
                <a:spLocks/>
              </xdr:cNvSpPr>
            </xdr:nvSpPr>
            <xdr:spPr>
              <a:xfrm>
                <a:off x="20" y="972"/>
                <a:ext cx="20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33"/>
              <xdr:cNvSpPr>
                <a:spLocks/>
              </xdr:cNvSpPr>
            </xdr:nvSpPr>
            <xdr:spPr>
              <a:xfrm>
                <a:off x="164" y="947"/>
                <a:ext cx="0" cy="2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34"/>
              <xdr:cNvSpPr>
                <a:spLocks/>
              </xdr:cNvSpPr>
            </xdr:nvSpPr>
            <xdr:spPr>
              <a:xfrm>
                <a:off x="88" y="973"/>
                <a:ext cx="0" cy="1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oneCellAnchor>
  <xdr:oneCellAnchor>
    <xdr:from>
      <xdr:col>0</xdr:col>
      <xdr:colOff>114300</xdr:colOff>
      <xdr:row>9</xdr:row>
      <xdr:rowOff>104775</xdr:rowOff>
    </xdr:from>
    <xdr:ext cx="2228850" cy="1019175"/>
    <xdr:grpSp>
      <xdr:nvGrpSpPr>
        <xdr:cNvPr id="9" name="Group 109"/>
        <xdr:cNvGrpSpPr>
          <a:grpSpLocks/>
        </xdr:cNvGrpSpPr>
      </xdr:nvGrpSpPr>
      <xdr:grpSpPr>
        <a:xfrm>
          <a:off x="114300" y="2619375"/>
          <a:ext cx="2228850" cy="1019175"/>
          <a:chOff x="12" y="275"/>
          <a:chExt cx="234" cy="107"/>
        </a:xfrm>
        <a:solidFill>
          <a:srgbClr val="FFFFFF"/>
        </a:solidFill>
      </xdr:grpSpPr>
      <xdr:sp>
        <xdr:nvSpPr>
          <xdr:cNvPr id="10" name="Rectangle 36"/>
          <xdr:cNvSpPr>
            <a:spLocks/>
          </xdr:cNvSpPr>
        </xdr:nvSpPr>
        <xdr:spPr>
          <a:xfrm rot="20400000" flipV="1">
            <a:off x="12" y="311"/>
            <a:ext cx="218" cy="5"/>
          </a:xfrm>
          <a:prstGeom prst="rect">
            <a:avLst/>
          </a:pr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62" y="343"/>
            <a:ext cx="1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9"/>
          <xdr:cNvSpPr>
            <a:spLocks/>
          </xdr:cNvSpPr>
        </xdr:nvSpPr>
        <xdr:spPr>
          <a:xfrm>
            <a:off x="224" y="343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0"/>
          <xdr:cNvSpPr>
            <a:spLocks/>
          </xdr:cNvSpPr>
        </xdr:nvSpPr>
        <xdr:spPr>
          <a:xfrm>
            <a:off x="239" y="275"/>
            <a:ext cx="0" cy="6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>
            <a:off x="225" y="275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2"/>
          <xdr:cNvSpPr>
            <a:spLocks/>
          </xdr:cNvSpPr>
        </xdr:nvSpPr>
        <xdr:spPr>
          <a:xfrm>
            <a:off x="17" y="379"/>
            <a:ext cx="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3"/>
          <xdr:cNvSpPr>
            <a:spLocks/>
          </xdr:cNvSpPr>
        </xdr:nvSpPr>
        <xdr:spPr>
          <a:xfrm>
            <a:off x="56" y="379"/>
            <a:ext cx="16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>
            <a:off x="17" y="355"/>
            <a:ext cx="0" cy="2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5"/>
          <xdr:cNvSpPr>
            <a:spLocks/>
          </xdr:cNvSpPr>
        </xdr:nvSpPr>
        <xdr:spPr>
          <a:xfrm>
            <a:off x="57" y="360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6"/>
          <xdr:cNvSpPr>
            <a:spLocks/>
          </xdr:cNvSpPr>
        </xdr:nvSpPr>
        <xdr:spPr>
          <a:xfrm>
            <a:off x="221" y="352"/>
            <a:ext cx="0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47" descr="ลายเส้นบางทแยงมุมขึ้น"/>
          <xdr:cNvSpPr>
            <a:spLocks/>
          </xdr:cNvSpPr>
        </xdr:nvSpPr>
        <xdr:spPr>
          <a:xfrm>
            <a:off x="217" y="278"/>
            <a:ext cx="8" cy="13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48" descr="ลายเส้นบางทแยงมุมขึ้น"/>
          <xdr:cNvSpPr>
            <a:spLocks/>
          </xdr:cNvSpPr>
        </xdr:nvSpPr>
        <xdr:spPr>
          <a:xfrm>
            <a:off x="53" y="343"/>
            <a:ext cx="8" cy="13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absolute">
    <xdr:from>
      <xdr:col>1</xdr:col>
      <xdr:colOff>0</xdr:colOff>
      <xdr:row>13</xdr:row>
      <xdr:rowOff>228600</xdr:rowOff>
    </xdr:from>
    <xdr:to>
      <xdr:col>4</xdr:col>
      <xdr:colOff>238125</xdr:colOff>
      <xdr:row>20</xdr:row>
      <xdr:rowOff>257175</xdr:rowOff>
    </xdr:to>
    <xdr:grpSp>
      <xdr:nvGrpSpPr>
        <xdr:cNvPr id="23" name="Group 108"/>
        <xdr:cNvGrpSpPr>
          <a:grpSpLocks/>
        </xdr:cNvGrpSpPr>
      </xdr:nvGrpSpPr>
      <xdr:grpSpPr>
        <a:xfrm>
          <a:off x="161925" y="3886200"/>
          <a:ext cx="2181225" cy="2190750"/>
          <a:chOff x="17" y="393"/>
          <a:chExt cx="229" cy="230"/>
        </a:xfrm>
        <a:solidFill>
          <a:srgbClr val="FFFFFF"/>
        </a:solidFill>
      </xdr:grpSpPr>
      <xdr:sp>
        <xdr:nvSpPr>
          <xdr:cNvPr id="24" name="Rectangle 82"/>
          <xdr:cNvSpPr>
            <a:spLocks/>
          </xdr:cNvSpPr>
        </xdr:nvSpPr>
        <xdr:spPr>
          <a:xfrm rot="5400000">
            <a:off x="-22" y="473"/>
            <a:ext cx="164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81"/>
          <xdr:cNvSpPr>
            <a:spLocks/>
          </xdr:cNvSpPr>
        </xdr:nvSpPr>
        <xdr:spPr>
          <a:xfrm>
            <a:off x="57" y="553"/>
            <a:ext cx="164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"/>
          <xdr:cNvSpPr>
            <a:spLocks/>
          </xdr:cNvSpPr>
        </xdr:nvSpPr>
        <xdr:spPr>
          <a:xfrm>
            <a:off x="225" y="475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"/>
          <xdr:cNvSpPr>
            <a:spLocks/>
          </xdr:cNvSpPr>
        </xdr:nvSpPr>
        <xdr:spPr>
          <a:xfrm>
            <a:off x="241" y="394"/>
            <a:ext cx="0" cy="8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7"/>
          <xdr:cNvSpPr>
            <a:spLocks/>
          </xdr:cNvSpPr>
        </xdr:nvSpPr>
        <xdr:spPr>
          <a:xfrm>
            <a:off x="225" y="393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"/>
          <xdr:cNvSpPr>
            <a:spLocks/>
          </xdr:cNvSpPr>
        </xdr:nvSpPr>
        <xdr:spPr>
          <a:xfrm>
            <a:off x="17" y="393"/>
            <a:ext cx="204" cy="20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51"/>
          <xdr:cNvSpPr>
            <a:spLocks/>
          </xdr:cNvSpPr>
        </xdr:nvSpPr>
        <xdr:spPr>
          <a:xfrm>
            <a:off x="17" y="449"/>
            <a:ext cx="148" cy="14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55"/>
          <xdr:cNvSpPr>
            <a:spLocks noChangeAspect="1"/>
          </xdr:cNvSpPr>
        </xdr:nvSpPr>
        <xdr:spPr>
          <a:xfrm>
            <a:off x="17" y="503"/>
            <a:ext cx="94" cy="9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56"/>
          <xdr:cNvSpPr>
            <a:spLocks noChangeAspect="1"/>
          </xdr:cNvSpPr>
        </xdr:nvSpPr>
        <xdr:spPr>
          <a:xfrm>
            <a:off x="17" y="557"/>
            <a:ext cx="40" cy="40"/>
          </a:xfrm>
          <a:prstGeom prst="rect">
            <a:avLst/>
          </a:prstGeom>
          <a:solidFill>
            <a:srgbClr val="EAEAE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2"/>
          <xdr:cNvSpPr>
            <a:spLocks/>
          </xdr:cNvSpPr>
        </xdr:nvSpPr>
        <xdr:spPr>
          <a:xfrm>
            <a:off x="17" y="619"/>
            <a:ext cx="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3"/>
          <xdr:cNvSpPr>
            <a:spLocks/>
          </xdr:cNvSpPr>
        </xdr:nvSpPr>
        <xdr:spPr>
          <a:xfrm>
            <a:off x="56" y="619"/>
            <a:ext cx="16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>
            <a:off x="17" y="600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85"/>
          <xdr:cNvSpPr>
            <a:spLocks noChangeAspect="1"/>
          </xdr:cNvSpPr>
        </xdr:nvSpPr>
        <xdr:spPr>
          <a:xfrm>
            <a:off x="57" y="557"/>
            <a:ext cx="40" cy="40"/>
          </a:xfrm>
          <a:prstGeom prst="rect">
            <a:avLst/>
          </a:prstGeom>
          <a:solidFill>
            <a:srgbClr val="EAEAE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86"/>
          <xdr:cNvSpPr>
            <a:spLocks noChangeAspect="1"/>
          </xdr:cNvSpPr>
        </xdr:nvSpPr>
        <xdr:spPr>
          <a:xfrm>
            <a:off x="17" y="517"/>
            <a:ext cx="40" cy="40"/>
          </a:xfrm>
          <a:prstGeom prst="rect">
            <a:avLst/>
          </a:prstGeom>
          <a:solidFill>
            <a:srgbClr val="EAEAE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88"/>
          <xdr:cNvSpPr>
            <a:spLocks noChangeAspect="1"/>
          </xdr:cNvSpPr>
        </xdr:nvSpPr>
        <xdr:spPr>
          <a:xfrm flipV="1">
            <a:off x="19" y="395"/>
            <a:ext cx="201" cy="20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6"/>
          <xdr:cNvSpPr>
            <a:spLocks/>
          </xdr:cNvSpPr>
        </xdr:nvSpPr>
        <xdr:spPr>
          <a:xfrm>
            <a:off x="57" y="601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07"/>
          <xdr:cNvSpPr>
            <a:spLocks/>
          </xdr:cNvSpPr>
        </xdr:nvSpPr>
        <xdr:spPr>
          <a:xfrm>
            <a:off x="221" y="601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23</xdr:row>
      <xdr:rowOff>19050</xdr:rowOff>
    </xdr:from>
    <xdr:ext cx="1943100" cy="847725"/>
    <xdr:grpSp>
      <xdr:nvGrpSpPr>
        <xdr:cNvPr id="42" name="Group 123"/>
        <xdr:cNvGrpSpPr>
          <a:grpSpLocks/>
        </xdr:cNvGrpSpPr>
      </xdr:nvGrpSpPr>
      <xdr:grpSpPr>
        <a:xfrm>
          <a:off x="161925" y="6667500"/>
          <a:ext cx="1943100" cy="847725"/>
          <a:chOff x="17" y="684"/>
          <a:chExt cx="204" cy="89"/>
        </a:xfrm>
        <a:solidFill>
          <a:srgbClr val="FFFFFF"/>
        </a:solidFill>
      </xdr:grpSpPr>
      <xdr:sp>
        <xdr:nvSpPr>
          <xdr:cNvPr id="43" name="Rectangle 12"/>
          <xdr:cNvSpPr>
            <a:spLocks/>
          </xdr:cNvSpPr>
        </xdr:nvSpPr>
        <xdr:spPr>
          <a:xfrm>
            <a:off x="17" y="735"/>
            <a:ext cx="204" cy="7"/>
          </a:xfrm>
          <a:prstGeom prst="rect">
            <a:avLst/>
          </a:pr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3"/>
          <xdr:cNvSpPr>
            <a:spLocks/>
          </xdr:cNvSpPr>
        </xdr:nvSpPr>
        <xdr:spPr>
          <a:xfrm>
            <a:off x="17" y="763"/>
            <a:ext cx="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4"/>
          <xdr:cNvSpPr>
            <a:spLocks/>
          </xdr:cNvSpPr>
        </xdr:nvSpPr>
        <xdr:spPr>
          <a:xfrm>
            <a:off x="85" y="763"/>
            <a:ext cx="1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5"/>
          <xdr:cNvSpPr>
            <a:spLocks/>
          </xdr:cNvSpPr>
        </xdr:nvSpPr>
        <xdr:spPr>
          <a:xfrm>
            <a:off x="17" y="748"/>
            <a:ext cx="0" cy="1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6"/>
          <xdr:cNvSpPr>
            <a:spLocks/>
          </xdr:cNvSpPr>
        </xdr:nvSpPr>
        <xdr:spPr>
          <a:xfrm>
            <a:off x="85" y="742"/>
            <a:ext cx="0" cy="3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7"/>
          <xdr:cNvSpPr>
            <a:spLocks/>
          </xdr:cNvSpPr>
        </xdr:nvSpPr>
        <xdr:spPr>
          <a:xfrm>
            <a:off x="221" y="742"/>
            <a:ext cx="0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01"/>
          <xdr:cNvSpPr>
            <a:spLocks/>
          </xdr:cNvSpPr>
        </xdr:nvSpPr>
        <xdr:spPr>
          <a:xfrm>
            <a:off x="17" y="707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10"/>
          <xdr:cNvSpPr txBox="1">
            <a:spLocks noChangeArrowheads="1"/>
          </xdr:cNvSpPr>
        </xdr:nvSpPr>
        <xdr:spPr>
          <a:xfrm>
            <a:off x="48" y="714"/>
            <a:ext cx="2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kg/m</a:t>
            </a:r>
          </a:p>
        </xdr:txBody>
      </xdr:sp>
      <xdr:sp>
        <xdr:nvSpPr>
          <xdr:cNvPr id="52" name="Text Box 111"/>
          <xdr:cNvSpPr txBox="1">
            <a:spLocks noChangeArrowheads="1"/>
          </xdr:cNvSpPr>
        </xdr:nvSpPr>
        <xdr:spPr>
          <a:xfrm>
            <a:off x="50" y="684"/>
            <a:ext cx="1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kg</a:t>
            </a:r>
          </a:p>
        </xdr:txBody>
      </xdr:sp>
    </xdr:grpSp>
    <xdr:clientData/>
  </xdr:oneCellAnchor>
  <xdr:oneCellAnchor>
    <xdr:from>
      <xdr:col>1</xdr:col>
      <xdr:colOff>0</xdr:colOff>
      <xdr:row>27</xdr:row>
      <xdr:rowOff>228600</xdr:rowOff>
    </xdr:from>
    <xdr:ext cx="1943100" cy="1905000"/>
    <xdr:grpSp>
      <xdr:nvGrpSpPr>
        <xdr:cNvPr id="53" name="Group 122"/>
        <xdr:cNvGrpSpPr>
          <a:grpSpLocks/>
        </xdr:cNvGrpSpPr>
      </xdr:nvGrpSpPr>
      <xdr:grpSpPr>
        <a:xfrm>
          <a:off x="161925" y="8020050"/>
          <a:ext cx="1943100" cy="1905000"/>
          <a:chOff x="17" y="826"/>
          <a:chExt cx="204" cy="215"/>
        </a:xfrm>
        <a:solidFill>
          <a:srgbClr val="FFFFFF"/>
        </a:solidFill>
      </xdr:grpSpPr>
      <xdr:sp>
        <xdr:nvSpPr>
          <xdr:cNvPr id="54" name="Line 21"/>
          <xdr:cNvSpPr>
            <a:spLocks/>
          </xdr:cNvSpPr>
        </xdr:nvSpPr>
        <xdr:spPr>
          <a:xfrm>
            <a:off x="17" y="84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12"/>
          <xdr:cNvSpPr>
            <a:spLocks/>
          </xdr:cNvSpPr>
        </xdr:nvSpPr>
        <xdr:spPr>
          <a:xfrm>
            <a:off x="17" y="846"/>
            <a:ext cx="20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14"/>
          <xdr:cNvSpPr>
            <a:spLocks/>
          </xdr:cNvSpPr>
        </xdr:nvSpPr>
        <xdr:spPr>
          <a:xfrm>
            <a:off x="85" y="826"/>
            <a:ext cx="0" cy="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16"/>
          <xdr:cNvSpPr>
            <a:spLocks/>
          </xdr:cNvSpPr>
        </xdr:nvSpPr>
        <xdr:spPr>
          <a:xfrm>
            <a:off x="221" y="846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0</xdr:colOff>
      <xdr:row>30</xdr:row>
      <xdr:rowOff>47625</xdr:rowOff>
    </xdr:from>
    <xdr:ext cx="1943100" cy="228600"/>
    <xdr:grpSp>
      <xdr:nvGrpSpPr>
        <xdr:cNvPr id="60" name="Group 121"/>
        <xdr:cNvGrpSpPr>
          <a:grpSpLocks/>
        </xdr:cNvGrpSpPr>
      </xdr:nvGrpSpPr>
      <xdr:grpSpPr>
        <a:xfrm>
          <a:off x="161925" y="8667750"/>
          <a:ext cx="1943100" cy="228600"/>
          <a:chOff x="17" y="894"/>
          <a:chExt cx="204" cy="24"/>
        </a:xfrm>
        <a:solidFill>
          <a:srgbClr val="FFFFFF"/>
        </a:solidFill>
      </xdr:grpSpPr>
      <xdr:sp>
        <xdr:nvSpPr>
          <xdr:cNvPr id="61" name="Line 19"/>
          <xdr:cNvSpPr>
            <a:spLocks/>
          </xdr:cNvSpPr>
        </xdr:nvSpPr>
        <xdr:spPr>
          <a:xfrm>
            <a:off x="17" y="913"/>
            <a:ext cx="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0"/>
          <xdr:cNvSpPr>
            <a:spLocks/>
          </xdr:cNvSpPr>
        </xdr:nvSpPr>
        <xdr:spPr>
          <a:xfrm>
            <a:off x="86" y="913"/>
            <a:ext cx="7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22"/>
          <xdr:cNvSpPr>
            <a:spLocks/>
          </xdr:cNvSpPr>
        </xdr:nvSpPr>
        <xdr:spPr>
          <a:xfrm>
            <a:off x="161" y="913"/>
            <a:ext cx="6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23"/>
          <xdr:cNvSpPr>
            <a:spLocks/>
          </xdr:cNvSpPr>
        </xdr:nvSpPr>
        <xdr:spPr>
          <a:xfrm>
            <a:off x="85" y="895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24"/>
          <xdr:cNvSpPr>
            <a:spLocks/>
          </xdr:cNvSpPr>
        </xdr:nvSpPr>
        <xdr:spPr>
          <a:xfrm>
            <a:off x="161" y="894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5"/>
          <xdr:cNvSpPr>
            <a:spLocks/>
          </xdr:cNvSpPr>
        </xdr:nvSpPr>
        <xdr:spPr>
          <a:xfrm>
            <a:off x="221" y="895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20"/>
          <xdr:cNvSpPr>
            <a:spLocks/>
          </xdr:cNvSpPr>
        </xdr:nvSpPr>
        <xdr:spPr>
          <a:xfrm>
            <a:off x="17" y="896"/>
            <a:ext cx="0" cy="1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3</xdr:col>
      <xdr:colOff>76200</xdr:colOff>
      <xdr:row>24</xdr:row>
      <xdr:rowOff>66675</xdr:rowOff>
    </xdr:from>
    <xdr:to>
      <xdr:col>3</xdr:col>
      <xdr:colOff>76200</xdr:colOff>
      <xdr:row>24</xdr:row>
      <xdr:rowOff>228600</xdr:rowOff>
    </xdr:to>
    <xdr:sp>
      <xdr:nvSpPr>
        <xdr:cNvPr id="68" name="Line 124"/>
        <xdr:cNvSpPr>
          <a:spLocks/>
        </xdr:cNvSpPr>
      </xdr:nvSpPr>
      <xdr:spPr>
        <a:xfrm flipV="1">
          <a:off x="1533525" y="69913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104775</xdr:rowOff>
    </xdr:from>
    <xdr:to>
      <xdr:col>4</xdr:col>
      <xdr:colOff>228600</xdr:colOff>
      <xdr:row>38</xdr:row>
      <xdr:rowOff>142875</xdr:rowOff>
    </xdr:to>
    <xdr:grpSp>
      <xdr:nvGrpSpPr>
        <xdr:cNvPr id="1" name="Group 76"/>
        <xdr:cNvGrpSpPr>
          <a:grpSpLocks/>
        </xdr:cNvGrpSpPr>
      </xdr:nvGrpSpPr>
      <xdr:grpSpPr>
        <a:xfrm>
          <a:off x="161925" y="9001125"/>
          <a:ext cx="2171700" cy="1514475"/>
          <a:chOff x="17" y="929"/>
          <a:chExt cx="228" cy="218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>
            <a:off x="17" y="970"/>
            <a:ext cx="20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141" y="940"/>
            <a:ext cx="0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85" y="971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114300</xdr:colOff>
      <xdr:row>9</xdr:row>
      <xdr:rowOff>104775</xdr:rowOff>
    </xdr:from>
    <xdr:to>
      <xdr:col>4</xdr:col>
      <xdr:colOff>238125</xdr:colOff>
      <xdr:row>12</xdr:row>
      <xdr:rowOff>295275</xdr:rowOff>
    </xdr:to>
    <xdr:grpSp>
      <xdr:nvGrpSpPr>
        <xdr:cNvPr id="7" name="Group 9"/>
        <xdr:cNvGrpSpPr>
          <a:grpSpLocks/>
        </xdr:cNvGrpSpPr>
      </xdr:nvGrpSpPr>
      <xdr:grpSpPr>
        <a:xfrm>
          <a:off x="114300" y="2619375"/>
          <a:ext cx="2228850" cy="1019175"/>
          <a:chOff x="12" y="275"/>
          <a:chExt cx="234" cy="107"/>
        </a:xfrm>
        <a:solidFill>
          <a:srgbClr val="FFFFFF"/>
        </a:solidFill>
      </xdr:grpSpPr>
      <xdr:sp>
        <xdr:nvSpPr>
          <xdr:cNvPr id="8" name="Rectangle 10"/>
          <xdr:cNvSpPr>
            <a:spLocks/>
          </xdr:cNvSpPr>
        </xdr:nvSpPr>
        <xdr:spPr>
          <a:xfrm rot="20400000" flipV="1">
            <a:off x="12" y="311"/>
            <a:ext cx="218" cy="5"/>
          </a:xfrm>
          <a:prstGeom prst="rect">
            <a:avLst/>
          </a:pr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62" y="343"/>
            <a:ext cx="1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224" y="343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239" y="275"/>
            <a:ext cx="0" cy="6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225" y="275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17" y="379"/>
            <a:ext cx="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56" y="379"/>
            <a:ext cx="16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17" y="355"/>
            <a:ext cx="0" cy="2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57" y="360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221" y="352"/>
            <a:ext cx="0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1" descr="ลายเส้นบางทแยงมุมขึ้น"/>
          <xdr:cNvSpPr>
            <a:spLocks/>
          </xdr:cNvSpPr>
        </xdr:nvSpPr>
        <xdr:spPr>
          <a:xfrm>
            <a:off x="217" y="278"/>
            <a:ext cx="8" cy="13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2" descr="ลายเส้นบางทแยงมุมขึ้น"/>
          <xdr:cNvSpPr>
            <a:spLocks/>
          </xdr:cNvSpPr>
        </xdr:nvSpPr>
        <xdr:spPr>
          <a:xfrm>
            <a:off x="53" y="343"/>
            <a:ext cx="8" cy="13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0</xdr:colOff>
      <xdr:row>24</xdr:row>
      <xdr:rowOff>228600</xdr:rowOff>
    </xdr:from>
    <xdr:to>
      <xdr:col>4</xdr:col>
      <xdr:colOff>0</xdr:colOff>
      <xdr:row>25</xdr:row>
      <xdr:rowOff>19050</xdr:rowOff>
    </xdr:to>
    <xdr:sp>
      <xdr:nvSpPr>
        <xdr:cNvPr id="21" name="Rectangle 43"/>
        <xdr:cNvSpPr>
          <a:spLocks/>
        </xdr:cNvSpPr>
      </xdr:nvSpPr>
      <xdr:spPr>
        <a:xfrm>
          <a:off x="161925" y="7153275"/>
          <a:ext cx="1943100" cy="6667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219075</xdr:rowOff>
    </xdr:from>
    <xdr:to>
      <xdr:col>2</xdr:col>
      <xdr:colOff>0</xdr:colOff>
      <xdr:row>25</xdr:row>
      <xdr:rowOff>219075</xdr:rowOff>
    </xdr:to>
    <xdr:sp>
      <xdr:nvSpPr>
        <xdr:cNvPr id="22" name="Line 44"/>
        <xdr:cNvSpPr>
          <a:spLocks/>
        </xdr:cNvSpPr>
      </xdr:nvSpPr>
      <xdr:spPr>
        <a:xfrm>
          <a:off x="161925" y="741997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219075</xdr:rowOff>
    </xdr:from>
    <xdr:to>
      <xdr:col>4</xdr:col>
      <xdr:colOff>0</xdr:colOff>
      <xdr:row>25</xdr:row>
      <xdr:rowOff>219075</xdr:rowOff>
    </xdr:to>
    <xdr:sp>
      <xdr:nvSpPr>
        <xdr:cNvPr id="23" name="Line 45"/>
        <xdr:cNvSpPr>
          <a:spLocks/>
        </xdr:cNvSpPr>
      </xdr:nvSpPr>
      <xdr:spPr>
        <a:xfrm>
          <a:off x="809625" y="7419975"/>
          <a:ext cx="12954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76200</xdr:rowOff>
    </xdr:from>
    <xdr:to>
      <xdr:col>1</xdr:col>
      <xdr:colOff>0</xdr:colOff>
      <xdr:row>25</xdr:row>
      <xdr:rowOff>238125</xdr:rowOff>
    </xdr:to>
    <xdr:sp>
      <xdr:nvSpPr>
        <xdr:cNvPr id="24" name="Line 46"/>
        <xdr:cNvSpPr>
          <a:spLocks/>
        </xdr:cNvSpPr>
      </xdr:nvSpPr>
      <xdr:spPr>
        <a:xfrm>
          <a:off x="161925" y="72771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0</xdr:colOff>
      <xdr:row>26</xdr:row>
      <xdr:rowOff>38100</xdr:rowOff>
    </xdr:to>
    <xdr:sp>
      <xdr:nvSpPr>
        <xdr:cNvPr id="25" name="Line 47"/>
        <xdr:cNvSpPr>
          <a:spLocks/>
        </xdr:cNvSpPr>
      </xdr:nvSpPr>
      <xdr:spPr>
        <a:xfrm>
          <a:off x="809625" y="721995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0</xdr:colOff>
      <xdr:row>26</xdr:row>
      <xdr:rowOff>28575</xdr:rowOff>
    </xdr:to>
    <xdr:sp>
      <xdr:nvSpPr>
        <xdr:cNvPr id="26" name="Line 48"/>
        <xdr:cNvSpPr>
          <a:spLocks/>
        </xdr:cNvSpPr>
      </xdr:nvSpPr>
      <xdr:spPr>
        <a:xfrm>
          <a:off x="2105025" y="72199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238125</xdr:rowOff>
    </xdr:from>
    <xdr:to>
      <xdr:col>1</xdr:col>
      <xdr:colOff>0</xdr:colOff>
      <xdr:row>24</xdr:row>
      <xdr:rowOff>228600</xdr:rowOff>
    </xdr:to>
    <xdr:sp>
      <xdr:nvSpPr>
        <xdr:cNvPr id="27" name="Line 50"/>
        <xdr:cNvSpPr>
          <a:spLocks/>
        </xdr:cNvSpPr>
      </xdr:nvSpPr>
      <xdr:spPr>
        <a:xfrm>
          <a:off x="161925" y="6886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295275</xdr:colOff>
      <xdr:row>24</xdr:row>
      <xdr:rowOff>28575</xdr:rowOff>
    </xdr:from>
    <xdr:ext cx="228600" cy="285750"/>
    <xdr:sp>
      <xdr:nvSpPr>
        <xdr:cNvPr id="28" name="Text Box 51"/>
        <xdr:cNvSpPr txBox="1">
          <a:spLocks noChangeArrowheads="1"/>
        </xdr:cNvSpPr>
      </xdr:nvSpPr>
      <xdr:spPr>
        <a:xfrm>
          <a:off x="457200" y="69532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kg/m</a:t>
          </a:r>
        </a:p>
      </xdr:txBody>
    </xdr:sp>
    <xdr:clientData/>
  </xdr:oneCellAnchor>
  <xdr:oneCellAnchor>
    <xdr:from>
      <xdr:col>1</xdr:col>
      <xdr:colOff>314325</xdr:colOff>
      <xdr:row>23</xdr:row>
      <xdr:rowOff>19050</xdr:rowOff>
    </xdr:from>
    <xdr:ext cx="123825" cy="285750"/>
    <xdr:sp>
      <xdr:nvSpPr>
        <xdr:cNvPr id="29" name="Text Box 52"/>
        <xdr:cNvSpPr txBox="1">
          <a:spLocks noChangeArrowheads="1"/>
        </xdr:cNvSpPr>
      </xdr:nvSpPr>
      <xdr:spPr>
        <a:xfrm>
          <a:off x="476250" y="66675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kg</a:t>
          </a:r>
        </a:p>
      </xdr:txBody>
    </xdr:sp>
    <xdr:clientData/>
  </xdr:oneCellAnchor>
  <xdr:twoCellAnchor editAs="absolute">
    <xdr:from>
      <xdr:col>1</xdr:col>
      <xdr:colOff>0</xdr:colOff>
      <xdr:row>25</xdr:row>
      <xdr:rowOff>38100</xdr:rowOff>
    </xdr:from>
    <xdr:to>
      <xdr:col>4</xdr:col>
      <xdr:colOff>304800</xdr:colOff>
      <xdr:row>30</xdr:row>
      <xdr:rowOff>257175</xdr:rowOff>
    </xdr:to>
    <xdr:grpSp>
      <xdr:nvGrpSpPr>
        <xdr:cNvPr id="30" name="Group 75"/>
        <xdr:cNvGrpSpPr>
          <a:grpSpLocks/>
        </xdr:cNvGrpSpPr>
      </xdr:nvGrpSpPr>
      <xdr:grpSpPr>
        <a:xfrm>
          <a:off x="161925" y="7239000"/>
          <a:ext cx="2247900" cy="1638300"/>
          <a:chOff x="17" y="741"/>
          <a:chExt cx="236" cy="172"/>
        </a:xfrm>
        <a:solidFill>
          <a:srgbClr val="FFFFFF"/>
        </a:solidFill>
      </xdr:grpSpPr>
      <xdr:sp>
        <xdr:nvSpPr>
          <xdr:cNvPr id="31" name="Line 54"/>
          <xdr:cNvSpPr>
            <a:spLocks/>
          </xdr:cNvSpPr>
        </xdr:nvSpPr>
        <xdr:spPr>
          <a:xfrm>
            <a:off x="17" y="84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>
            <a:off x="17" y="846"/>
            <a:ext cx="20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7"/>
          <xdr:cNvSpPr>
            <a:spLocks/>
          </xdr:cNvSpPr>
        </xdr:nvSpPr>
        <xdr:spPr>
          <a:xfrm>
            <a:off x="85" y="816"/>
            <a:ext cx="0" cy="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8"/>
          <xdr:cNvSpPr>
            <a:spLocks/>
          </xdr:cNvSpPr>
        </xdr:nvSpPr>
        <xdr:spPr>
          <a:xfrm>
            <a:off x="221" y="846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47625</xdr:rowOff>
    </xdr:from>
    <xdr:to>
      <xdr:col>4</xdr:col>
      <xdr:colOff>0</xdr:colOff>
      <xdr:row>31</xdr:row>
      <xdr:rowOff>0</xdr:rowOff>
    </xdr:to>
    <xdr:grpSp>
      <xdr:nvGrpSpPr>
        <xdr:cNvPr id="37" name="Group 77"/>
        <xdr:cNvGrpSpPr>
          <a:grpSpLocks/>
        </xdr:cNvGrpSpPr>
      </xdr:nvGrpSpPr>
      <xdr:grpSpPr>
        <a:xfrm>
          <a:off x="161925" y="8667750"/>
          <a:ext cx="1943100" cy="228600"/>
          <a:chOff x="17" y="894"/>
          <a:chExt cx="204" cy="24"/>
        </a:xfrm>
        <a:solidFill>
          <a:srgbClr val="FFFFFF"/>
        </a:solidFill>
      </xdr:grpSpPr>
      <xdr:sp>
        <xdr:nvSpPr>
          <xdr:cNvPr id="38" name="Line 61"/>
          <xdr:cNvSpPr>
            <a:spLocks/>
          </xdr:cNvSpPr>
        </xdr:nvSpPr>
        <xdr:spPr>
          <a:xfrm>
            <a:off x="17" y="913"/>
            <a:ext cx="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62"/>
          <xdr:cNvSpPr>
            <a:spLocks/>
          </xdr:cNvSpPr>
        </xdr:nvSpPr>
        <xdr:spPr>
          <a:xfrm>
            <a:off x="86" y="913"/>
            <a:ext cx="5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63"/>
          <xdr:cNvSpPr>
            <a:spLocks/>
          </xdr:cNvSpPr>
        </xdr:nvSpPr>
        <xdr:spPr>
          <a:xfrm>
            <a:off x="140" y="913"/>
            <a:ext cx="8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64"/>
          <xdr:cNvSpPr>
            <a:spLocks/>
          </xdr:cNvSpPr>
        </xdr:nvSpPr>
        <xdr:spPr>
          <a:xfrm>
            <a:off x="85" y="895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65"/>
          <xdr:cNvSpPr>
            <a:spLocks/>
          </xdr:cNvSpPr>
        </xdr:nvSpPr>
        <xdr:spPr>
          <a:xfrm>
            <a:off x="141" y="894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66"/>
          <xdr:cNvSpPr>
            <a:spLocks/>
          </xdr:cNvSpPr>
        </xdr:nvSpPr>
        <xdr:spPr>
          <a:xfrm>
            <a:off x="221" y="895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67"/>
          <xdr:cNvSpPr>
            <a:spLocks/>
          </xdr:cNvSpPr>
        </xdr:nvSpPr>
        <xdr:spPr>
          <a:xfrm>
            <a:off x="17" y="896"/>
            <a:ext cx="0" cy="1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24</xdr:row>
      <xdr:rowOff>57150</xdr:rowOff>
    </xdr:from>
    <xdr:to>
      <xdr:col>2</xdr:col>
      <xdr:colOff>533400</xdr:colOff>
      <xdr:row>24</xdr:row>
      <xdr:rowOff>228600</xdr:rowOff>
    </xdr:to>
    <xdr:sp>
      <xdr:nvSpPr>
        <xdr:cNvPr id="45" name="Line 68"/>
        <xdr:cNvSpPr>
          <a:spLocks/>
        </xdr:cNvSpPr>
      </xdr:nvSpPr>
      <xdr:spPr>
        <a:xfrm flipV="1">
          <a:off x="1343025" y="69818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13</xdr:row>
      <xdr:rowOff>228600</xdr:rowOff>
    </xdr:from>
    <xdr:to>
      <xdr:col>4</xdr:col>
      <xdr:colOff>0</xdr:colOff>
      <xdr:row>20</xdr:row>
      <xdr:rowOff>257175</xdr:rowOff>
    </xdr:to>
    <xdr:grpSp>
      <xdr:nvGrpSpPr>
        <xdr:cNvPr id="46" name="Group 71"/>
        <xdr:cNvGrpSpPr>
          <a:grpSpLocks/>
        </xdr:cNvGrpSpPr>
      </xdr:nvGrpSpPr>
      <xdr:grpSpPr>
        <a:xfrm>
          <a:off x="161925" y="3886200"/>
          <a:ext cx="1943100" cy="2190750"/>
          <a:chOff x="17" y="393"/>
          <a:chExt cx="204" cy="230"/>
        </a:xfrm>
        <a:solidFill>
          <a:srgbClr val="FFFFFF"/>
        </a:solidFill>
      </xdr:grpSpPr>
      <xdr:sp>
        <xdr:nvSpPr>
          <xdr:cNvPr id="48" name="Rectangle 33"/>
          <xdr:cNvSpPr>
            <a:spLocks noChangeAspect="1"/>
          </xdr:cNvSpPr>
        </xdr:nvSpPr>
        <xdr:spPr>
          <a:xfrm>
            <a:off x="17" y="557"/>
            <a:ext cx="40" cy="40"/>
          </a:xfrm>
          <a:prstGeom prst="rect">
            <a:avLst/>
          </a:prstGeom>
          <a:solidFill>
            <a:srgbClr val="EAEAE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24"/>
          <xdr:cNvSpPr>
            <a:spLocks/>
          </xdr:cNvSpPr>
        </xdr:nvSpPr>
        <xdr:spPr>
          <a:xfrm rot="5400000">
            <a:off x="40" y="574"/>
            <a:ext cx="4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0"/>
          <xdr:cNvSpPr>
            <a:spLocks/>
          </xdr:cNvSpPr>
        </xdr:nvSpPr>
        <xdr:spPr>
          <a:xfrm>
            <a:off x="17" y="393"/>
            <a:ext cx="204" cy="20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1"/>
          <xdr:cNvSpPr>
            <a:spLocks/>
          </xdr:cNvSpPr>
        </xdr:nvSpPr>
        <xdr:spPr>
          <a:xfrm>
            <a:off x="57" y="393"/>
            <a:ext cx="164" cy="16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"/>
          <xdr:cNvSpPr>
            <a:spLocks noChangeAspect="1"/>
          </xdr:cNvSpPr>
        </xdr:nvSpPr>
        <xdr:spPr>
          <a:xfrm>
            <a:off x="111" y="393"/>
            <a:ext cx="110" cy="1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4"/>
          <xdr:cNvSpPr>
            <a:spLocks/>
          </xdr:cNvSpPr>
        </xdr:nvSpPr>
        <xdr:spPr>
          <a:xfrm>
            <a:off x="17" y="619"/>
            <a:ext cx="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5"/>
          <xdr:cNvSpPr>
            <a:spLocks/>
          </xdr:cNvSpPr>
        </xdr:nvSpPr>
        <xdr:spPr>
          <a:xfrm>
            <a:off x="56" y="619"/>
            <a:ext cx="16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6"/>
          <xdr:cNvSpPr>
            <a:spLocks/>
          </xdr:cNvSpPr>
        </xdr:nvSpPr>
        <xdr:spPr>
          <a:xfrm>
            <a:off x="17" y="600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38"/>
          <xdr:cNvSpPr>
            <a:spLocks noChangeAspect="1"/>
          </xdr:cNvSpPr>
        </xdr:nvSpPr>
        <xdr:spPr>
          <a:xfrm>
            <a:off x="165" y="393"/>
            <a:ext cx="56" cy="5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40"/>
          <xdr:cNvSpPr>
            <a:spLocks/>
          </xdr:cNvSpPr>
        </xdr:nvSpPr>
        <xdr:spPr>
          <a:xfrm>
            <a:off x="57" y="601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41"/>
          <xdr:cNvSpPr>
            <a:spLocks/>
          </xdr:cNvSpPr>
        </xdr:nvSpPr>
        <xdr:spPr>
          <a:xfrm>
            <a:off x="221" y="601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70"/>
          <xdr:cNvSpPr>
            <a:spLocks/>
          </xdr:cNvSpPr>
        </xdr:nvSpPr>
        <xdr:spPr>
          <a:xfrm>
            <a:off x="17" y="552"/>
            <a:ext cx="45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39"/>
          <xdr:cNvSpPr>
            <a:spLocks noChangeAspect="1"/>
          </xdr:cNvSpPr>
        </xdr:nvSpPr>
        <xdr:spPr>
          <a:xfrm flipV="1">
            <a:off x="19" y="395"/>
            <a:ext cx="201" cy="20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18</xdr:row>
      <xdr:rowOff>228600</xdr:rowOff>
    </xdr:from>
    <xdr:to>
      <xdr:col>2</xdr:col>
      <xdr:colOff>523875</xdr:colOff>
      <xdr:row>19</xdr:row>
      <xdr:rowOff>104775</xdr:rowOff>
    </xdr:to>
    <xdr:sp>
      <xdr:nvSpPr>
        <xdr:cNvPr id="61" name="Line 72"/>
        <xdr:cNvSpPr>
          <a:spLocks/>
        </xdr:cNvSpPr>
      </xdr:nvSpPr>
      <xdr:spPr>
        <a:xfrm>
          <a:off x="1333500" y="5419725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57150</xdr:rowOff>
    </xdr:from>
    <xdr:to>
      <xdr:col>2</xdr:col>
      <xdr:colOff>523875</xdr:colOff>
      <xdr:row>19</xdr:row>
      <xdr:rowOff>57150</xdr:rowOff>
    </xdr:to>
    <xdr:sp>
      <xdr:nvSpPr>
        <xdr:cNvPr id="62" name="Line 73"/>
        <xdr:cNvSpPr>
          <a:spLocks/>
        </xdr:cNvSpPr>
      </xdr:nvSpPr>
      <xdr:spPr>
        <a:xfrm>
          <a:off x="590550" y="5562600"/>
          <a:ext cx="7429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342900</xdr:colOff>
      <xdr:row>23</xdr:row>
      <xdr:rowOff>19050</xdr:rowOff>
    </xdr:from>
    <xdr:ext cx="228600" cy="285750"/>
    <xdr:sp>
      <xdr:nvSpPr>
        <xdr:cNvPr id="63" name="Text Box 74"/>
        <xdr:cNvSpPr txBox="1">
          <a:spLocks noChangeArrowheads="1"/>
        </xdr:cNvSpPr>
      </xdr:nvSpPr>
      <xdr:spPr>
        <a:xfrm>
          <a:off x="1152525" y="666750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kg/m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257175</xdr:rowOff>
    </xdr:from>
    <xdr:ext cx="2000250" cy="66675"/>
    <xdr:sp>
      <xdr:nvSpPr>
        <xdr:cNvPr id="1" name="Rectangle 12"/>
        <xdr:cNvSpPr>
          <a:spLocks/>
        </xdr:cNvSpPr>
      </xdr:nvSpPr>
      <xdr:spPr>
        <a:xfrm>
          <a:off x="180975" y="3429000"/>
          <a:ext cx="2000250" cy="6667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13</xdr:row>
      <xdr:rowOff>247650</xdr:rowOff>
    </xdr:from>
    <xdr:to>
      <xdr:col>2</xdr:col>
      <xdr:colOff>0</xdr:colOff>
      <xdr:row>13</xdr:row>
      <xdr:rowOff>247650</xdr:rowOff>
    </xdr:to>
    <xdr:sp>
      <xdr:nvSpPr>
        <xdr:cNvPr id="2" name="Line 13"/>
        <xdr:cNvSpPr>
          <a:spLocks/>
        </xdr:cNvSpPr>
      </xdr:nvSpPr>
      <xdr:spPr>
        <a:xfrm>
          <a:off x="180975" y="3733800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247650</xdr:rowOff>
    </xdr:from>
    <xdr:to>
      <xdr:col>5</xdr:col>
      <xdr:colOff>0</xdr:colOff>
      <xdr:row>13</xdr:row>
      <xdr:rowOff>247650</xdr:rowOff>
    </xdr:to>
    <xdr:sp>
      <xdr:nvSpPr>
        <xdr:cNvPr id="3" name="Line 14"/>
        <xdr:cNvSpPr>
          <a:spLocks/>
        </xdr:cNvSpPr>
      </xdr:nvSpPr>
      <xdr:spPr>
        <a:xfrm>
          <a:off x="828675" y="3733800"/>
          <a:ext cx="13525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66675</xdr:rowOff>
    </xdr:from>
    <xdr:to>
      <xdr:col>1</xdr:col>
      <xdr:colOff>0</xdr:colOff>
      <xdr:row>14</xdr:row>
      <xdr:rowOff>9525</xdr:rowOff>
    </xdr:to>
    <xdr:sp>
      <xdr:nvSpPr>
        <xdr:cNvPr id="4" name="Line 15"/>
        <xdr:cNvSpPr>
          <a:spLocks/>
        </xdr:cNvSpPr>
      </xdr:nvSpPr>
      <xdr:spPr>
        <a:xfrm>
          <a:off x="180975" y="3552825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0</xdr:colOff>
      <xdr:row>14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828675" y="3495675"/>
          <a:ext cx="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14</xdr:row>
      <xdr:rowOff>114300</xdr:rowOff>
    </xdr:to>
    <xdr:sp>
      <xdr:nvSpPr>
        <xdr:cNvPr id="6" name="Line 17"/>
        <xdr:cNvSpPr>
          <a:spLocks/>
        </xdr:cNvSpPr>
      </xdr:nvSpPr>
      <xdr:spPr>
        <a:xfrm>
          <a:off x="2181225" y="3495675"/>
          <a:ext cx="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20</xdr:row>
      <xdr:rowOff>228600</xdr:rowOff>
    </xdr:from>
    <xdr:ext cx="2000250" cy="419100"/>
    <xdr:grpSp>
      <xdr:nvGrpSpPr>
        <xdr:cNvPr id="7" name="Group 87"/>
        <xdr:cNvGrpSpPr>
          <a:grpSpLocks/>
        </xdr:cNvGrpSpPr>
      </xdr:nvGrpSpPr>
      <xdr:grpSpPr>
        <a:xfrm>
          <a:off x="180975" y="5724525"/>
          <a:ext cx="2000250" cy="419100"/>
          <a:chOff x="19" y="568"/>
          <a:chExt cx="204" cy="44"/>
        </a:xfrm>
        <a:solidFill>
          <a:srgbClr val="FFFFFF"/>
        </a:solidFill>
      </xdr:grpSpPr>
      <xdr:sp>
        <xdr:nvSpPr>
          <xdr:cNvPr id="8" name="Rectangle 64"/>
          <xdr:cNvSpPr>
            <a:spLocks/>
          </xdr:cNvSpPr>
        </xdr:nvSpPr>
        <xdr:spPr>
          <a:xfrm>
            <a:off x="19" y="568"/>
            <a:ext cx="204" cy="6"/>
          </a:xfrm>
          <a:prstGeom prst="rect">
            <a:avLst/>
          </a:pr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6"/>
          <xdr:cNvSpPr>
            <a:spLocks/>
          </xdr:cNvSpPr>
        </xdr:nvSpPr>
        <xdr:spPr>
          <a:xfrm>
            <a:off x="19" y="596"/>
            <a:ext cx="20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8"/>
          <xdr:cNvSpPr>
            <a:spLocks/>
          </xdr:cNvSpPr>
        </xdr:nvSpPr>
        <xdr:spPr>
          <a:xfrm>
            <a:off x="19" y="574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9"/>
          <xdr:cNvSpPr>
            <a:spLocks/>
          </xdr:cNvSpPr>
        </xdr:nvSpPr>
        <xdr:spPr>
          <a:xfrm>
            <a:off x="223" y="574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10</xdr:row>
      <xdr:rowOff>57150</xdr:rowOff>
    </xdr:from>
    <xdr:to>
      <xdr:col>2</xdr:col>
      <xdr:colOff>514350</xdr:colOff>
      <xdr:row>16</xdr:row>
      <xdr:rowOff>200025</xdr:rowOff>
    </xdr:to>
    <xdr:grpSp>
      <xdr:nvGrpSpPr>
        <xdr:cNvPr id="1" name="Group 11"/>
        <xdr:cNvGrpSpPr>
          <a:grpSpLocks/>
        </xdr:cNvGrpSpPr>
      </xdr:nvGrpSpPr>
      <xdr:grpSpPr>
        <a:xfrm>
          <a:off x="200025" y="3248025"/>
          <a:ext cx="1428750" cy="1800225"/>
          <a:chOff x="79" y="373"/>
          <a:chExt cx="150" cy="189"/>
        </a:xfrm>
        <a:solidFill>
          <a:srgbClr val="FFFFFF"/>
        </a:solidFill>
      </xdr:grpSpPr>
      <xdr:grpSp>
        <xdr:nvGrpSpPr>
          <xdr:cNvPr id="2" name="Group 12"/>
          <xdr:cNvGrpSpPr>
            <a:grpSpLocks/>
          </xdr:cNvGrpSpPr>
        </xdr:nvGrpSpPr>
        <xdr:grpSpPr>
          <a:xfrm>
            <a:off x="79" y="382"/>
            <a:ext cx="150" cy="157"/>
            <a:chOff x="44" y="361"/>
            <a:chExt cx="150" cy="157"/>
          </a:xfrm>
          <a:solidFill>
            <a:srgbClr val="FFFFFF"/>
          </a:solidFill>
        </xdr:grpSpPr>
        <xdr:sp>
          <xdr:nvSpPr>
            <xdr:cNvPr id="3" name="Rectangle 13"/>
            <xdr:cNvSpPr>
              <a:spLocks/>
            </xdr:cNvSpPr>
          </xdr:nvSpPr>
          <xdr:spPr>
            <a:xfrm>
              <a:off x="118" y="435"/>
              <a:ext cx="20" cy="2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14"/>
            <xdr:cNvSpPr>
              <a:spLocks/>
            </xdr:cNvSpPr>
          </xdr:nvSpPr>
          <xdr:spPr>
            <a:xfrm>
              <a:off x="118" y="435"/>
              <a:ext cx="76" cy="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5"/>
            <xdr:cNvSpPr>
              <a:spLocks/>
            </xdr:cNvSpPr>
          </xdr:nvSpPr>
          <xdr:spPr>
            <a:xfrm>
              <a:off x="118" y="449"/>
              <a:ext cx="76" cy="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6"/>
            <xdr:cNvSpPr>
              <a:spLocks/>
            </xdr:cNvSpPr>
          </xdr:nvSpPr>
          <xdr:spPr>
            <a:xfrm>
              <a:off x="127" y="372"/>
              <a:ext cx="6" cy="7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17"/>
            <xdr:cNvSpPr>
              <a:spLocks/>
            </xdr:cNvSpPr>
          </xdr:nvSpPr>
          <xdr:spPr>
            <a:xfrm>
              <a:off x="127" y="445"/>
              <a:ext cx="6" cy="7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18"/>
            <xdr:cNvSpPr>
              <a:spLocks/>
            </xdr:cNvSpPr>
          </xdr:nvSpPr>
          <xdr:spPr>
            <a:xfrm rot="18900000">
              <a:off x="44" y="478"/>
              <a:ext cx="96" cy="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19"/>
            <xdr:cNvSpPr>
              <a:spLocks/>
            </xdr:cNvSpPr>
          </xdr:nvSpPr>
          <xdr:spPr>
            <a:xfrm rot="2700000">
              <a:off x="89" y="361"/>
              <a:ext cx="6" cy="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20"/>
            <xdr:cNvSpPr>
              <a:spLocks/>
            </xdr:cNvSpPr>
          </xdr:nvSpPr>
          <xdr:spPr>
            <a:xfrm>
              <a:off x="55" y="442"/>
              <a:ext cx="66" cy="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Text Box 21"/>
          <xdr:cNvSpPr txBox="1">
            <a:spLocks noChangeArrowheads="1"/>
          </xdr:cNvSpPr>
        </xdr:nvSpPr>
        <xdr:spPr>
          <a:xfrm>
            <a:off x="183" y="437"/>
            <a:ext cx="4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อกไก่ 1</a:t>
            </a:r>
          </a:p>
        </xdr:txBody>
      </xdr:sp>
      <xdr:sp>
        <xdr:nvSpPr>
          <xdr:cNvPr id="12" name="Text Box 22"/>
          <xdr:cNvSpPr txBox="1">
            <a:spLocks noChangeArrowheads="1"/>
          </xdr:cNvSpPr>
        </xdr:nvSpPr>
        <xdr:spPr>
          <a:xfrm>
            <a:off x="183" y="476"/>
            <a:ext cx="4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อกไก่ 2</a:t>
            </a:r>
          </a:p>
        </xdr:txBody>
      </xdr:sp>
      <xdr:sp>
        <xdr:nvSpPr>
          <xdr:cNvPr id="13" name="Text Box 23"/>
          <xdr:cNvSpPr txBox="1">
            <a:spLocks noChangeArrowheads="1"/>
          </xdr:cNvSpPr>
        </xdr:nvSpPr>
        <xdr:spPr>
          <a:xfrm>
            <a:off x="142" y="373"/>
            <a:ext cx="4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จันทัน 1</a:t>
            </a:r>
          </a:p>
        </xdr:txBody>
      </xdr:sp>
      <xdr:sp>
        <xdr:nvSpPr>
          <xdr:cNvPr id="14" name="Text Box 24"/>
          <xdr:cNvSpPr txBox="1">
            <a:spLocks noChangeArrowheads="1"/>
          </xdr:cNvSpPr>
        </xdr:nvSpPr>
        <xdr:spPr>
          <a:xfrm>
            <a:off x="141" y="543"/>
            <a:ext cx="4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จันทัน 2</a:t>
            </a:r>
          </a:p>
        </xdr:txBody>
      </xdr:sp>
      <xdr:sp>
        <xdr:nvSpPr>
          <xdr:cNvPr id="15" name="Text Box 25"/>
          <xdr:cNvSpPr txBox="1">
            <a:spLocks noChangeArrowheads="1"/>
          </xdr:cNvSpPr>
        </xdr:nvSpPr>
        <xdr:spPr>
          <a:xfrm>
            <a:off x="87" y="445"/>
            <a:ext cx="4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จันทัน 3</a:t>
            </a:r>
          </a:p>
        </xdr:txBody>
      </xdr:sp>
      <xdr:sp>
        <xdr:nvSpPr>
          <xdr:cNvPr id="16" name="Text Box 26"/>
          <xdr:cNvSpPr txBox="1">
            <a:spLocks noChangeArrowheads="1"/>
          </xdr:cNvSpPr>
        </xdr:nvSpPr>
        <xdr:spPr>
          <a:xfrm>
            <a:off x="79" y="373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ตะเข้ 1</a:t>
            </a:r>
          </a:p>
        </xdr:txBody>
      </xdr:sp>
      <xdr:sp>
        <xdr:nvSpPr>
          <xdr:cNvPr id="17" name="Text Box 27"/>
          <xdr:cNvSpPr txBox="1">
            <a:spLocks noChangeArrowheads="1"/>
          </xdr:cNvSpPr>
        </xdr:nvSpPr>
        <xdr:spPr>
          <a:xfrm>
            <a:off x="79" y="541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ตะเข้ 2</a:t>
            </a:r>
          </a:p>
        </xdr:txBody>
      </xdr:sp>
    </xdr:grpSp>
    <xdr:clientData/>
  </xdr:twoCellAnchor>
  <xdr:twoCellAnchor editAs="absolute">
    <xdr:from>
      <xdr:col>2</xdr:col>
      <xdr:colOff>561975</xdr:colOff>
      <xdr:row>10</xdr:row>
      <xdr:rowOff>238125</xdr:rowOff>
    </xdr:from>
    <xdr:to>
      <xdr:col>4</xdr:col>
      <xdr:colOff>228600</xdr:colOff>
      <xdr:row>15</xdr:row>
      <xdr:rowOff>180975</xdr:rowOff>
    </xdr:to>
    <xdr:grpSp>
      <xdr:nvGrpSpPr>
        <xdr:cNvPr id="18" name="Group 28"/>
        <xdr:cNvGrpSpPr>
          <a:grpSpLocks/>
        </xdr:cNvGrpSpPr>
      </xdr:nvGrpSpPr>
      <xdr:grpSpPr>
        <a:xfrm>
          <a:off x="1676400" y="3429000"/>
          <a:ext cx="885825" cy="1323975"/>
          <a:chOff x="210" y="357"/>
          <a:chExt cx="93" cy="139"/>
        </a:xfrm>
        <a:solidFill>
          <a:srgbClr val="FFFFFF"/>
        </a:solidFill>
      </xdr:grpSpPr>
      <xdr:sp>
        <xdr:nvSpPr>
          <xdr:cNvPr id="19" name="Rectangle 29"/>
          <xdr:cNvSpPr>
            <a:spLocks/>
          </xdr:cNvSpPr>
        </xdr:nvSpPr>
        <xdr:spPr>
          <a:xfrm>
            <a:off x="240" y="383"/>
            <a:ext cx="17" cy="1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0"/>
          <xdr:cNvSpPr>
            <a:spLocks/>
          </xdr:cNvSpPr>
        </xdr:nvSpPr>
        <xdr:spPr>
          <a:xfrm>
            <a:off x="248" y="35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1"/>
          <xdr:cNvSpPr>
            <a:spLocks/>
          </xdr:cNvSpPr>
        </xdr:nvSpPr>
        <xdr:spPr>
          <a:xfrm>
            <a:off x="210" y="48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2"/>
          <xdr:cNvSpPr>
            <a:spLocks/>
          </xdr:cNvSpPr>
        </xdr:nvSpPr>
        <xdr:spPr>
          <a:xfrm>
            <a:off x="264" y="383"/>
            <a:ext cx="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3"/>
          <xdr:cNvSpPr>
            <a:spLocks/>
          </xdr:cNvSpPr>
        </xdr:nvSpPr>
        <xdr:spPr>
          <a:xfrm>
            <a:off x="296" y="377"/>
            <a:ext cx="0" cy="11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1162050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14</xdr:row>
      <xdr:rowOff>38100</xdr:rowOff>
    </xdr:to>
    <xdr:sp>
      <xdr:nvSpPr>
        <xdr:cNvPr id="2" name="Line 5"/>
        <xdr:cNvSpPr>
          <a:spLocks/>
        </xdr:cNvSpPr>
      </xdr:nvSpPr>
      <xdr:spPr>
        <a:xfrm flipV="1">
          <a:off x="1743075" y="196215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14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581025" y="196215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11</xdr:row>
      <xdr:rowOff>0</xdr:rowOff>
    </xdr:to>
    <xdr:sp>
      <xdr:nvSpPr>
        <xdr:cNvPr id="4" name="Line 7"/>
        <xdr:cNvSpPr>
          <a:spLocks/>
        </xdr:cNvSpPr>
      </xdr:nvSpPr>
      <xdr:spPr>
        <a:xfrm>
          <a:off x="3486150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11</xdr:row>
      <xdr:rowOff>0</xdr:rowOff>
    </xdr:to>
    <xdr:sp>
      <xdr:nvSpPr>
        <xdr:cNvPr id="5" name="Line 8"/>
        <xdr:cNvSpPr>
          <a:spLocks/>
        </xdr:cNvSpPr>
      </xdr:nvSpPr>
      <xdr:spPr>
        <a:xfrm>
          <a:off x="4114800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14</xdr:row>
      <xdr:rowOff>38100</xdr:rowOff>
    </xdr:to>
    <xdr:sp>
      <xdr:nvSpPr>
        <xdr:cNvPr id="6" name="Line 9"/>
        <xdr:cNvSpPr>
          <a:spLocks/>
        </xdr:cNvSpPr>
      </xdr:nvSpPr>
      <xdr:spPr>
        <a:xfrm flipV="1">
          <a:off x="4695825" y="196215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14</xdr:row>
      <xdr:rowOff>38100</xdr:rowOff>
    </xdr:to>
    <xdr:sp>
      <xdr:nvSpPr>
        <xdr:cNvPr id="7" name="Line 10"/>
        <xdr:cNvSpPr>
          <a:spLocks/>
        </xdr:cNvSpPr>
      </xdr:nvSpPr>
      <xdr:spPr>
        <a:xfrm flipV="1">
          <a:off x="2905125" y="196215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14</xdr:row>
      <xdr:rowOff>38100</xdr:rowOff>
    </xdr:to>
    <xdr:sp>
      <xdr:nvSpPr>
        <xdr:cNvPr id="8" name="Line 19"/>
        <xdr:cNvSpPr>
          <a:spLocks/>
        </xdr:cNvSpPr>
      </xdr:nvSpPr>
      <xdr:spPr>
        <a:xfrm flipV="1">
          <a:off x="5857875" y="196215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14</xdr:row>
      <xdr:rowOff>38100</xdr:rowOff>
    </xdr:to>
    <xdr:sp>
      <xdr:nvSpPr>
        <xdr:cNvPr id="9" name="Line 20"/>
        <xdr:cNvSpPr>
          <a:spLocks/>
        </xdr:cNvSpPr>
      </xdr:nvSpPr>
      <xdr:spPr>
        <a:xfrm flipV="1">
          <a:off x="8181975" y="196215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0" name="Line 21"/>
        <xdr:cNvSpPr>
          <a:spLocks/>
        </xdr:cNvSpPr>
      </xdr:nvSpPr>
      <xdr:spPr>
        <a:xfrm>
          <a:off x="6438900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11" name="Line 22"/>
        <xdr:cNvSpPr>
          <a:spLocks/>
        </xdr:cNvSpPr>
      </xdr:nvSpPr>
      <xdr:spPr>
        <a:xfrm>
          <a:off x="701992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11</xdr:row>
      <xdr:rowOff>0</xdr:rowOff>
    </xdr:to>
    <xdr:sp>
      <xdr:nvSpPr>
        <xdr:cNvPr id="12" name="Line 23"/>
        <xdr:cNvSpPr>
          <a:spLocks/>
        </xdr:cNvSpPr>
      </xdr:nvSpPr>
      <xdr:spPr>
        <a:xfrm>
          <a:off x="7600950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14</xdr:row>
      <xdr:rowOff>38100</xdr:rowOff>
    </xdr:to>
    <xdr:sp>
      <xdr:nvSpPr>
        <xdr:cNvPr id="13" name="Line 25"/>
        <xdr:cNvSpPr>
          <a:spLocks/>
        </xdr:cNvSpPr>
      </xdr:nvSpPr>
      <xdr:spPr>
        <a:xfrm flipV="1">
          <a:off x="9344025" y="196215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14</xdr:row>
      <xdr:rowOff>38100</xdr:rowOff>
    </xdr:to>
    <xdr:sp>
      <xdr:nvSpPr>
        <xdr:cNvPr id="14" name="Line 26"/>
        <xdr:cNvSpPr>
          <a:spLocks/>
        </xdr:cNvSpPr>
      </xdr:nvSpPr>
      <xdr:spPr>
        <a:xfrm flipV="1">
          <a:off x="12296775" y="1962150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11</xdr:row>
      <xdr:rowOff>0</xdr:rowOff>
    </xdr:to>
    <xdr:sp>
      <xdr:nvSpPr>
        <xdr:cNvPr id="15" name="Line 27"/>
        <xdr:cNvSpPr>
          <a:spLocks/>
        </xdr:cNvSpPr>
      </xdr:nvSpPr>
      <xdr:spPr>
        <a:xfrm>
          <a:off x="9925050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11</xdr:row>
      <xdr:rowOff>0</xdr:rowOff>
    </xdr:to>
    <xdr:sp>
      <xdr:nvSpPr>
        <xdr:cNvPr id="16" name="Line 28"/>
        <xdr:cNvSpPr>
          <a:spLocks/>
        </xdr:cNvSpPr>
      </xdr:nvSpPr>
      <xdr:spPr>
        <a:xfrm>
          <a:off x="1050607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11</xdr:row>
      <xdr:rowOff>0</xdr:rowOff>
    </xdr:to>
    <xdr:sp>
      <xdr:nvSpPr>
        <xdr:cNvPr id="17" name="Line 29"/>
        <xdr:cNvSpPr>
          <a:spLocks/>
        </xdr:cNvSpPr>
      </xdr:nvSpPr>
      <xdr:spPr>
        <a:xfrm>
          <a:off x="1113472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11</xdr:row>
      <xdr:rowOff>0</xdr:rowOff>
    </xdr:to>
    <xdr:sp>
      <xdr:nvSpPr>
        <xdr:cNvPr id="18" name="Line 30"/>
        <xdr:cNvSpPr>
          <a:spLocks/>
        </xdr:cNvSpPr>
      </xdr:nvSpPr>
      <xdr:spPr>
        <a:xfrm>
          <a:off x="11715750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133350</xdr:rowOff>
    </xdr:from>
    <xdr:to>
      <xdr:col>1</xdr:col>
      <xdr:colOff>0</xdr:colOff>
      <xdr:row>10</xdr:row>
      <xdr:rowOff>133350</xdr:rowOff>
    </xdr:to>
    <xdr:sp>
      <xdr:nvSpPr>
        <xdr:cNvPr id="19" name="Line 31"/>
        <xdr:cNvSpPr>
          <a:spLocks/>
        </xdr:cNvSpPr>
      </xdr:nvSpPr>
      <xdr:spPr>
        <a:xfrm>
          <a:off x="581025" y="1609725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133350</xdr:rowOff>
    </xdr:from>
    <xdr:to>
      <xdr:col>3</xdr:col>
      <xdr:colOff>0</xdr:colOff>
      <xdr:row>10</xdr:row>
      <xdr:rowOff>133350</xdr:rowOff>
    </xdr:to>
    <xdr:sp>
      <xdr:nvSpPr>
        <xdr:cNvPr id="20" name="Line 32"/>
        <xdr:cNvSpPr>
          <a:spLocks/>
        </xdr:cNvSpPr>
      </xdr:nvSpPr>
      <xdr:spPr>
        <a:xfrm>
          <a:off x="1743075" y="1609725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21" name="Line 33"/>
        <xdr:cNvSpPr>
          <a:spLocks/>
        </xdr:cNvSpPr>
      </xdr:nvSpPr>
      <xdr:spPr>
        <a:xfrm>
          <a:off x="290512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11</xdr:row>
      <xdr:rowOff>0</xdr:rowOff>
    </xdr:to>
    <xdr:sp>
      <xdr:nvSpPr>
        <xdr:cNvPr id="22" name="Line 34"/>
        <xdr:cNvSpPr>
          <a:spLocks/>
        </xdr:cNvSpPr>
      </xdr:nvSpPr>
      <xdr:spPr>
        <a:xfrm>
          <a:off x="469582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11</xdr:row>
      <xdr:rowOff>0</xdr:rowOff>
    </xdr:to>
    <xdr:sp>
      <xdr:nvSpPr>
        <xdr:cNvPr id="23" name="Line 35"/>
        <xdr:cNvSpPr>
          <a:spLocks/>
        </xdr:cNvSpPr>
      </xdr:nvSpPr>
      <xdr:spPr>
        <a:xfrm>
          <a:off x="585787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11</xdr:row>
      <xdr:rowOff>0</xdr:rowOff>
    </xdr:to>
    <xdr:sp>
      <xdr:nvSpPr>
        <xdr:cNvPr id="24" name="Line 36"/>
        <xdr:cNvSpPr>
          <a:spLocks/>
        </xdr:cNvSpPr>
      </xdr:nvSpPr>
      <xdr:spPr>
        <a:xfrm>
          <a:off x="818197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11</xdr:row>
      <xdr:rowOff>0</xdr:rowOff>
    </xdr:to>
    <xdr:sp>
      <xdr:nvSpPr>
        <xdr:cNvPr id="25" name="Line 37"/>
        <xdr:cNvSpPr>
          <a:spLocks/>
        </xdr:cNvSpPr>
      </xdr:nvSpPr>
      <xdr:spPr>
        <a:xfrm>
          <a:off x="934402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11</xdr:row>
      <xdr:rowOff>0</xdr:rowOff>
    </xdr:to>
    <xdr:sp>
      <xdr:nvSpPr>
        <xdr:cNvPr id="26" name="Line 38"/>
        <xdr:cNvSpPr>
          <a:spLocks/>
        </xdr:cNvSpPr>
      </xdr:nvSpPr>
      <xdr:spPr>
        <a:xfrm>
          <a:off x="12296775" y="16192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2:S25"/>
  <sheetViews>
    <sheetView zoomScalePageLayoutView="0" workbookViewId="0" topLeftCell="A5">
      <selection activeCell="Y11" sqref="Y11"/>
    </sheetView>
  </sheetViews>
  <sheetFormatPr defaultColWidth="9.140625" defaultRowHeight="12.75"/>
  <cols>
    <col min="1" max="1" width="0.71875" style="73" customWidth="1"/>
    <col min="2" max="2" width="8.140625" style="73" customWidth="1"/>
    <col min="3" max="3" width="5.28125" style="73" customWidth="1"/>
    <col min="4" max="4" width="5.140625" style="73" customWidth="1"/>
    <col min="5" max="5" width="4.421875" style="73" customWidth="1"/>
    <col min="6" max="6" width="4.00390625" style="73" customWidth="1"/>
    <col min="7" max="7" width="5.00390625" style="73" customWidth="1"/>
    <col min="8" max="8" width="4.00390625" style="73" customWidth="1"/>
    <col min="9" max="9" width="10.421875" style="73" customWidth="1"/>
    <col min="10" max="10" width="3.7109375" style="73" customWidth="1"/>
    <col min="11" max="11" width="5.00390625" style="73" customWidth="1"/>
    <col min="12" max="12" width="4.57421875" style="73" customWidth="1"/>
    <col min="13" max="13" width="4.7109375" style="73" customWidth="1"/>
    <col min="14" max="14" width="4.57421875" style="73" customWidth="1"/>
    <col min="15" max="15" width="4.28125" style="73" customWidth="1"/>
    <col min="16" max="16" width="4.421875" style="73" customWidth="1"/>
    <col min="17" max="17" width="6.421875" style="73" customWidth="1"/>
    <col min="18" max="19" width="5.57421875" style="73" customWidth="1"/>
    <col min="20" max="16384" width="9.140625" style="73" customWidth="1"/>
  </cols>
  <sheetData>
    <row r="1" ht="6.75" customHeight="1"/>
    <row r="2" spans="2:19" s="103" customFormat="1" ht="23.25">
      <c r="B2" s="292" t="s">
        <v>142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/>
    </row>
    <row r="3" ht="6.75" customHeight="1"/>
    <row r="4" spans="2:15" ht="12.75">
      <c r="B4" s="107" t="s">
        <v>131</v>
      </c>
      <c r="C4" s="90"/>
      <c r="D4" s="90"/>
      <c r="E4" s="90"/>
      <c r="F4" s="90"/>
      <c r="J4" s="107" t="s">
        <v>143</v>
      </c>
      <c r="O4" s="107" t="s">
        <v>147</v>
      </c>
    </row>
    <row r="5" spans="5:15" ht="15">
      <c r="E5" s="89" t="s">
        <v>156</v>
      </c>
      <c r="F5" s="295">
        <f>2.1*10^6</f>
        <v>2100000</v>
      </c>
      <c r="G5" s="295"/>
      <c r="H5" s="75" t="s">
        <v>118</v>
      </c>
      <c r="K5" s="74" t="s">
        <v>144</v>
      </c>
      <c r="L5" s="296">
        <v>1.4</v>
      </c>
      <c r="M5" s="296"/>
      <c r="N5" s="75" t="s">
        <v>1</v>
      </c>
      <c r="O5" s="88"/>
    </row>
    <row r="6" spans="5:19" ht="15">
      <c r="E6" s="89" t="s">
        <v>133</v>
      </c>
      <c r="F6" s="295">
        <v>2310</v>
      </c>
      <c r="G6" s="295"/>
      <c r="H6" s="75" t="s">
        <v>118</v>
      </c>
      <c r="K6" s="74" t="s">
        <v>145</v>
      </c>
      <c r="L6" s="296">
        <v>5.1</v>
      </c>
      <c r="M6" s="296"/>
      <c r="N6" s="75" t="s">
        <v>1</v>
      </c>
      <c r="P6" s="89" t="s">
        <v>148</v>
      </c>
      <c r="Q6" s="297">
        <v>1.5</v>
      </c>
      <c r="R6" s="298"/>
      <c r="S6" s="75" t="s">
        <v>1</v>
      </c>
    </row>
    <row r="7" spans="2:19" ht="15">
      <c r="B7" s="107" t="s">
        <v>132</v>
      </c>
      <c r="C7" s="90"/>
      <c r="D7" s="90"/>
      <c r="E7" s="90"/>
      <c r="F7" s="90"/>
      <c r="H7" s="106" t="s">
        <v>146</v>
      </c>
      <c r="K7" s="74" t="s">
        <v>225</v>
      </c>
      <c r="L7" s="299">
        <v>0.5</v>
      </c>
      <c r="M7" s="300"/>
      <c r="N7" s="75" t="s">
        <v>1</v>
      </c>
      <c r="P7" s="89" t="s">
        <v>4</v>
      </c>
      <c r="Q7" s="301">
        <v>10</v>
      </c>
      <c r="R7" s="302"/>
      <c r="S7" s="75" t="s">
        <v>8</v>
      </c>
    </row>
    <row r="8" spans="5:19" ht="15">
      <c r="E8" s="89" t="s">
        <v>108</v>
      </c>
      <c r="F8" s="303">
        <v>15</v>
      </c>
      <c r="G8" s="303"/>
      <c r="H8" s="75" t="s">
        <v>158</v>
      </c>
      <c r="P8" s="89" t="s">
        <v>111</v>
      </c>
      <c r="Q8" s="301">
        <v>460</v>
      </c>
      <c r="R8" s="302"/>
      <c r="S8" s="75" t="s">
        <v>110</v>
      </c>
    </row>
    <row r="9" spans="5:19" ht="15">
      <c r="E9" s="89" t="s">
        <v>109</v>
      </c>
      <c r="F9" s="303">
        <v>10</v>
      </c>
      <c r="G9" s="303"/>
      <c r="H9" s="75" t="s">
        <v>158</v>
      </c>
      <c r="P9" s="89" t="s">
        <v>107</v>
      </c>
      <c r="Q9" s="301"/>
      <c r="R9" s="302"/>
      <c r="S9" s="75" t="s">
        <v>110</v>
      </c>
    </row>
    <row r="10" spans="5:19" ht="15">
      <c r="E10" s="89" t="s">
        <v>17</v>
      </c>
      <c r="F10" s="303">
        <v>30</v>
      </c>
      <c r="G10" s="303"/>
      <c r="H10" s="75" t="s">
        <v>158</v>
      </c>
      <c r="L10" s="105">
        <f>ROUND(DEGREES(ATAN(L5/L6)),1)</f>
        <v>15.4</v>
      </c>
      <c r="M10" s="104"/>
      <c r="P10" s="89" t="s">
        <v>120</v>
      </c>
      <c r="Q10" s="304"/>
      <c r="R10" s="304"/>
      <c r="S10" s="75" t="s">
        <v>110</v>
      </c>
    </row>
    <row r="11" spans="5:8" ht="12.75">
      <c r="E11" s="89" t="s">
        <v>157</v>
      </c>
      <c r="F11" s="303">
        <v>50</v>
      </c>
      <c r="G11" s="303"/>
      <c r="H11" s="75" t="s">
        <v>8</v>
      </c>
    </row>
    <row r="12" spans="5:8" ht="12.75">
      <c r="E12" s="89"/>
      <c r="F12" s="216"/>
      <c r="G12" s="216"/>
      <c r="H12" s="75"/>
    </row>
    <row r="13" spans="5:8" ht="12.75">
      <c r="E13" s="89"/>
      <c r="F13" s="216"/>
      <c r="G13" s="216"/>
      <c r="H13" s="75"/>
    </row>
    <row r="14" ht="12.75"/>
    <row r="15" spans="2:19" s="91" customFormat="1" ht="18.75">
      <c r="B15" s="305" t="s">
        <v>137</v>
      </c>
      <c r="C15" s="305"/>
      <c r="D15" s="305"/>
      <c r="E15" s="305"/>
      <c r="F15" s="305"/>
      <c r="G15" s="305"/>
      <c r="H15" s="305"/>
      <c r="I15" s="306" t="s">
        <v>126</v>
      </c>
      <c r="J15" s="307"/>
      <c r="K15" s="307"/>
      <c r="L15" s="307"/>
      <c r="M15" s="307"/>
      <c r="N15" s="307"/>
      <c r="O15" s="307"/>
      <c r="P15" s="308"/>
      <c r="Q15" s="309" t="s">
        <v>141</v>
      </c>
      <c r="R15" s="310"/>
      <c r="S15" s="311"/>
    </row>
    <row r="16" spans="2:19" s="79" customFormat="1" ht="18" customHeight="1">
      <c r="B16" s="312" t="s">
        <v>119</v>
      </c>
      <c r="C16" s="97" t="s">
        <v>102</v>
      </c>
      <c r="D16" s="97" t="s">
        <v>3</v>
      </c>
      <c r="E16" s="97" t="s">
        <v>134</v>
      </c>
      <c r="F16" s="98" t="s">
        <v>135</v>
      </c>
      <c r="G16" s="314" t="s">
        <v>138</v>
      </c>
      <c r="H16" s="314"/>
      <c r="I16" s="92" t="s">
        <v>71</v>
      </c>
      <c r="J16" s="80" t="s">
        <v>40</v>
      </c>
      <c r="K16" s="80" t="s">
        <v>25</v>
      </c>
      <c r="L16" s="80" t="s">
        <v>102</v>
      </c>
      <c r="M16" s="80" t="s">
        <v>127</v>
      </c>
      <c r="N16" s="80" t="s">
        <v>128</v>
      </c>
      <c r="O16" s="80" t="s">
        <v>129</v>
      </c>
      <c r="P16" s="81" t="s">
        <v>130</v>
      </c>
      <c r="Q16" s="315" t="s">
        <v>129</v>
      </c>
      <c r="R16" s="315" t="s">
        <v>117</v>
      </c>
      <c r="S16" s="317" t="s">
        <v>103</v>
      </c>
    </row>
    <row r="17" spans="2:19" s="79" customFormat="1" ht="18" customHeight="1">
      <c r="B17" s="313"/>
      <c r="C17" s="99" t="s">
        <v>8</v>
      </c>
      <c r="D17" s="99" t="s">
        <v>1</v>
      </c>
      <c r="E17" s="99" t="s">
        <v>140</v>
      </c>
      <c r="F17" s="100" t="s">
        <v>136</v>
      </c>
      <c r="G17" s="101" t="s">
        <v>121</v>
      </c>
      <c r="H17" s="102" t="s">
        <v>139</v>
      </c>
      <c r="I17" s="93" t="s">
        <v>122</v>
      </c>
      <c r="J17" s="82" t="s">
        <v>122</v>
      </c>
      <c r="K17" s="82" t="s">
        <v>123</v>
      </c>
      <c r="L17" s="82" t="s">
        <v>8</v>
      </c>
      <c r="M17" s="82" t="s">
        <v>124</v>
      </c>
      <c r="N17" s="82" t="s">
        <v>124</v>
      </c>
      <c r="O17" s="82" t="s">
        <v>125</v>
      </c>
      <c r="P17" s="83" t="s">
        <v>125</v>
      </c>
      <c r="Q17" s="315"/>
      <c r="R17" s="316"/>
      <c r="S17" s="318"/>
    </row>
    <row r="18" spans="2:19" s="76" customFormat="1" ht="19.5" customHeight="1">
      <c r="B18" s="319" t="s">
        <v>105</v>
      </c>
      <c r="C18" s="319">
        <v>10</v>
      </c>
      <c r="D18" s="322">
        <v>4.5</v>
      </c>
      <c r="E18" s="322">
        <v>1</v>
      </c>
      <c r="F18" s="109">
        <v>1</v>
      </c>
      <c r="G18" s="108" t="s">
        <v>106</v>
      </c>
      <c r="H18" s="110">
        <v>11</v>
      </c>
      <c r="I18" s="94" t="str">
        <f>IF(G18="C",LOOKUP(H18,Channel!B7:B38,Channel!C7:C38),LOOKUP(H18,'Equal L'!B9:B55,'Equal L'!C9:C55))</f>
        <v>125 x 50 x 20</v>
      </c>
      <c r="J18" s="84">
        <f>IF(G18="C",LOOKUP(H18,Channel!B7:B38,Channel!D7:D38),LOOKUP(H18,'Equal L'!B9:B55,'Equal L'!D9:D55))</f>
        <v>3.2</v>
      </c>
      <c r="K18" s="84">
        <f>IF(G18="C",LOOKUP(H18,Channel!B7:B38,Channel!E7:E38),LOOKUP(H18,'Equal L'!B9:B55,'Equal L'!G9:G55))</f>
        <v>7.807</v>
      </c>
      <c r="L18" s="84">
        <f>IF(G18="C",LOOKUP(H18,Channel!B7:B38,Channel!F7:F38),LOOKUP(H18,'Equal L'!B9:B55,'Equal L'!H9:H55))</f>
        <v>6.13</v>
      </c>
      <c r="M18" s="84">
        <f>IF(G18="C",LOOKUP(H18,Channel!B7:B38,Channel!I7:I38),LOOKUP(H18,'Equal L'!B9:B55,'Equal L'!I9:I55))</f>
        <v>181</v>
      </c>
      <c r="N18" s="84">
        <f>IF(G18="C",LOOKUP(H18,Channel!B7:B38,Channel!J7:J38),LOOKUP(H18,'Equal L'!B9:B55,'Equal L'!J9:J55))</f>
        <v>26.6</v>
      </c>
      <c r="O18" s="146">
        <f>IF(G18="C",LOOKUP(H18,Channel!B7:B38,Channel!M7:M38),LOOKUP(H18,'Equal L'!B9:B55,'Equal L'!Q9:Q55))</f>
        <v>29</v>
      </c>
      <c r="P18" s="85">
        <f>IF(G18="C",LOOKUP(H18,Channel!B7:B38,Channel!N7:N38),LOOKUP(H18,'Equal L'!B9:B55,'Equal L'!R9:R55))</f>
        <v>8.02</v>
      </c>
      <c r="Q18" s="265">
        <f>Purlin!I38</f>
        <v>15.89</v>
      </c>
      <c r="R18" s="289" t="str">
        <f>IF(Purlin!I44&lt;Purlin!I36,"OK","NO")</f>
        <v>OK</v>
      </c>
      <c r="S18" s="289" t="str">
        <f>IF(Purlin!J44&lt;Purlin!I37,"OK","NO")</f>
        <v>OK</v>
      </c>
    </row>
    <row r="19" spans="2:19" s="76" customFormat="1" ht="19.5" customHeight="1">
      <c r="B19" s="320"/>
      <c r="C19" s="320"/>
      <c r="D19" s="323"/>
      <c r="E19" s="323"/>
      <c r="F19" s="132">
        <v>2</v>
      </c>
      <c r="G19" s="131" t="s">
        <v>3</v>
      </c>
      <c r="H19" s="133">
        <v>5</v>
      </c>
      <c r="I19" s="95" t="str">
        <f>IF(G19="C",LOOKUP(H19,Channel!B7:B38,Channel!C7:C38),LOOKUP(H19,'Equal L'!B9:B55,'Equal L'!C9:C55))</f>
        <v>40 x 40</v>
      </c>
      <c r="J19" s="77">
        <f>IF(G19="C",LOOKUP(H19,Channel!B7:B38,Channel!D7:D38),LOOKUP(H19,'Equal L'!B9:B55,'Equal L'!D9:D55))</f>
        <v>3</v>
      </c>
      <c r="K19" s="77">
        <f>IF(G19="C",LOOKUP(H19,Channel!B7:B38,Channel!E7:E38),LOOKUP(H19,'Equal L'!B9:B55,'Equal L'!G9:G55))</f>
        <v>2.336</v>
      </c>
      <c r="L19" s="77">
        <f>IF(G19="C",LOOKUP(H19,Channel!B7:B38,Channel!F7:F38),LOOKUP(H19,'Equal L'!B9:B55,'Equal L'!H9:H55))</f>
        <v>1.83</v>
      </c>
      <c r="M19" s="77">
        <f>IF(G19="C",LOOKUP(H19,Channel!B7:B38,Channel!I7:I38),LOOKUP(H19,'Equal L'!B9:B55,'Equal L'!I9:I55))</f>
        <v>3.53</v>
      </c>
      <c r="N19" s="77">
        <f>IF(G19="C",LOOKUP(H19,Channel!B7:B38,Channel!J7:J38),LOOKUP(H19,'Equal L'!B9:B55,'Equal L'!J9:J55))</f>
        <v>3.53</v>
      </c>
      <c r="O19" s="147">
        <f>IF(G19="C",LOOKUP(H19,Channel!B7:B38,Channel!M7:M38),LOOKUP(H19,'Equal L'!B9:B55,'Equal L'!Q9:Q55))</f>
        <v>1.21</v>
      </c>
      <c r="P19" s="78">
        <f>IF(G19="C",LOOKUP(H19,Channel!B7:B38,Channel!N7:N38),LOOKUP(H19,'Equal L'!B9:B55,'Equal L'!R9:R55))</f>
        <v>1.21</v>
      </c>
      <c r="Q19" s="266">
        <f>Purlin!I38</f>
        <v>15.89</v>
      </c>
      <c r="R19" s="289" t="str">
        <f>IF(Purlin!I45&lt;Purlin!I36,"OK","NO")</f>
        <v>NO</v>
      </c>
      <c r="S19" s="289" t="str">
        <f>IF(Purlin!J45&lt;Purlin!I37,"OK","NO")</f>
        <v>NO</v>
      </c>
    </row>
    <row r="20" spans="2:19" s="76" customFormat="1" ht="19.5" customHeight="1">
      <c r="B20" s="321"/>
      <c r="C20" s="321"/>
      <c r="D20" s="324"/>
      <c r="E20" s="324"/>
      <c r="F20" s="135">
        <v>3</v>
      </c>
      <c r="G20" s="134" t="s">
        <v>3</v>
      </c>
      <c r="H20" s="136">
        <v>5</v>
      </c>
      <c r="I20" s="96" t="str">
        <f>IF(G20="C",LOOKUP(H20,Channel!B7:B38,Channel!C7:C38),LOOKUP(H20,'Equal L'!B9:B55,'Equal L'!C9:C55))</f>
        <v>40 x 40</v>
      </c>
      <c r="J20" s="86">
        <f>IF(G20="C",LOOKUP(H20,Channel!B7:B38,Channel!D7:D38),LOOKUP(H20,'Equal L'!B9:B55,'Equal L'!D9:D55))</f>
        <v>3</v>
      </c>
      <c r="K20" s="86">
        <f>IF(G20="C",LOOKUP(H20,Channel!B7:B38,Channel!E7:E38),LOOKUP(H20,'Equal L'!B9:B55,'Equal L'!G9:G55))</f>
        <v>2.336</v>
      </c>
      <c r="L20" s="86">
        <f>IF(G20="C",LOOKUP(H20,Channel!B7:B38,Channel!F7:F38),LOOKUP(H20,'Equal L'!B9:B55,'Equal L'!H9:H55))</f>
        <v>1.83</v>
      </c>
      <c r="M20" s="86">
        <f>IF(G20="C",LOOKUP(H20,Channel!B7:B38,Channel!I7:I38),LOOKUP(H20,'Equal L'!B9:B55,'Equal L'!I9:I55))</f>
        <v>3.53</v>
      </c>
      <c r="N20" s="86">
        <f>IF(G20="C",LOOKUP(H20,Channel!B7:B38,Channel!J7:J38),LOOKUP(H20,'Equal L'!B9:B55,'Equal L'!J9:J55))</f>
        <v>3.53</v>
      </c>
      <c r="O20" s="148">
        <f>IF(G20="C",LOOKUP(H20,Channel!B7:B38,Channel!M7:M38),LOOKUP(H20,'Equal L'!B9:B55,'Equal L'!Q9:Q55))</f>
        <v>1.21</v>
      </c>
      <c r="P20" s="87">
        <f>IF(G20="C",LOOKUP(H20,Channel!B7:B38,Channel!N7:N38),LOOKUP(H20,'Equal L'!B9:B55,'Equal L'!R9:R55))</f>
        <v>1.21</v>
      </c>
      <c r="Q20" s="267">
        <f>Purlin!I38</f>
        <v>15.89</v>
      </c>
      <c r="R20" s="289" t="str">
        <f>IF(Purlin!I46&lt;Purlin!I36,"OK","NO")</f>
        <v>NO</v>
      </c>
      <c r="S20" s="289" t="str">
        <f>IF(Purlin!J46&lt;Purlin!I37,"OK","NO")</f>
        <v>NO</v>
      </c>
    </row>
    <row r="21" spans="2:19" s="76" customFormat="1" ht="19.5" customHeight="1">
      <c r="B21" s="156" t="s">
        <v>107</v>
      </c>
      <c r="C21" s="154">
        <v>10</v>
      </c>
      <c r="D21" s="137">
        <f>Rafter!I10</f>
        <v>5.81</v>
      </c>
      <c r="E21" s="137">
        <f>D18</f>
        <v>4.5</v>
      </c>
      <c r="F21" s="138"/>
      <c r="G21" s="154" t="s">
        <v>106</v>
      </c>
      <c r="H21" s="155">
        <v>18</v>
      </c>
      <c r="I21" s="139" t="str">
        <f>IF(G21="C",LOOKUP(H21,Channel!B7:B38,Channel!C7:C38),LOOKUP(H21,'Equal L'!B9:B55,'Equal L'!C9:C55))</f>
        <v>150 x 75 x 20</v>
      </c>
      <c r="J21" s="140">
        <f>IF(G21="C",LOOKUP(H21,Channel!B7:B38,Channel!D7:D38),LOOKUP(H21,'Equal L'!B9:B55,'Equal L'!D9:D55))</f>
        <v>3.2</v>
      </c>
      <c r="K21" s="140">
        <f>IF(G21="C",LOOKUP(H21,Channel!B7:B38,Channel!E7:E38),LOOKUP(H21,'Equal L'!B9:B55,'Equal L'!G9:G55))</f>
        <v>10.21</v>
      </c>
      <c r="L21" s="140">
        <f>IF(G21="C",LOOKUP(H21,Channel!B7:B38,Channel!F7:F38),LOOKUP(H21,'Equal L'!B9:B55,'Equal L'!H9:H55))</f>
        <v>8.01</v>
      </c>
      <c r="M21" s="140">
        <f>IF(G21="C",LOOKUP(H21,Channel!B7:B38,Channel!I7:I38),LOOKUP(H21,'Equal L'!B9:B55,'Equal L'!I9:I55))</f>
        <v>366</v>
      </c>
      <c r="N21" s="140">
        <f>IF(G21="C",LOOKUP(H21,Channel!B7:B38,Channel!J7:J38),LOOKUP(H21,'Equal L'!B9:B55,'Equal L'!J9:J55))</f>
        <v>76.4</v>
      </c>
      <c r="O21" s="153">
        <f>IF(G21="C",LOOKUP(H21,Channel!B7:B38,Channel!M7:M38),LOOKUP(H21,'Equal L'!B9:B55,'Equal L'!Q9:Q55))</f>
        <v>48.9</v>
      </c>
      <c r="P21" s="141">
        <f>IF(G21="C",LOOKUP(H21,Channel!B7:B38,Channel!N7:N38),LOOKUP(H21,'Equal L'!B9:B55,'Equal L'!R9:R55))</f>
        <v>15.3</v>
      </c>
      <c r="Q21" s="268">
        <f>Rafter!I28</f>
        <v>98.15</v>
      </c>
      <c r="R21" s="289" t="str">
        <f>IF(Rafter!I34&lt;Rafter!I8,"OK","NO")</f>
        <v>NO</v>
      </c>
      <c r="S21" s="289" t="str">
        <f>IF(Rafter!J34&lt;Rafter!I29,"OK","NO")</f>
        <v>NO</v>
      </c>
    </row>
    <row r="22" spans="2:19" s="76" customFormat="1" ht="19.5" customHeight="1">
      <c r="B22" s="168" t="s">
        <v>120</v>
      </c>
      <c r="C22" s="72">
        <v>10</v>
      </c>
      <c r="D22" s="137">
        <f>Hip!I10</f>
        <v>8.07</v>
      </c>
      <c r="E22" s="137"/>
      <c r="F22" s="138"/>
      <c r="G22" s="72" t="s">
        <v>106</v>
      </c>
      <c r="H22" s="169">
        <v>24</v>
      </c>
      <c r="I22" s="139" t="str">
        <f>IF(G22="C",LOOKUP(H22,Channel!B7:B38,Channel!C7:C38),LOOKUP(H22,'Equal L'!B9:B55,'Equal L'!C9:C55))</f>
        <v>150 x 75 x 20</v>
      </c>
      <c r="J22" s="140">
        <f>IF(G22="C",LOOKUP(H22,Channel!B7:B38,Channel!D7:D38),LOOKUP(H22,'Equal L'!B9:B55,'Equal L'!D9:D55))</f>
        <v>4.5</v>
      </c>
      <c r="K22" s="140">
        <f>IF(G22="C",LOOKUP(H22,Channel!B7:B38,Channel!E7:E38),LOOKUP(H22,'Equal L'!B9:B55,'Equal L'!G9:G55))</f>
        <v>13.97</v>
      </c>
      <c r="L22" s="140">
        <f>IF(G22="C",LOOKUP(H22,Channel!B7:B38,Channel!F7:F38),LOOKUP(H22,'Equal L'!B9:B55,'Equal L'!H9:H55))</f>
        <v>11</v>
      </c>
      <c r="M22" s="140">
        <f>IF(G22="C",LOOKUP(H22,Channel!B7:B38,Channel!I7:I38),LOOKUP(H22,'Equal L'!B9:B55,'Equal L'!I9:I55))</f>
        <v>489</v>
      </c>
      <c r="N22" s="140">
        <f>IF(G22="C",LOOKUP(H22,Channel!B7:B38,Channel!J7:J38),LOOKUP(H22,'Equal L'!B9:B55,'Equal L'!J9:J55))</f>
        <v>99.2</v>
      </c>
      <c r="O22" s="153">
        <f>IF(G22="C",LOOKUP(H22,Channel!B7:B38,Channel!M7:M38),LOOKUP(H22,'Equal L'!B9:B55,'Equal L'!Q9:Q55))</f>
        <v>65.2</v>
      </c>
      <c r="P22" s="141">
        <f>IF(G22="C",LOOKUP(H22,Channel!B7:B38,Channel!N7:N38),LOOKUP(H22,'Equal L'!B9:B55,'Equal L'!R9:R55))</f>
        <v>19.8</v>
      </c>
      <c r="Q22" s="269">
        <f>Hip!I27</f>
        <v>55.82</v>
      </c>
      <c r="R22" s="289" t="str">
        <f>IF(Hip!I32&lt;Hip!I8,"OK","NO")</f>
        <v>OK</v>
      </c>
      <c r="S22" s="289" t="str">
        <f>IF(Hip!J32&lt;Hip!I28,"OK","NO")</f>
        <v>NO</v>
      </c>
    </row>
    <row r="23" spans="2:19" s="76" customFormat="1" ht="19.5" customHeight="1">
      <c r="B23" s="168" t="s">
        <v>255</v>
      </c>
      <c r="C23" s="72">
        <v>10</v>
      </c>
      <c r="D23" s="137">
        <f>Valley!I10</f>
        <v>8.07</v>
      </c>
      <c r="E23" s="137"/>
      <c r="F23" s="138"/>
      <c r="G23" s="72" t="s">
        <v>106</v>
      </c>
      <c r="H23" s="169">
        <v>24</v>
      </c>
      <c r="I23" s="139" t="str">
        <f>IF(G23="C",LOOKUP(H23,Channel!B7:B38,Channel!C7:C38),LOOKUP(H23,'Equal L'!B9:B55,'Equal L'!C9:C55))</f>
        <v>150 x 75 x 20</v>
      </c>
      <c r="J23" s="140">
        <f>IF(G23="C",LOOKUP(H23,Channel!B7:B38,Channel!D7:D38),LOOKUP(H23,'Equal L'!B9:B55,'Equal L'!D9:D55))</f>
        <v>4.5</v>
      </c>
      <c r="K23" s="140">
        <f>IF(G23="C",LOOKUP(H23,Channel!B7:B38,Channel!E7:E38),LOOKUP(H23,'Equal L'!B9:B55,'Equal L'!G9:G55))</f>
        <v>13.97</v>
      </c>
      <c r="L23" s="140">
        <f>IF(G23="C",LOOKUP(H23,Channel!B7:B38,Channel!F7:F38),LOOKUP(H23,'Equal L'!B9:B55,'Equal L'!H9:H55))</f>
        <v>11</v>
      </c>
      <c r="M23" s="140">
        <f>IF(G23="C",LOOKUP(H23,Channel!B7:B38,Channel!I7:I38),LOOKUP(H23,'Equal L'!B9:B55,'Equal L'!I9:I55))</f>
        <v>489</v>
      </c>
      <c r="N23" s="140">
        <f>IF(G23="C",LOOKUP(H23,Channel!B7:B38,Channel!J7:J38),LOOKUP(H23,'Equal L'!B9:B55,'Equal L'!J9:J55))</f>
        <v>99.2</v>
      </c>
      <c r="O23" s="153">
        <f>IF(G23="C",LOOKUP(H23,Channel!B7:B38,Channel!M7:M38),LOOKUP(H23,'Equal L'!B9:B55,'Equal L'!Q9:Q55))</f>
        <v>65.2</v>
      </c>
      <c r="P23" s="141">
        <f>IF(G23="C",LOOKUP(H23,Channel!B7:B38,Channel!N7:N38),LOOKUP(H23,'Equal L'!B9:B55,'Equal L'!R9:R55))</f>
        <v>19.8</v>
      </c>
      <c r="Q23" s="269">
        <f>Hip!I27</f>
        <v>55.82</v>
      </c>
      <c r="R23" s="289" t="str">
        <f>IF(Valley!I32&lt;Valley!I8,"OK","NO")</f>
        <v>OK</v>
      </c>
      <c r="S23" s="289" t="str">
        <f>IF(Valley!J32&lt;Valley!I28,"OK","NO")</f>
        <v>NO</v>
      </c>
    </row>
    <row r="24" spans="2:19" s="76" customFormat="1" ht="19.5" customHeight="1">
      <c r="B24" s="159" t="s">
        <v>111</v>
      </c>
      <c r="C24" s="160">
        <v>10</v>
      </c>
      <c r="D24" s="162">
        <v>5</v>
      </c>
      <c r="E24" s="137"/>
      <c r="F24" s="138"/>
      <c r="G24" s="160" t="s">
        <v>106</v>
      </c>
      <c r="H24" s="161">
        <v>31</v>
      </c>
      <c r="I24" s="139" t="str">
        <f>IF(G24="C",LOOKUP(H24,Channel!B7:B38,Channel!C7:C38),LOOKUP(H24,'Equal L'!B9:B55,'Equal L'!C9:C55))</f>
        <v>200 x 75 x 25</v>
      </c>
      <c r="J24" s="140">
        <f>IF(G24="C",LOOKUP(H24,Channel!B7:B38,Channel!D7:D38),LOOKUP(H24,'Equal L'!B9:B55,'Equal L'!D9:D55))</f>
        <v>4.5</v>
      </c>
      <c r="K24" s="140">
        <f>IF(G24="C",LOOKUP(H24,Channel!B7:B38,Channel!E7:E38),LOOKUP(H24,'Equal L'!B9:B55,'Equal L'!G9:G55))</f>
        <v>16.67</v>
      </c>
      <c r="L24" s="140">
        <f>IF(G24="C",LOOKUP(H24,Channel!B7:B38,Channel!F7:F38),LOOKUP(H24,'Equal L'!B9:B55,'Equal L'!H9:H55))</f>
        <v>13.1</v>
      </c>
      <c r="M24" s="140">
        <f>IF(G24="C",LOOKUP(H24,Channel!B7:B38,Channel!I7:I38),LOOKUP(H24,'Equal L'!B9:B55,'Equal L'!I9:I55))</f>
        <v>990</v>
      </c>
      <c r="N24" s="140">
        <f>IF(G24="C",LOOKUP(H24,Channel!B7:B38,Channel!J7:J38),LOOKUP(H24,'Equal L'!B9:B55,'Equal L'!J9:J55))</f>
        <v>121</v>
      </c>
      <c r="O24" s="153">
        <f>IF(G24="C",LOOKUP(H24,Channel!B7:B38,Channel!M7:M38),LOOKUP(H24,'Equal L'!B9:B55,'Equal L'!Q9:Q55))</f>
        <v>99</v>
      </c>
      <c r="P24" s="141">
        <f>IF(G24="C",LOOKUP(H24,Channel!B7:B38,Channel!N7:N38),LOOKUP(H24,'Equal L'!B9:B55,'Equal L'!R9:R55))</f>
        <v>23.3</v>
      </c>
      <c r="Q24" s="269">
        <f>Ridge!J24</f>
        <v>40.36</v>
      </c>
      <c r="R24" s="289" t="str">
        <f>IF(Ridge!J31&lt;Ridge!J8,"OK","NO")</f>
        <v>OK</v>
      </c>
      <c r="S24" s="289" t="str">
        <f>IF(Ridge!K31&lt;Ridge!J25,"OK","NO")</f>
        <v>OK</v>
      </c>
    </row>
    <row r="25" spans="2:19" s="76" customFormat="1" ht="19.5" customHeight="1">
      <c r="B25" s="165" t="s">
        <v>112</v>
      </c>
      <c r="C25" s="166"/>
      <c r="D25" s="171"/>
      <c r="E25" s="142"/>
      <c r="F25" s="143"/>
      <c r="G25" s="166" t="s">
        <v>106</v>
      </c>
      <c r="H25" s="167">
        <v>31</v>
      </c>
      <c r="I25" s="96" t="str">
        <f>IF(G25="C",LOOKUP(H25,Channel!B7:B38,Channel!C7:C38),LOOKUP(H25,'Equal L'!B9:B55,'Equal L'!C9:C55))</f>
        <v>200 x 75 x 25</v>
      </c>
      <c r="J25" s="86">
        <f>IF(G25="C",LOOKUP(H25,Channel!B7:B38,Channel!D7:D38),LOOKUP(H25,'Equal L'!B9:B55,'Equal L'!D9:D55))</f>
        <v>4.5</v>
      </c>
      <c r="K25" s="86">
        <f>IF(G25="C",LOOKUP(H25,Channel!B7:B38,Channel!E7:E38),LOOKUP(H25,'Equal L'!B9:B55,'Equal L'!G9:G55))</f>
        <v>16.67</v>
      </c>
      <c r="L25" s="86">
        <f>IF(G25="C",LOOKUP(H25,Channel!B7:B38,Channel!F7:F38),LOOKUP(H25,'Equal L'!B9:B55,'Equal L'!H9:H55))</f>
        <v>13.1</v>
      </c>
      <c r="M25" s="86">
        <f>IF(G25="C",LOOKUP(H25,Channel!B7:B38,Channel!I7:I38),LOOKUP(H25,'Equal L'!B9:B55,'Equal L'!I9:I55))</f>
        <v>990</v>
      </c>
      <c r="N25" s="86">
        <f>IF(G25="C",LOOKUP(H25,Channel!B7:B38,Channel!J7:J38),LOOKUP(H25,'Equal L'!B9:B55,'Equal L'!J9:J55))</f>
        <v>121</v>
      </c>
      <c r="O25" s="148">
        <f>IF(G25="C",LOOKUP(H25,Channel!B7:B38,Channel!M7:M38),LOOKUP(H25,'Equal L'!B9:B55,'Equal L'!Q9:Q55))</f>
        <v>99</v>
      </c>
      <c r="P25" s="87">
        <f>IF(G25="C",LOOKUP(H25,Channel!B7:B38,Channel!N7:N38),LOOKUP(H25,'Equal L'!B9:B55,'Equal L'!R9:R55))</f>
        <v>23.3</v>
      </c>
      <c r="Q25" s="270"/>
      <c r="R25" s="290"/>
      <c r="S25" s="291"/>
    </row>
  </sheetData>
  <sheetProtection/>
  <mergeCells count="27">
    <mergeCell ref="B16:B17"/>
    <mergeCell ref="G16:H16"/>
    <mergeCell ref="Q16:Q17"/>
    <mergeCell ref="R16:R17"/>
    <mergeCell ref="S16:S17"/>
    <mergeCell ref="B18:B20"/>
    <mergeCell ref="C18:C20"/>
    <mergeCell ref="D18:D20"/>
    <mergeCell ref="E18:E20"/>
    <mergeCell ref="F10:G10"/>
    <mergeCell ref="Q10:R10"/>
    <mergeCell ref="F11:G11"/>
    <mergeCell ref="B15:H15"/>
    <mergeCell ref="I15:P15"/>
    <mergeCell ref="Q15:S15"/>
    <mergeCell ref="L7:M7"/>
    <mergeCell ref="Q7:R7"/>
    <mergeCell ref="F8:G8"/>
    <mergeCell ref="Q8:R8"/>
    <mergeCell ref="F9:G9"/>
    <mergeCell ref="Q9:R9"/>
    <mergeCell ref="B2:S2"/>
    <mergeCell ref="F5:G5"/>
    <mergeCell ref="L5:M5"/>
    <mergeCell ref="F6:G6"/>
    <mergeCell ref="L6:M6"/>
    <mergeCell ref="Q6:R6"/>
  </mergeCells>
  <printOptions/>
  <pageMargins left="0.7480314960629921" right="0.7480314960629921" top="0.984251968503937" bottom="0.984251968503937" header="0.5118110236220472" footer="0.5118110236220472"/>
  <pageSetup orientation="portrait" paperSize="9" scale="9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B2:T55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" width="2.8515625" style="10" customWidth="1"/>
    <col min="2" max="2" width="4.8515625" style="11" customWidth="1"/>
    <col min="3" max="3" width="7.57421875" style="50" customWidth="1"/>
    <col min="4" max="6" width="4.28125" style="10" customWidth="1"/>
    <col min="7" max="7" width="6.7109375" style="10" customWidth="1"/>
    <col min="8" max="20" width="5.421875" style="10" customWidth="1"/>
    <col min="21" max="16384" width="9.140625" style="10" customWidth="1"/>
  </cols>
  <sheetData>
    <row r="1" ht="11.25" thickBot="1"/>
    <row r="2" spans="2:20" s="9" customFormat="1" ht="30.75">
      <c r="B2" s="48"/>
      <c r="C2" s="381" t="s">
        <v>66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2"/>
    </row>
    <row r="3" spans="2:20" s="47" customFormat="1" ht="22.5" customHeight="1" thickBot="1">
      <c r="B3" s="65"/>
      <c r="C3" s="383" t="s">
        <v>67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4"/>
    </row>
    <row r="4" spans="2:20" ht="10.5">
      <c r="B4" s="372" t="s">
        <v>65</v>
      </c>
      <c r="C4" s="368" t="s">
        <v>23</v>
      </c>
      <c r="D4" s="368"/>
      <c r="E4" s="368"/>
      <c r="F4" s="369"/>
      <c r="G4" s="23" t="s">
        <v>64</v>
      </c>
      <c r="H4" s="23" t="s">
        <v>27</v>
      </c>
      <c r="I4" s="377" t="s">
        <v>32</v>
      </c>
      <c r="J4" s="368"/>
      <c r="K4" s="368"/>
      <c r="L4" s="369"/>
      <c r="M4" s="377" t="s">
        <v>34</v>
      </c>
      <c r="N4" s="368"/>
      <c r="O4" s="368"/>
      <c r="P4" s="369"/>
      <c r="Q4" s="377" t="s">
        <v>70</v>
      </c>
      <c r="R4" s="369"/>
      <c r="S4" s="377" t="s">
        <v>72</v>
      </c>
      <c r="T4" s="378"/>
    </row>
    <row r="5" spans="2:20" ht="10.5">
      <c r="B5" s="357"/>
      <c r="C5" s="368" t="s">
        <v>68</v>
      </c>
      <c r="D5" s="368"/>
      <c r="E5" s="368"/>
      <c r="F5" s="369"/>
      <c r="G5" s="23" t="s">
        <v>25</v>
      </c>
      <c r="H5" s="23" t="s">
        <v>28</v>
      </c>
      <c r="I5" s="377" t="s">
        <v>33</v>
      </c>
      <c r="J5" s="368"/>
      <c r="K5" s="368"/>
      <c r="L5" s="369"/>
      <c r="M5" s="377" t="s">
        <v>35</v>
      </c>
      <c r="N5" s="368"/>
      <c r="O5" s="368"/>
      <c r="P5" s="369"/>
      <c r="Q5" s="377" t="s">
        <v>71</v>
      </c>
      <c r="R5" s="369"/>
      <c r="S5" s="377" t="s">
        <v>73</v>
      </c>
      <c r="T5" s="378"/>
    </row>
    <row r="6" spans="2:20" ht="10.5">
      <c r="B6" s="357"/>
      <c r="C6" s="370"/>
      <c r="D6" s="370"/>
      <c r="E6" s="370"/>
      <c r="F6" s="371"/>
      <c r="G6" s="23" t="s">
        <v>69</v>
      </c>
      <c r="H6" s="51"/>
      <c r="I6" s="380"/>
      <c r="J6" s="370"/>
      <c r="K6" s="370"/>
      <c r="L6" s="371"/>
      <c r="M6" s="380"/>
      <c r="N6" s="370"/>
      <c r="O6" s="370"/>
      <c r="P6" s="371"/>
      <c r="Q6" s="347" t="s">
        <v>37</v>
      </c>
      <c r="R6" s="348"/>
      <c r="S6" s="347" t="s">
        <v>74</v>
      </c>
      <c r="T6" s="379"/>
    </row>
    <row r="7" spans="2:20" ht="10.5">
      <c r="B7" s="357"/>
      <c r="C7" s="373" t="s">
        <v>75</v>
      </c>
      <c r="D7" s="375" t="s">
        <v>40</v>
      </c>
      <c r="E7" s="375" t="s">
        <v>76</v>
      </c>
      <c r="F7" s="375" t="s">
        <v>77</v>
      </c>
      <c r="G7" s="51"/>
      <c r="H7" s="51"/>
      <c r="I7" s="375" t="s">
        <v>43</v>
      </c>
      <c r="J7" s="375" t="s">
        <v>21</v>
      </c>
      <c r="K7" s="375" t="s">
        <v>78</v>
      </c>
      <c r="L7" s="375" t="s">
        <v>79</v>
      </c>
      <c r="M7" s="375" t="s">
        <v>44</v>
      </c>
      <c r="N7" s="375" t="s">
        <v>45</v>
      </c>
      <c r="O7" s="375" t="s">
        <v>80</v>
      </c>
      <c r="P7" s="375" t="s">
        <v>81</v>
      </c>
      <c r="Q7" s="375" t="s">
        <v>46</v>
      </c>
      <c r="R7" s="375" t="s">
        <v>47</v>
      </c>
      <c r="S7" s="375" t="s">
        <v>82</v>
      </c>
      <c r="T7" s="385" t="s">
        <v>83</v>
      </c>
    </row>
    <row r="8" spans="2:20" ht="10.5">
      <c r="B8" s="357"/>
      <c r="C8" s="374"/>
      <c r="D8" s="376"/>
      <c r="E8" s="376"/>
      <c r="F8" s="376"/>
      <c r="G8" s="25"/>
      <c r="H8" s="25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86"/>
    </row>
    <row r="9" spans="2:20" ht="10.5">
      <c r="B9" s="22">
        <v>1</v>
      </c>
      <c r="C9" s="53" t="s">
        <v>84</v>
      </c>
      <c r="D9" s="44">
        <v>3</v>
      </c>
      <c r="E9" s="12">
        <v>4</v>
      </c>
      <c r="F9" s="12">
        <v>2</v>
      </c>
      <c r="G9" s="12">
        <v>1.427</v>
      </c>
      <c r="H9" s="52">
        <v>1.12</v>
      </c>
      <c r="I9" s="44">
        <v>0.797</v>
      </c>
      <c r="J9" s="44">
        <v>0.797</v>
      </c>
      <c r="K9" s="12">
        <v>1.26</v>
      </c>
      <c r="L9" s="12">
        <v>0.332</v>
      </c>
      <c r="M9" s="12">
        <v>0.747</v>
      </c>
      <c r="N9" s="12">
        <v>0.747</v>
      </c>
      <c r="O9" s="12">
        <v>0.94</v>
      </c>
      <c r="P9" s="12">
        <v>0.433</v>
      </c>
      <c r="Q9" s="40">
        <v>0.448</v>
      </c>
      <c r="R9" s="40">
        <v>0.448</v>
      </c>
      <c r="S9" s="12">
        <v>0.719</v>
      </c>
      <c r="T9" s="13">
        <v>0.719</v>
      </c>
    </row>
    <row r="10" spans="2:20" ht="10.5">
      <c r="B10" s="22">
        <f>B9+1</f>
        <v>2</v>
      </c>
      <c r="C10" s="53" t="s">
        <v>84</v>
      </c>
      <c r="D10" s="44">
        <v>5</v>
      </c>
      <c r="E10" s="12">
        <v>3.5</v>
      </c>
      <c r="F10" s="12">
        <v>2.4</v>
      </c>
      <c r="G10" s="12">
        <v>2.26</v>
      </c>
      <c r="H10" s="52">
        <v>1.77</v>
      </c>
      <c r="I10" s="44">
        <v>1.2</v>
      </c>
      <c r="J10" s="44">
        <v>1.2</v>
      </c>
      <c r="K10" s="12">
        <v>1.89</v>
      </c>
      <c r="L10" s="12">
        <v>0.52</v>
      </c>
      <c r="M10" s="12">
        <v>0.73</v>
      </c>
      <c r="N10" s="12">
        <v>0.73</v>
      </c>
      <c r="O10" s="12">
        <v>0.91</v>
      </c>
      <c r="P10" s="12">
        <v>0.43</v>
      </c>
      <c r="Q10" s="40">
        <v>0.45</v>
      </c>
      <c r="R10" s="40">
        <v>0.45</v>
      </c>
      <c r="S10" s="12">
        <v>0.8</v>
      </c>
      <c r="T10" s="13">
        <v>0.8</v>
      </c>
    </row>
    <row r="11" spans="2:20" ht="10.5">
      <c r="B11" s="22">
        <f aca="true" t="shared" si="0" ref="B11:B55">B10+1</f>
        <v>3</v>
      </c>
      <c r="C11" s="53" t="s">
        <v>85</v>
      </c>
      <c r="D11" s="44">
        <v>3</v>
      </c>
      <c r="E11" s="12">
        <v>4</v>
      </c>
      <c r="F11" s="12">
        <v>2</v>
      </c>
      <c r="G11" s="12">
        <v>1.727</v>
      </c>
      <c r="H11" s="52">
        <v>1.36</v>
      </c>
      <c r="I11" s="44">
        <v>1.42</v>
      </c>
      <c r="J11" s="44">
        <v>1.42</v>
      </c>
      <c r="K11" s="12">
        <v>2.26</v>
      </c>
      <c r="L11" s="12">
        <v>0.59</v>
      </c>
      <c r="M11" s="12">
        <v>0.908</v>
      </c>
      <c r="N11" s="12">
        <v>0.908</v>
      </c>
      <c r="O11" s="12">
        <v>1.14</v>
      </c>
      <c r="P11" s="12">
        <v>0.585</v>
      </c>
      <c r="Q11" s="40">
        <v>0.661</v>
      </c>
      <c r="R11" s="40">
        <v>0.661</v>
      </c>
      <c r="S11" s="12">
        <v>0.844</v>
      </c>
      <c r="T11" s="13">
        <v>0.844</v>
      </c>
    </row>
    <row r="12" spans="2:20" ht="10.5">
      <c r="B12" s="22">
        <f t="shared" si="0"/>
        <v>4</v>
      </c>
      <c r="C12" s="53" t="s">
        <v>85</v>
      </c>
      <c r="D12" s="44">
        <v>5</v>
      </c>
      <c r="E12" s="12">
        <v>5</v>
      </c>
      <c r="F12" s="12">
        <v>2.4</v>
      </c>
      <c r="G12" s="12">
        <v>2.78</v>
      </c>
      <c r="H12" s="52">
        <v>2.18</v>
      </c>
      <c r="I12" s="44">
        <v>2.16</v>
      </c>
      <c r="J12" s="44">
        <v>2.16</v>
      </c>
      <c r="K12" s="12">
        <v>3.41</v>
      </c>
      <c r="L12" s="12">
        <v>0.92</v>
      </c>
      <c r="M12" s="12">
        <v>0.88</v>
      </c>
      <c r="N12" s="12">
        <v>0.88</v>
      </c>
      <c r="O12" s="12">
        <v>1.11</v>
      </c>
      <c r="P12" s="12">
        <v>0.57</v>
      </c>
      <c r="Q12" s="40">
        <v>1.04</v>
      </c>
      <c r="R12" s="40">
        <v>1.04</v>
      </c>
      <c r="S12" s="12">
        <v>0.92</v>
      </c>
      <c r="T12" s="13">
        <v>0.92</v>
      </c>
    </row>
    <row r="13" spans="2:20" ht="10.5">
      <c r="B13" s="22">
        <f t="shared" si="0"/>
        <v>5</v>
      </c>
      <c r="C13" s="53" t="s">
        <v>86</v>
      </c>
      <c r="D13" s="44">
        <v>3</v>
      </c>
      <c r="E13" s="12">
        <v>4.5</v>
      </c>
      <c r="F13" s="12">
        <v>2</v>
      </c>
      <c r="G13" s="12">
        <v>2.336</v>
      </c>
      <c r="H13" s="52">
        <v>1.83</v>
      </c>
      <c r="I13" s="44">
        <v>3.53</v>
      </c>
      <c r="J13" s="44">
        <v>3.53</v>
      </c>
      <c r="K13" s="12">
        <v>5.6</v>
      </c>
      <c r="L13" s="12">
        <v>1.46</v>
      </c>
      <c r="M13" s="12">
        <v>1.23</v>
      </c>
      <c r="N13" s="12">
        <v>1.23</v>
      </c>
      <c r="O13" s="12">
        <v>1.55</v>
      </c>
      <c r="P13" s="12">
        <v>0.79</v>
      </c>
      <c r="Q13" s="40">
        <v>1.21</v>
      </c>
      <c r="R13" s="40">
        <v>1.21</v>
      </c>
      <c r="S13" s="12">
        <v>1.09</v>
      </c>
      <c r="T13" s="13">
        <v>1.09</v>
      </c>
    </row>
    <row r="14" spans="2:20" ht="10.5">
      <c r="B14" s="22">
        <f t="shared" si="0"/>
        <v>6</v>
      </c>
      <c r="C14" s="53" t="s">
        <v>86</v>
      </c>
      <c r="D14" s="44">
        <v>4</v>
      </c>
      <c r="E14" s="12">
        <v>6</v>
      </c>
      <c r="F14" s="12">
        <v>2.4</v>
      </c>
      <c r="G14" s="12">
        <v>3.08</v>
      </c>
      <c r="H14" s="52">
        <v>2.42</v>
      </c>
      <c r="I14" s="44">
        <v>4.47</v>
      </c>
      <c r="J14" s="44">
        <v>4.47</v>
      </c>
      <c r="K14" s="12">
        <v>7.09</v>
      </c>
      <c r="L14" s="12">
        <v>1.85</v>
      </c>
      <c r="M14" s="12">
        <v>1.21</v>
      </c>
      <c r="N14" s="12">
        <v>1.21</v>
      </c>
      <c r="O14" s="12">
        <v>1.52</v>
      </c>
      <c r="P14" s="12">
        <v>0.78</v>
      </c>
      <c r="Q14" s="40">
        <v>1.55</v>
      </c>
      <c r="R14" s="40">
        <v>1.55</v>
      </c>
      <c r="S14" s="12">
        <v>1.12</v>
      </c>
      <c r="T14" s="13">
        <v>1.12</v>
      </c>
    </row>
    <row r="15" spans="2:20" ht="10.5">
      <c r="B15" s="22">
        <f t="shared" si="0"/>
        <v>7</v>
      </c>
      <c r="C15" s="53" t="s">
        <v>88</v>
      </c>
      <c r="D15" s="44">
        <v>3</v>
      </c>
      <c r="E15" s="12">
        <v>7</v>
      </c>
      <c r="F15" s="12">
        <v>2.4</v>
      </c>
      <c r="G15" s="12">
        <v>2.96</v>
      </c>
      <c r="H15" s="52">
        <v>1.3</v>
      </c>
      <c r="I15" s="44">
        <v>6.86</v>
      </c>
      <c r="J15" s="44">
        <v>6.86</v>
      </c>
      <c r="K15" s="12">
        <v>10.8</v>
      </c>
      <c r="L15" s="12">
        <v>2.88</v>
      </c>
      <c r="M15" s="12">
        <v>1.52</v>
      </c>
      <c r="N15" s="12">
        <v>1.52</v>
      </c>
      <c r="O15" s="12">
        <v>1.91</v>
      </c>
      <c r="P15" s="12">
        <v>0.99</v>
      </c>
      <c r="Q15" s="40">
        <v>1.86</v>
      </c>
      <c r="R15" s="40">
        <v>1.86</v>
      </c>
      <c r="S15" s="12">
        <v>2.33</v>
      </c>
      <c r="T15" s="13">
        <v>1.31</v>
      </c>
    </row>
    <row r="16" spans="2:20" ht="10.5">
      <c r="B16" s="22">
        <f t="shared" si="0"/>
        <v>8</v>
      </c>
      <c r="C16" s="53" t="s">
        <v>86</v>
      </c>
      <c r="D16" s="44">
        <v>5</v>
      </c>
      <c r="E16" s="12">
        <v>4.5</v>
      </c>
      <c r="F16" s="12">
        <v>3</v>
      </c>
      <c r="G16" s="12">
        <v>3.755</v>
      </c>
      <c r="H16" s="52">
        <v>2.95</v>
      </c>
      <c r="I16" s="44">
        <v>5.42</v>
      </c>
      <c r="J16" s="44">
        <v>5.42</v>
      </c>
      <c r="K16" s="12">
        <v>8.59</v>
      </c>
      <c r="L16" s="12">
        <v>2.25</v>
      </c>
      <c r="M16" s="12">
        <v>1.2</v>
      </c>
      <c r="N16" s="12">
        <v>1.2</v>
      </c>
      <c r="O16" s="12">
        <v>1.51</v>
      </c>
      <c r="P16" s="12">
        <v>0.774</v>
      </c>
      <c r="Q16" s="40">
        <v>1.91</v>
      </c>
      <c r="R16" s="40">
        <v>1.91</v>
      </c>
      <c r="S16" s="12">
        <v>1.17</v>
      </c>
      <c r="T16" s="13">
        <v>1.17</v>
      </c>
    </row>
    <row r="17" spans="2:20" ht="10.5">
      <c r="B17" s="22">
        <f t="shared" si="0"/>
        <v>9</v>
      </c>
      <c r="C17" s="53" t="s">
        <v>87</v>
      </c>
      <c r="D17" s="44">
        <v>4</v>
      </c>
      <c r="E17" s="12">
        <v>6.5</v>
      </c>
      <c r="F17" s="12">
        <v>3</v>
      </c>
      <c r="G17" s="12">
        <v>3.492</v>
      </c>
      <c r="H17" s="52">
        <v>2.74</v>
      </c>
      <c r="I17" s="44">
        <v>6.5</v>
      </c>
      <c r="J17" s="44">
        <v>6.5</v>
      </c>
      <c r="K17" s="12">
        <v>10.3</v>
      </c>
      <c r="L17" s="12">
        <v>2.7</v>
      </c>
      <c r="M17" s="12">
        <v>1.36</v>
      </c>
      <c r="N17" s="12">
        <v>1.36</v>
      </c>
      <c r="O17" s="12">
        <v>1.72</v>
      </c>
      <c r="P17" s="12">
        <v>0.88</v>
      </c>
      <c r="Q17" s="40">
        <v>2</v>
      </c>
      <c r="R17" s="40">
        <v>2</v>
      </c>
      <c r="S17" s="12">
        <v>1.24</v>
      </c>
      <c r="T17" s="13">
        <v>1.24</v>
      </c>
    </row>
    <row r="18" spans="2:20" ht="10.5">
      <c r="B18" s="22">
        <f t="shared" si="0"/>
        <v>10</v>
      </c>
      <c r="C18" s="53" t="s">
        <v>86</v>
      </c>
      <c r="D18" s="44">
        <v>6</v>
      </c>
      <c r="E18" s="12">
        <v>6</v>
      </c>
      <c r="F18" s="12">
        <v>2.4</v>
      </c>
      <c r="G18" s="12">
        <v>4.48</v>
      </c>
      <c r="H18" s="52">
        <v>3.52</v>
      </c>
      <c r="I18" s="44">
        <v>6.31</v>
      </c>
      <c r="J18" s="44">
        <v>6.31</v>
      </c>
      <c r="K18" s="12">
        <v>9.98</v>
      </c>
      <c r="L18" s="12">
        <v>2.65</v>
      </c>
      <c r="M18" s="12">
        <v>1.19</v>
      </c>
      <c r="N18" s="12">
        <v>1.19</v>
      </c>
      <c r="O18" s="12">
        <v>149</v>
      </c>
      <c r="P18" s="12">
        <v>0.77</v>
      </c>
      <c r="Q18" s="40">
        <v>2.26</v>
      </c>
      <c r="R18" s="40">
        <v>2.26</v>
      </c>
      <c r="S18" s="12">
        <v>1.2</v>
      </c>
      <c r="T18" s="13">
        <v>1.2</v>
      </c>
    </row>
    <row r="19" spans="2:20" ht="10.5">
      <c r="B19" s="22">
        <f t="shared" si="0"/>
        <v>11</v>
      </c>
      <c r="C19" s="53" t="s">
        <v>87</v>
      </c>
      <c r="D19" s="44">
        <v>5</v>
      </c>
      <c r="E19" s="12">
        <v>6.5</v>
      </c>
      <c r="F19" s="12">
        <v>3</v>
      </c>
      <c r="G19" s="12">
        <v>4.302</v>
      </c>
      <c r="H19" s="52">
        <v>3.38</v>
      </c>
      <c r="I19" s="44">
        <v>7.91</v>
      </c>
      <c r="J19" s="44">
        <v>7.91</v>
      </c>
      <c r="K19" s="12">
        <v>12.5</v>
      </c>
      <c r="L19" s="12">
        <v>3.29</v>
      </c>
      <c r="M19" s="12">
        <v>1.36</v>
      </c>
      <c r="N19" s="12">
        <v>1.36</v>
      </c>
      <c r="O19" s="12">
        <v>1.71</v>
      </c>
      <c r="P19" s="12">
        <v>0.874</v>
      </c>
      <c r="Q19" s="40">
        <v>2.46</v>
      </c>
      <c r="R19" s="40">
        <v>2.46</v>
      </c>
      <c r="S19" s="12">
        <v>1.28</v>
      </c>
      <c r="T19" s="13">
        <v>1.28</v>
      </c>
    </row>
    <row r="20" spans="2:20" ht="10.5">
      <c r="B20" s="22">
        <f t="shared" si="0"/>
        <v>12</v>
      </c>
      <c r="C20" s="53" t="s">
        <v>88</v>
      </c>
      <c r="D20" s="44">
        <v>4</v>
      </c>
      <c r="E20" s="12">
        <v>6.5</v>
      </c>
      <c r="F20" s="12">
        <v>3</v>
      </c>
      <c r="G20" s="12">
        <v>3.892</v>
      </c>
      <c r="H20" s="52">
        <v>3.06</v>
      </c>
      <c r="I20" s="44">
        <v>9.06</v>
      </c>
      <c r="J20" s="44">
        <v>9.06</v>
      </c>
      <c r="K20" s="12">
        <v>14.4</v>
      </c>
      <c r="L20" s="12">
        <v>3.76</v>
      </c>
      <c r="M20" s="12">
        <v>1.53</v>
      </c>
      <c r="N20" s="12">
        <v>1.53</v>
      </c>
      <c r="O20" s="12">
        <v>1.92</v>
      </c>
      <c r="P20" s="12">
        <v>0.983</v>
      </c>
      <c r="Q20" s="40">
        <v>2.49</v>
      </c>
      <c r="R20" s="40">
        <v>2.49</v>
      </c>
      <c r="S20" s="12">
        <v>1.37</v>
      </c>
      <c r="T20" s="13">
        <v>1.37</v>
      </c>
    </row>
    <row r="21" spans="2:20" ht="10.5">
      <c r="B21" s="22">
        <f t="shared" si="0"/>
        <v>13</v>
      </c>
      <c r="C21" s="53" t="s">
        <v>88</v>
      </c>
      <c r="D21" s="44">
        <v>5</v>
      </c>
      <c r="E21" s="12">
        <v>6.5</v>
      </c>
      <c r="F21" s="12">
        <v>3</v>
      </c>
      <c r="G21" s="12">
        <v>4.802</v>
      </c>
      <c r="H21" s="52">
        <v>3.77</v>
      </c>
      <c r="I21" s="44">
        <v>11.1</v>
      </c>
      <c r="J21" s="44">
        <v>11.1</v>
      </c>
      <c r="K21" s="12">
        <v>17.5</v>
      </c>
      <c r="L21" s="12">
        <v>4.58</v>
      </c>
      <c r="M21" s="12">
        <v>1.52</v>
      </c>
      <c r="N21" s="12">
        <v>1.52</v>
      </c>
      <c r="O21" s="12">
        <v>1.91</v>
      </c>
      <c r="P21" s="12">
        <v>0.976</v>
      </c>
      <c r="Q21" s="40">
        <v>3.08</v>
      </c>
      <c r="R21" s="40">
        <v>3.08</v>
      </c>
      <c r="S21" s="12">
        <v>1.41</v>
      </c>
      <c r="T21" s="13">
        <v>1.41</v>
      </c>
    </row>
    <row r="22" spans="2:20" ht="10.5">
      <c r="B22" s="22">
        <f t="shared" si="0"/>
        <v>14</v>
      </c>
      <c r="C22" s="53" t="s">
        <v>88</v>
      </c>
      <c r="D22" s="44">
        <v>6</v>
      </c>
      <c r="E22" s="12">
        <v>6.5</v>
      </c>
      <c r="F22" s="12">
        <v>4.5</v>
      </c>
      <c r="G22" s="12">
        <v>1.5</v>
      </c>
      <c r="H22" s="52">
        <v>5.644</v>
      </c>
      <c r="I22" s="44">
        <v>4.43</v>
      </c>
      <c r="J22" s="44">
        <v>12.6</v>
      </c>
      <c r="K22" s="12">
        <v>12.6</v>
      </c>
      <c r="L22" s="12">
        <v>20</v>
      </c>
      <c r="M22" s="12">
        <v>5.23</v>
      </c>
      <c r="N22" s="12">
        <v>1.5</v>
      </c>
      <c r="O22" s="12">
        <v>1.88</v>
      </c>
      <c r="P22" s="12">
        <v>0.963</v>
      </c>
      <c r="Q22" s="40">
        <v>3.55</v>
      </c>
      <c r="R22" s="40">
        <v>3.55</v>
      </c>
      <c r="S22" s="12">
        <v>1.44</v>
      </c>
      <c r="T22" s="13">
        <v>1.44</v>
      </c>
    </row>
    <row r="23" spans="2:20" ht="10.5">
      <c r="B23" s="22">
        <f t="shared" si="0"/>
        <v>15</v>
      </c>
      <c r="C23" s="53" t="s">
        <v>89</v>
      </c>
      <c r="D23" s="44">
        <v>4</v>
      </c>
      <c r="E23" s="12">
        <v>6.5</v>
      </c>
      <c r="F23" s="12">
        <v>3</v>
      </c>
      <c r="G23" s="12">
        <v>4.692</v>
      </c>
      <c r="H23" s="52">
        <v>3.68</v>
      </c>
      <c r="I23" s="44">
        <v>16</v>
      </c>
      <c r="J23" s="44">
        <v>16</v>
      </c>
      <c r="K23" s="12">
        <v>25.4</v>
      </c>
      <c r="L23" s="12">
        <v>6.62</v>
      </c>
      <c r="M23" s="12">
        <v>1.85</v>
      </c>
      <c r="N23" s="12">
        <v>1.85</v>
      </c>
      <c r="O23" s="12">
        <v>2.33</v>
      </c>
      <c r="P23" s="12">
        <v>1.19</v>
      </c>
      <c r="Q23" s="40">
        <v>3.66</v>
      </c>
      <c r="R23" s="40">
        <v>3.66</v>
      </c>
      <c r="S23" s="12">
        <v>1.61</v>
      </c>
      <c r="T23" s="13">
        <v>1.61</v>
      </c>
    </row>
    <row r="24" spans="2:20" ht="10.5">
      <c r="B24" s="22">
        <f t="shared" si="0"/>
        <v>16</v>
      </c>
      <c r="C24" s="53" t="s">
        <v>89</v>
      </c>
      <c r="D24" s="44">
        <v>5</v>
      </c>
      <c r="E24" s="12">
        <v>6.5</v>
      </c>
      <c r="F24" s="12">
        <v>3</v>
      </c>
      <c r="G24" s="12">
        <v>5.802</v>
      </c>
      <c r="H24" s="52">
        <v>4.55</v>
      </c>
      <c r="I24" s="44">
        <v>19.6</v>
      </c>
      <c r="J24" s="44">
        <v>19.6</v>
      </c>
      <c r="K24" s="12">
        <v>31.2</v>
      </c>
      <c r="L24" s="12">
        <v>8.09</v>
      </c>
      <c r="M24" s="12">
        <v>1.84</v>
      </c>
      <c r="N24" s="12">
        <v>1.84</v>
      </c>
      <c r="O24" s="12">
        <v>2.32</v>
      </c>
      <c r="P24" s="12">
        <v>1.18</v>
      </c>
      <c r="Q24" s="40">
        <v>4.52</v>
      </c>
      <c r="R24" s="40">
        <v>4.52</v>
      </c>
      <c r="S24" s="12">
        <v>1.66</v>
      </c>
      <c r="T24" s="13">
        <v>1.66</v>
      </c>
    </row>
    <row r="25" spans="2:20" ht="10.5">
      <c r="B25" s="22">
        <f t="shared" si="0"/>
        <v>17</v>
      </c>
      <c r="C25" s="53" t="s">
        <v>90</v>
      </c>
      <c r="D25" s="44">
        <v>5</v>
      </c>
      <c r="E25" s="12">
        <v>8.5</v>
      </c>
      <c r="F25" s="12">
        <v>3</v>
      </c>
      <c r="G25" s="12">
        <v>6.367</v>
      </c>
      <c r="H25" s="52">
        <v>5</v>
      </c>
      <c r="I25" s="44">
        <v>25.3</v>
      </c>
      <c r="J25" s="44">
        <v>25.3</v>
      </c>
      <c r="K25" s="12">
        <v>4.1</v>
      </c>
      <c r="L25" s="12">
        <v>10.5</v>
      </c>
      <c r="M25" s="12">
        <v>1.99</v>
      </c>
      <c r="N25" s="12">
        <v>1.99</v>
      </c>
      <c r="O25" s="12">
        <v>2.51</v>
      </c>
      <c r="P25" s="12">
        <v>1.28</v>
      </c>
      <c r="Q25" s="40">
        <v>5.35</v>
      </c>
      <c r="R25" s="40">
        <v>5.35</v>
      </c>
      <c r="S25" s="12">
        <v>1.77</v>
      </c>
      <c r="T25" s="13">
        <v>1.77</v>
      </c>
    </row>
    <row r="26" spans="2:20" ht="10.5">
      <c r="B26" s="22">
        <f t="shared" si="0"/>
        <v>18</v>
      </c>
      <c r="C26" s="53" t="s">
        <v>90</v>
      </c>
      <c r="D26" s="44">
        <v>6</v>
      </c>
      <c r="E26" s="12">
        <v>8.5</v>
      </c>
      <c r="F26" s="12">
        <v>4</v>
      </c>
      <c r="G26" s="12">
        <v>7.527</v>
      </c>
      <c r="H26" s="52">
        <v>5.91</v>
      </c>
      <c r="I26" s="44">
        <v>29.4</v>
      </c>
      <c r="J26" s="44">
        <v>29.4</v>
      </c>
      <c r="K26" s="12">
        <v>46.6</v>
      </c>
      <c r="L26" s="12">
        <v>12.2</v>
      </c>
      <c r="M26" s="12">
        <v>1.98</v>
      </c>
      <c r="N26" s="12">
        <v>1.98</v>
      </c>
      <c r="O26" s="12">
        <v>2.49</v>
      </c>
      <c r="P26" s="12">
        <v>1.27</v>
      </c>
      <c r="Q26" s="40">
        <v>6.26</v>
      </c>
      <c r="R26" s="40">
        <v>6.26</v>
      </c>
      <c r="S26" s="12">
        <v>1.81</v>
      </c>
      <c r="T26" s="13">
        <v>1.81</v>
      </c>
    </row>
    <row r="27" spans="2:20" ht="10.5">
      <c r="B27" s="22">
        <f t="shared" si="0"/>
        <v>19</v>
      </c>
      <c r="C27" s="54" t="s">
        <v>91</v>
      </c>
      <c r="D27" s="44">
        <v>6</v>
      </c>
      <c r="E27" s="12">
        <v>8.5</v>
      </c>
      <c r="F27" s="12">
        <v>4</v>
      </c>
      <c r="G27" s="12">
        <v>8.127</v>
      </c>
      <c r="H27" s="52">
        <v>6.38</v>
      </c>
      <c r="I27" s="44">
        <v>37.1</v>
      </c>
      <c r="J27" s="44">
        <v>37.1</v>
      </c>
      <c r="K27" s="12">
        <v>58.9</v>
      </c>
      <c r="L27" s="12">
        <v>15.3</v>
      </c>
      <c r="M27" s="12">
        <v>2.14</v>
      </c>
      <c r="N27" s="12">
        <v>2.14</v>
      </c>
      <c r="O27" s="12">
        <v>2.69</v>
      </c>
      <c r="P27" s="12">
        <v>1.37</v>
      </c>
      <c r="Q27" s="40">
        <v>7.33</v>
      </c>
      <c r="R27" s="40">
        <v>7.33</v>
      </c>
      <c r="S27" s="12">
        <v>1.93</v>
      </c>
      <c r="T27" s="13">
        <v>1.93</v>
      </c>
    </row>
    <row r="28" spans="2:20" ht="10.5">
      <c r="B28" s="22">
        <f t="shared" si="0"/>
        <v>20</v>
      </c>
      <c r="C28" s="53" t="s">
        <v>90</v>
      </c>
      <c r="D28" s="44">
        <v>8</v>
      </c>
      <c r="E28" s="12">
        <v>8.5</v>
      </c>
      <c r="F28" s="12">
        <v>6</v>
      </c>
      <c r="G28" s="12">
        <v>9.761</v>
      </c>
      <c r="H28" s="52">
        <v>7.66</v>
      </c>
      <c r="I28" s="44">
        <v>36.8</v>
      </c>
      <c r="J28" s="44">
        <v>36.8</v>
      </c>
      <c r="K28" s="12">
        <v>58.3</v>
      </c>
      <c r="L28" s="12">
        <v>15.3</v>
      </c>
      <c r="M28" s="12">
        <v>1.94</v>
      </c>
      <c r="N28" s="12">
        <v>1.94</v>
      </c>
      <c r="O28" s="12">
        <v>2.44</v>
      </c>
      <c r="P28" s="12">
        <v>1.25</v>
      </c>
      <c r="Q28" s="40">
        <v>7.96</v>
      </c>
      <c r="R28" s="40">
        <v>7.96</v>
      </c>
      <c r="S28" s="12">
        <v>1.88</v>
      </c>
      <c r="T28" s="13">
        <v>1.88</v>
      </c>
    </row>
    <row r="29" spans="2:20" ht="10.5">
      <c r="B29" s="22">
        <f t="shared" si="0"/>
        <v>21</v>
      </c>
      <c r="C29" s="53" t="s">
        <v>92</v>
      </c>
      <c r="D29" s="44">
        <v>6</v>
      </c>
      <c r="E29" s="12">
        <v>8.5</v>
      </c>
      <c r="F29" s="12">
        <v>4</v>
      </c>
      <c r="G29" s="12">
        <v>8.727</v>
      </c>
      <c r="H29" s="52">
        <v>6.85</v>
      </c>
      <c r="I29" s="44">
        <v>46.1</v>
      </c>
      <c r="J29" s="44">
        <v>46.1</v>
      </c>
      <c r="K29" s="12">
        <v>73.2</v>
      </c>
      <c r="L29" s="12">
        <v>19</v>
      </c>
      <c r="M29" s="12">
        <v>2.3</v>
      </c>
      <c r="N29" s="12">
        <v>2.3</v>
      </c>
      <c r="O29" s="12">
        <v>2.9</v>
      </c>
      <c r="P29" s="12">
        <v>1.48</v>
      </c>
      <c r="Q29" s="40">
        <v>8.74</v>
      </c>
      <c r="R29" s="40">
        <v>8.74</v>
      </c>
      <c r="S29" s="12">
        <v>2.06</v>
      </c>
      <c r="T29" s="13">
        <v>2.06</v>
      </c>
    </row>
    <row r="30" spans="2:20" ht="10.5">
      <c r="B30" s="22">
        <f t="shared" si="0"/>
        <v>22</v>
      </c>
      <c r="C30" s="54" t="s">
        <v>93</v>
      </c>
      <c r="D30" s="44">
        <v>6</v>
      </c>
      <c r="E30" s="12">
        <v>8.5</v>
      </c>
      <c r="F30" s="12">
        <v>4</v>
      </c>
      <c r="G30" s="12">
        <v>9.327</v>
      </c>
      <c r="H30" s="52">
        <v>7.32</v>
      </c>
      <c r="I30" s="44">
        <v>56.4</v>
      </c>
      <c r="J30" s="44">
        <v>56.4</v>
      </c>
      <c r="K30" s="12">
        <v>89.6</v>
      </c>
      <c r="L30" s="12">
        <v>23.2</v>
      </c>
      <c r="M30" s="12">
        <v>2.46</v>
      </c>
      <c r="N30" s="12">
        <v>2.46</v>
      </c>
      <c r="O30" s="12">
        <v>3.1</v>
      </c>
      <c r="P30" s="12">
        <v>1.58</v>
      </c>
      <c r="Q30" s="40">
        <v>9.7</v>
      </c>
      <c r="R30" s="40">
        <v>9.7</v>
      </c>
      <c r="S30" s="12">
        <v>2.18</v>
      </c>
      <c r="T30" s="13">
        <v>2.18</v>
      </c>
    </row>
    <row r="31" spans="2:20" ht="10.5">
      <c r="B31" s="22">
        <f t="shared" si="0"/>
        <v>23</v>
      </c>
      <c r="C31" s="53" t="s">
        <v>92</v>
      </c>
      <c r="D31" s="44">
        <v>9</v>
      </c>
      <c r="E31" s="12">
        <v>8.5</v>
      </c>
      <c r="F31" s="12">
        <v>6</v>
      </c>
      <c r="G31" s="12">
        <v>12.69</v>
      </c>
      <c r="H31" s="52">
        <v>9.69</v>
      </c>
      <c r="I31" s="44">
        <v>64.4</v>
      </c>
      <c r="J31" s="44">
        <v>64.4</v>
      </c>
      <c r="K31" s="12">
        <v>102</v>
      </c>
      <c r="L31" s="12">
        <v>26.7</v>
      </c>
      <c r="M31" s="12">
        <v>2.25</v>
      </c>
      <c r="N31" s="12">
        <v>2.25</v>
      </c>
      <c r="O31" s="12">
        <v>2.84</v>
      </c>
      <c r="P31" s="12">
        <v>1.45</v>
      </c>
      <c r="Q31" s="40">
        <v>12.1</v>
      </c>
      <c r="R31" s="40">
        <v>12.1</v>
      </c>
      <c r="S31" s="12">
        <v>2.17</v>
      </c>
      <c r="T31" s="13">
        <v>2.17</v>
      </c>
    </row>
    <row r="32" spans="2:20" ht="10.5">
      <c r="B32" s="22">
        <f t="shared" si="0"/>
        <v>24</v>
      </c>
      <c r="C32" s="53" t="s">
        <v>94</v>
      </c>
      <c r="D32" s="44">
        <v>6</v>
      </c>
      <c r="E32" s="12">
        <v>10</v>
      </c>
      <c r="F32" s="12">
        <v>5</v>
      </c>
      <c r="G32" s="12">
        <v>10.55</v>
      </c>
      <c r="H32" s="52">
        <v>8.28</v>
      </c>
      <c r="I32" s="44">
        <v>80.7</v>
      </c>
      <c r="J32" s="44">
        <v>80.7</v>
      </c>
      <c r="K32" s="12">
        <v>128</v>
      </c>
      <c r="L32" s="12">
        <v>33.4</v>
      </c>
      <c r="M32" s="12">
        <v>2.77</v>
      </c>
      <c r="N32" s="12">
        <v>2.77</v>
      </c>
      <c r="O32" s="12">
        <v>3.48</v>
      </c>
      <c r="P32" s="12">
        <v>1.78</v>
      </c>
      <c r="Q32" s="40">
        <v>12.3</v>
      </c>
      <c r="R32" s="40">
        <v>12.3</v>
      </c>
      <c r="S32" s="12">
        <v>2.42</v>
      </c>
      <c r="T32" s="13">
        <v>2.42</v>
      </c>
    </row>
    <row r="33" spans="2:20" ht="10.5">
      <c r="B33" s="22">
        <f t="shared" si="0"/>
        <v>25</v>
      </c>
      <c r="C33" s="53" t="s">
        <v>94</v>
      </c>
      <c r="D33" s="44">
        <v>7</v>
      </c>
      <c r="E33" s="12">
        <v>10</v>
      </c>
      <c r="F33" s="12">
        <v>5</v>
      </c>
      <c r="G33" s="12">
        <v>12.22</v>
      </c>
      <c r="H33" s="52">
        <v>9.59</v>
      </c>
      <c r="I33" s="44">
        <v>93</v>
      </c>
      <c r="J33" s="44">
        <v>93</v>
      </c>
      <c r="K33" s="12">
        <v>148</v>
      </c>
      <c r="L33" s="12">
        <v>38.3</v>
      </c>
      <c r="M33" s="12">
        <v>2.76</v>
      </c>
      <c r="N33" s="12">
        <v>2.76</v>
      </c>
      <c r="O33" s="12">
        <v>3.48</v>
      </c>
      <c r="P33" s="12">
        <v>1.77</v>
      </c>
      <c r="Q33" s="40">
        <v>14.2</v>
      </c>
      <c r="R33" s="40">
        <v>14.2</v>
      </c>
      <c r="S33" s="12">
        <v>2.46</v>
      </c>
      <c r="T33" s="13">
        <v>2.46</v>
      </c>
    </row>
    <row r="34" spans="2:20" ht="10.5">
      <c r="B34" s="22">
        <f t="shared" si="0"/>
        <v>26</v>
      </c>
      <c r="C34" s="53" t="s">
        <v>92</v>
      </c>
      <c r="D34" s="44">
        <v>12</v>
      </c>
      <c r="E34" s="12">
        <v>8.5</v>
      </c>
      <c r="F34" s="12">
        <v>6</v>
      </c>
      <c r="G34" s="12">
        <v>16.56</v>
      </c>
      <c r="H34" s="52">
        <v>13</v>
      </c>
      <c r="I34" s="44">
        <v>81.9</v>
      </c>
      <c r="J34" s="44">
        <v>81.9</v>
      </c>
      <c r="K34" s="12">
        <v>129</v>
      </c>
      <c r="L34" s="12">
        <v>34.5</v>
      </c>
      <c r="M34" s="12">
        <v>2.22</v>
      </c>
      <c r="N34" s="12">
        <v>2.22</v>
      </c>
      <c r="O34" s="12">
        <v>2.79</v>
      </c>
      <c r="P34" s="12">
        <v>1.44</v>
      </c>
      <c r="Q34" s="40">
        <v>15.7</v>
      </c>
      <c r="R34" s="40">
        <v>15.7</v>
      </c>
      <c r="S34" s="12">
        <v>2.29</v>
      </c>
      <c r="T34" s="13">
        <v>2.29</v>
      </c>
    </row>
    <row r="35" spans="2:20" ht="10.5">
      <c r="B35" s="22">
        <f t="shared" si="0"/>
        <v>27</v>
      </c>
      <c r="C35" s="53" t="s">
        <v>95</v>
      </c>
      <c r="D35" s="44">
        <v>7</v>
      </c>
      <c r="E35" s="12">
        <v>10</v>
      </c>
      <c r="F35" s="12">
        <v>5</v>
      </c>
      <c r="G35" s="12">
        <v>13.62</v>
      </c>
      <c r="H35" s="52">
        <v>10.7</v>
      </c>
      <c r="I35" s="44">
        <v>129</v>
      </c>
      <c r="J35" s="44">
        <v>129</v>
      </c>
      <c r="K35" s="12">
        <v>205</v>
      </c>
      <c r="L35" s="12">
        <v>53.2</v>
      </c>
      <c r="M35" s="12">
        <v>3.03</v>
      </c>
      <c r="N35" s="12">
        <v>3.08</v>
      </c>
      <c r="O35" s="12">
        <v>3.88</v>
      </c>
      <c r="P35" s="12">
        <v>1.98</v>
      </c>
      <c r="Q35" s="40">
        <v>17.7</v>
      </c>
      <c r="R35" s="40">
        <v>17.7</v>
      </c>
      <c r="S35" s="12">
        <v>2.71</v>
      </c>
      <c r="T35" s="13">
        <v>2.71</v>
      </c>
    </row>
    <row r="36" spans="2:20" ht="10.5">
      <c r="B36" s="22">
        <f t="shared" si="0"/>
        <v>28</v>
      </c>
      <c r="C36" s="53" t="s">
        <v>94</v>
      </c>
      <c r="D36" s="44">
        <v>10</v>
      </c>
      <c r="E36" s="12">
        <v>10</v>
      </c>
      <c r="F36" s="12">
        <v>7</v>
      </c>
      <c r="G36" s="12">
        <v>17</v>
      </c>
      <c r="H36" s="52">
        <v>13.3</v>
      </c>
      <c r="I36" s="44">
        <v>125</v>
      </c>
      <c r="J36" s="44">
        <v>125</v>
      </c>
      <c r="K36" s="12">
        <v>199</v>
      </c>
      <c r="L36" s="12">
        <v>51.7</v>
      </c>
      <c r="M36" s="12">
        <v>2.71</v>
      </c>
      <c r="N36" s="12">
        <v>2.71</v>
      </c>
      <c r="O36" s="12">
        <v>3.42</v>
      </c>
      <c r="P36" s="12">
        <v>1.74</v>
      </c>
      <c r="Q36" s="40">
        <v>19.5</v>
      </c>
      <c r="R36" s="40">
        <v>19.5</v>
      </c>
      <c r="S36" s="12">
        <v>2.57</v>
      </c>
      <c r="T36" s="13">
        <v>2.57</v>
      </c>
    </row>
    <row r="37" spans="2:20" ht="10.5">
      <c r="B37" s="22">
        <f t="shared" si="0"/>
        <v>29</v>
      </c>
      <c r="C37" s="53" t="s">
        <v>94</v>
      </c>
      <c r="D37" s="44">
        <v>12</v>
      </c>
      <c r="E37" s="12">
        <v>11</v>
      </c>
      <c r="F37" s="12">
        <v>4.8</v>
      </c>
      <c r="G37" s="12">
        <v>20.3</v>
      </c>
      <c r="H37" s="52">
        <v>15.9</v>
      </c>
      <c r="I37" s="44">
        <v>148</v>
      </c>
      <c r="J37" s="44">
        <v>148</v>
      </c>
      <c r="K37" s="12">
        <v>234</v>
      </c>
      <c r="L37" s="12">
        <v>61.7</v>
      </c>
      <c r="M37" s="12">
        <v>2.7</v>
      </c>
      <c r="N37" s="12">
        <v>2.7</v>
      </c>
      <c r="O37" s="12">
        <v>3.4</v>
      </c>
      <c r="P37" s="12">
        <v>1.75</v>
      </c>
      <c r="Q37" s="40">
        <v>23.3</v>
      </c>
      <c r="R37" s="40">
        <v>23.3</v>
      </c>
      <c r="S37" s="12">
        <v>2.66</v>
      </c>
      <c r="T37" s="13">
        <v>2.66</v>
      </c>
    </row>
    <row r="38" spans="2:20" ht="10.5">
      <c r="B38" s="22">
        <f t="shared" si="0"/>
        <v>30</v>
      </c>
      <c r="C38" s="53" t="s">
        <v>95</v>
      </c>
      <c r="D38" s="44">
        <v>10</v>
      </c>
      <c r="E38" s="12">
        <v>10</v>
      </c>
      <c r="F38" s="12">
        <v>7</v>
      </c>
      <c r="G38" s="12">
        <v>19</v>
      </c>
      <c r="H38" s="52">
        <v>14.9</v>
      </c>
      <c r="I38" s="44">
        <v>175</v>
      </c>
      <c r="J38" s="44">
        <v>175</v>
      </c>
      <c r="K38" s="12">
        <v>278</v>
      </c>
      <c r="L38" s="12">
        <v>72</v>
      </c>
      <c r="M38" s="12">
        <v>3.04</v>
      </c>
      <c r="N38" s="12">
        <v>3.04</v>
      </c>
      <c r="O38" s="12">
        <v>3.83</v>
      </c>
      <c r="P38" s="12">
        <v>1.95</v>
      </c>
      <c r="Q38" s="40">
        <v>24.4</v>
      </c>
      <c r="R38" s="40">
        <v>24.4</v>
      </c>
      <c r="S38" s="12">
        <v>2.82</v>
      </c>
      <c r="T38" s="13">
        <v>2.82</v>
      </c>
    </row>
    <row r="39" spans="2:20" ht="10.5">
      <c r="B39" s="22">
        <f t="shared" si="0"/>
        <v>31</v>
      </c>
      <c r="C39" s="53" t="s">
        <v>94</v>
      </c>
      <c r="D39" s="44">
        <v>13</v>
      </c>
      <c r="E39" s="12">
        <v>10</v>
      </c>
      <c r="F39" s="12">
        <v>7</v>
      </c>
      <c r="G39" s="12">
        <v>31.71</v>
      </c>
      <c r="H39" s="52">
        <v>17</v>
      </c>
      <c r="I39" s="44">
        <v>156</v>
      </c>
      <c r="J39" s="44">
        <v>156</v>
      </c>
      <c r="K39" s="12">
        <v>248</v>
      </c>
      <c r="L39" s="12">
        <v>65.3</v>
      </c>
      <c r="M39" s="12">
        <v>2.68</v>
      </c>
      <c r="N39" s="12">
        <v>2.68</v>
      </c>
      <c r="O39" s="12">
        <v>3.38</v>
      </c>
      <c r="P39" s="12">
        <v>1.73</v>
      </c>
      <c r="Q39" s="40">
        <v>24.8</v>
      </c>
      <c r="R39" s="40">
        <v>24.8</v>
      </c>
      <c r="S39" s="12">
        <v>2.69</v>
      </c>
      <c r="T39" s="13">
        <v>2.69</v>
      </c>
    </row>
    <row r="40" spans="2:20" ht="10.5">
      <c r="B40" s="22">
        <f t="shared" si="0"/>
        <v>32</v>
      </c>
      <c r="C40" s="53" t="s">
        <v>95</v>
      </c>
      <c r="D40" s="44">
        <v>12</v>
      </c>
      <c r="E40" s="12">
        <v>12</v>
      </c>
      <c r="F40" s="12">
        <v>4.8</v>
      </c>
      <c r="G40" s="12">
        <v>22.7</v>
      </c>
      <c r="H40" s="52">
        <v>17.8</v>
      </c>
      <c r="I40" s="44">
        <v>207</v>
      </c>
      <c r="J40" s="44">
        <v>207</v>
      </c>
      <c r="K40" s="12">
        <v>328</v>
      </c>
      <c r="L40" s="12">
        <v>85.7</v>
      </c>
      <c r="M40" s="12">
        <v>3.02</v>
      </c>
      <c r="N40" s="12">
        <v>3.02</v>
      </c>
      <c r="O40" s="12">
        <v>3.8</v>
      </c>
      <c r="P40" s="12">
        <v>1.94</v>
      </c>
      <c r="Q40" s="40">
        <v>29.1</v>
      </c>
      <c r="R40" s="40">
        <v>29.1</v>
      </c>
      <c r="S40" s="12">
        <v>2.9</v>
      </c>
      <c r="T40" s="13">
        <v>2.9</v>
      </c>
    </row>
    <row r="41" spans="2:20" ht="10.5">
      <c r="B41" s="22">
        <f t="shared" si="0"/>
        <v>33</v>
      </c>
      <c r="C41" s="54" t="s">
        <v>96</v>
      </c>
      <c r="D41" s="44">
        <v>8</v>
      </c>
      <c r="E41" s="12">
        <v>12</v>
      </c>
      <c r="F41" s="12">
        <v>5</v>
      </c>
      <c r="G41" s="12">
        <v>18.76</v>
      </c>
      <c r="H41" s="52">
        <v>14.7</v>
      </c>
      <c r="I41" s="44">
        <v>258</v>
      </c>
      <c r="J41" s="44">
        <v>258</v>
      </c>
      <c r="K41" s="12">
        <v>410</v>
      </c>
      <c r="L41" s="12">
        <v>106</v>
      </c>
      <c r="M41" s="12">
        <v>3.71</v>
      </c>
      <c r="N41" s="12">
        <v>3.71</v>
      </c>
      <c r="O41" s="12">
        <v>4.67</v>
      </c>
      <c r="P41" s="12">
        <v>2.38</v>
      </c>
      <c r="Q41" s="40">
        <v>29.5</v>
      </c>
      <c r="R41" s="40">
        <v>29.5</v>
      </c>
      <c r="S41" s="12">
        <v>3.24</v>
      </c>
      <c r="T41" s="13">
        <v>3.24</v>
      </c>
    </row>
    <row r="42" spans="2:20" ht="10.5">
      <c r="B42" s="22">
        <f t="shared" si="0"/>
        <v>34</v>
      </c>
      <c r="C42" s="53" t="s">
        <v>95</v>
      </c>
      <c r="D42" s="44">
        <v>13</v>
      </c>
      <c r="E42" s="12">
        <v>10</v>
      </c>
      <c r="F42" s="12">
        <v>7</v>
      </c>
      <c r="G42" s="12">
        <v>24.31</v>
      </c>
      <c r="H42" s="52">
        <v>19.1</v>
      </c>
      <c r="I42" s="44">
        <v>220</v>
      </c>
      <c r="J42" s="44">
        <v>220</v>
      </c>
      <c r="K42" s="12">
        <v>348</v>
      </c>
      <c r="L42" s="12">
        <v>91.1</v>
      </c>
      <c r="M42" s="12">
        <v>3</v>
      </c>
      <c r="N42" s="12">
        <v>3</v>
      </c>
      <c r="O42" s="12">
        <v>3.78</v>
      </c>
      <c r="P42" s="12">
        <v>12.94</v>
      </c>
      <c r="Q42" s="40">
        <v>31.1</v>
      </c>
      <c r="R42" s="40">
        <v>31.1</v>
      </c>
      <c r="S42" s="12">
        <v>2.94</v>
      </c>
      <c r="T42" s="13">
        <v>2.94</v>
      </c>
    </row>
    <row r="43" spans="2:20" ht="10.5">
      <c r="B43" s="22">
        <f t="shared" si="0"/>
        <v>35</v>
      </c>
      <c r="C43" s="53" t="s">
        <v>97</v>
      </c>
      <c r="D43" s="44">
        <v>9</v>
      </c>
      <c r="E43" s="12">
        <v>12</v>
      </c>
      <c r="F43" s="12">
        <v>6</v>
      </c>
      <c r="G43" s="12">
        <v>22.74</v>
      </c>
      <c r="H43" s="52">
        <v>17.9</v>
      </c>
      <c r="I43" s="44">
        <v>366</v>
      </c>
      <c r="J43" s="44">
        <v>366</v>
      </c>
      <c r="K43" s="12">
        <v>583</v>
      </c>
      <c r="L43" s="12">
        <v>150</v>
      </c>
      <c r="M43" s="12">
        <v>4.01</v>
      </c>
      <c r="N43" s="12">
        <v>4.01</v>
      </c>
      <c r="O43" s="12">
        <v>5.06</v>
      </c>
      <c r="P43" s="12">
        <v>2.57</v>
      </c>
      <c r="Q43" s="40">
        <v>38.7</v>
      </c>
      <c r="R43" s="40">
        <v>38.7</v>
      </c>
      <c r="S43" s="12">
        <v>3.53</v>
      </c>
      <c r="T43" s="13">
        <v>3.53</v>
      </c>
    </row>
    <row r="44" spans="2:20" ht="10.5">
      <c r="B44" s="22">
        <f t="shared" si="0"/>
        <v>36</v>
      </c>
      <c r="C44" s="53" t="s">
        <v>97</v>
      </c>
      <c r="D44" s="44">
        <v>12</v>
      </c>
      <c r="E44" s="12">
        <v>12</v>
      </c>
      <c r="F44" s="12">
        <v>8.5</v>
      </c>
      <c r="G44" s="12">
        <v>29.76</v>
      </c>
      <c r="H44" s="52">
        <v>23.4</v>
      </c>
      <c r="I44" s="44">
        <v>467</v>
      </c>
      <c r="J44" s="44">
        <v>467</v>
      </c>
      <c r="K44" s="12">
        <v>743</v>
      </c>
      <c r="L44" s="12">
        <v>192</v>
      </c>
      <c r="M44" s="12">
        <v>3.96</v>
      </c>
      <c r="N44" s="12">
        <v>3.96</v>
      </c>
      <c r="O44" s="12">
        <v>5</v>
      </c>
      <c r="P44" s="12">
        <v>2.54</v>
      </c>
      <c r="Q44" s="40">
        <v>49.9</v>
      </c>
      <c r="R44" s="40">
        <v>49.9</v>
      </c>
      <c r="S44" s="12">
        <v>3.64</v>
      </c>
      <c r="T44" s="13">
        <v>3.64</v>
      </c>
    </row>
    <row r="45" spans="2:20" ht="10.5">
      <c r="B45" s="22">
        <f t="shared" si="0"/>
        <v>37</v>
      </c>
      <c r="C45" s="53" t="s">
        <v>97</v>
      </c>
      <c r="D45" s="44">
        <v>15</v>
      </c>
      <c r="E45" s="12">
        <v>12</v>
      </c>
      <c r="F45" s="12">
        <v>8.5</v>
      </c>
      <c r="G45" s="12">
        <v>36.75</v>
      </c>
      <c r="H45" s="52">
        <v>28.8</v>
      </c>
      <c r="I45" s="44">
        <v>568</v>
      </c>
      <c r="J45" s="44">
        <v>568</v>
      </c>
      <c r="K45" s="12">
        <v>902</v>
      </c>
      <c r="L45" s="12">
        <v>234</v>
      </c>
      <c r="M45" s="12">
        <v>3.93</v>
      </c>
      <c r="N45" s="12">
        <v>3.93</v>
      </c>
      <c r="O45" s="12">
        <v>4.95</v>
      </c>
      <c r="P45" s="12">
        <v>2.53</v>
      </c>
      <c r="Q45" s="40">
        <v>61.5</v>
      </c>
      <c r="R45" s="40">
        <v>61.5</v>
      </c>
      <c r="S45" s="12">
        <v>3.76</v>
      </c>
      <c r="T45" s="13">
        <v>3.76</v>
      </c>
    </row>
    <row r="46" spans="2:20" ht="10.5">
      <c r="B46" s="22">
        <f t="shared" si="0"/>
        <v>38</v>
      </c>
      <c r="C46" s="53" t="s">
        <v>98</v>
      </c>
      <c r="D46" s="44">
        <v>12</v>
      </c>
      <c r="E46" s="12">
        <v>14</v>
      </c>
      <c r="F46" s="12">
        <v>7</v>
      </c>
      <c r="G46" s="12">
        <v>34.77</v>
      </c>
      <c r="H46" s="52">
        <v>27.3</v>
      </c>
      <c r="I46" s="44">
        <v>740</v>
      </c>
      <c r="J46" s="44">
        <v>740</v>
      </c>
      <c r="K46" s="46">
        <v>1180</v>
      </c>
      <c r="L46" s="12">
        <v>304</v>
      </c>
      <c r="M46" s="12">
        <v>4.61</v>
      </c>
      <c r="N46" s="12">
        <v>4.61</v>
      </c>
      <c r="O46" s="12">
        <v>5.82</v>
      </c>
      <c r="P46" s="12">
        <v>2.96</v>
      </c>
      <c r="Q46" s="40">
        <v>68.1</v>
      </c>
      <c r="R46" s="40">
        <v>68.1</v>
      </c>
      <c r="S46" s="12">
        <v>4.14</v>
      </c>
      <c r="T46" s="13">
        <v>4.14</v>
      </c>
    </row>
    <row r="47" spans="2:20" ht="10.5">
      <c r="B47" s="22">
        <f t="shared" si="0"/>
        <v>39</v>
      </c>
      <c r="C47" s="53" t="s">
        <v>98</v>
      </c>
      <c r="D47" s="44">
        <v>15</v>
      </c>
      <c r="E47" s="12">
        <v>14</v>
      </c>
      <c r="F47" s="12">
        <v>10</v>
      </c>
      <c r="G47" s="12">
        <v>42.74</v>
      </c>
      <c r="H47" s="52">
        <v>33.6</v>
      </c>
      <c r="I47" s="44">
        <v>888</v>
      </c>
      <c r="J47" s="44">
        <v>888</v>
      </c>
      <c r="K47" s="46">
        <v>1410</v>
      </c>
      <c r="L47" s="12">
        <v>365</v>
      </c>
      <c r="M47" s="12">
        <v>4.56</v>
      </c>
      <c r="N47" s="12">
        <v>4.56</v>
      </c>
      <c r="O47" s="12">
        <v>5.75</v>
      </c>
      <c r="P47" s="12">
        <v>2.92</v>
      </c>
      <c r="Q47" s="40">
        <v>82.6</v>
      </c>
      <c r="R47" s="40">
        <v>82.6</v>
      </c>
      <c r="S47" s="12">
        <v>4.24</v>
      </c>
      <c r="T47" s="13">
        <v>4.24</v>
      </c>
    </row>
    <row r="48" spans="2:20" ht="10.5">
      <c r="B48" s="22">
        <f t="shared" si="0"/>
        <v>40</v>
      </c>
      <c r="C48" s="53" t="s">
        <v>99</v>
      </c>
      <c r="D48" s="44">
        <v>12</v>
      </c>
      <c r="E48" s="12">
        <v>15</v>
      </c>
      <c r="F48" s="12">
        <v>11</v>
      </c>
      <c r="G48" s="12">
        <v>40.52</v>
      </c>
      <c r="H48" s="52">
        <v>31.8</v>
      </c>
      <c r="I48" s="57">
        <v>1170</v>
      </c>
      <c r="J48" s="57">
        <v>1170</v>
      </c>
      <c r="K48" s="46">
        <v>1860</v>
      </c>
      <c r="L48" s="12">
        <v>480</v>
      </c>
      <c r="M48" s="12">
        <v>5.38</v>
      </c>
      <c r="N48" s="12">
        <v>5.38</v>
      </c>
      <c r="O48" s="12">
        <v>6.78</v>
      </c>
      <c r="P48" s="12">
        <v>3.44</v>
      </c>
      <c r="Q48" s="40">
        <v>91.8</v>
      </c>
      <c r="R48" s="40">
        <v>91.8</v>
      </c>
      <c r="S48" s="12">
        <v>4.73</v>
      </c>
      <c r="T48" s="13">
        <v>4.73</v>
      </c>
    </row>
    <row r="49" spans="2:20" ht="10.5">
      <c r="B49" s="22">
        <f t="shared" si="0"/>
        <v>41</v>
      </c>
      <c r="C49" s="53" t="s">
        <v>98</v>
      </c>
      <c r="D49" s="44">
        <v>19</v>
      </c>
      <c r="E49" s="12">
        <v>14</v>
      </c>
      <c r="F49" s="12">
        <v>10</v>
      </c>
      <c r="G49" s="12">
        <v>53.38</v>
      </c>
      <c r="H49" s="52">
        <v>41.9</v>
      </c>
      <c r="I49" s="57">
        <v>1090</v>
      </c>
      <c r="J49" s="57">
        <v>1090</v>
      </c>
      <c r="K49" s="46">
        <v>1370</v>
      </c>
      <c r="L49" s="12">
        <v>451</v>
      </c>
      <c r="M49" s="12">
        <v>4.52</v>
      </c>
      <c r="N49" s="12">
        <v>4.52</v>
      </c>
      <c r="O49" s="12">
        <v>0.69</v>
      </c>
      <c r="P49" s="12">
        <v>2.91</v>
      </c>
      <c r="Q49" s="40">
        <v>103</v>
      </c>
      <c r="R49" s="40">
        <v>103</v>
      </c>
      <c r="S49" s="12">
        <v>4.4</v>
      </c>
      <c r="T49" s="13">
        <v>4.4</v>
      </c>
    </row>
    <row r="50" spans="2:20" ht="10.5">
      <c r="B50" s="22">
        <f t="shared" si="0"/>
        <v>42</v>
      </c>
      <c r="C50" s="53" t="s">
        <v>99</v>
      </c>
      <c r="D50" s="44">
        <v>15</v>
      </c>
      <c r="E50" s="12">
        <v>15</v>
      </c>
      <c r="F50" s="12">
        <v>11</v>
      </c>
      <c r="G50" s="12">
        <v>50.21</v>
      </c>
      <c r="H50" s="52">
        <v>39.4</v>
      </c>
      <c r="I50" s="57">
        <v>1440</v>
      </c>
      <c r="J50" s="57">
        <v>1440</v>
      </c>
      <c r="K50" s="46">
        <v>2260</v>
      </c>
      <c r="L50" s="12">
        <v>589</v>
      </c>
      <c r="M50" s="12">
        <v>5.35</v>
      </c>
      <c r="N50" s="12">
        <v>5.35</v>
      </c>
      <c r="O50" s="12">
        <v>6.75</v>
      </c>
      <c r="P50" s="12">
        <v>3.72</v>
      </c>
      <c r="Q50" s="40">
        <v>114</v>
      </c>
      <c r="R50" s="40">
        <v>114</v>
      </c>
      <c r="S50" s="12">
        <v>4.85</v>
      </c>
      <c r="T50" s="13">
        <v>4.85</v>
      </c>
    </row>
    <row r="51" spans="2:20" ht="10.5">
      <c r="B51" s="22">
        <f t="shared" si="0"/>
        <v>43</v>
      </c>
      <c r="C51" s="53" t="s">
        <v>100</v>
      </c>
      <c r="D51" s="44">
        <v>15</v>
      </c>
      <c r="E51" s="12">
        <v>17</v>
      </c>
      <c r="F51" s="12">
        <v>12</v>
      </c>
      <c r="G51" s="12">
        <v>57.75</v>
      </c>
      <c r="H51" s="52">
        <v>45.3</v>
      </c>
      <c r="I51" s="57">
        <v>2180</v>
      </c>
      <c r="J51" s="57">
        <v>2180</v>
      </c>
      <c r="K51" s="46">
        <v>3470</v>
      </c>
      <c r="L51" s="12">
        <v>891</v>
      </c>
      <c r="M51" s="12">
        <v>6.14</v>
      </c>
      <c r="N51" s="12">
        <v>6.14</v>
      </c>
      <c r="O51" s="12">
        <v>7.75</v>
      </c>
      <c r="P51" s="12">
        <v>3.92</v>
      </c>
      <c r="Q51" s="40">
        <v>150</v>
      </c>
      <c r="R51" s="40">
        <v>150</v>
      </c>
      <c r="S51" s="12">
        <v>5.46</v>
      </c>
      <c r="T51" s="13">
        <v>5.46</v>
      </c>
    </row>
    <row r="52" spans="2:20" ht="10.5">
      <c r="B52" s="22">
        <f t="shared" si="0"/>
        <v>44</v>
      </c>
      <c r="C52" s="53" t="s">
        <v>100</v>
      </c>
      <c r="D52" s="44">
        <v>20</v>
      </c>
      <c r="E52" s="12">
        <v>17</v>
      </c>
      <c r="F52" s="12">
        <v>12</v>
      </c>
      <c r="G52" s="12">
        <v>76</v>
      </c>
      <c r="H52" s="52">
        <v>59.7</v>
      </c>
      <c r="I52" s="57">
        <v>2820</v>
      </c>
      <c r="J52" s="57">
        <v>2820</v>
      </c>
      <c r="K52" s="46">
        <v>4490</v>
      </c>
      <c r="L52" s="46">
        <v>1160</v>
      </c>
      <c r="M52" s="12">
        <v>6.09</v>
      </c>
      <c r="N52" s="12">
        <v>6.09</v>
      </c>
      <c r="O52" s="12">
        <v>7.68</v>
      </c>
      <c r="P52" s="12">
        <v>3.9</v>
      </c>
      <c r="Q52" s="40">
        <v>197</v>
      </c>
      <c r="R52" s="40">
        <v>197</v>
      </c>
      <c r="S52" s="12">
        <v>5.67</v>
      </c>
      <c r="T52" s="13">
        <v>5.67</v>
      </c>
    </row>
    <row r="53" spans="2:20" ht="10.5">
      <c r="B53" s="22">
        <f t="shared" si="0"/>
        <v>45</v>
      </c>
      <c r="C53" s="53" t="s">
        <v>100</v>
      </c>
      <c r="D53" s="44">
        <v>25</v>
      </c>
      <c r="E53" s="12">
        <v>17</v>
      </c>
      <c r="F53" s="12">
        <v>12</v>
      </c>
      <c r="G53" s="12">
        <v>93.75</v>
      </c>
      <c r="H53" s="52">
        <v>73.6</v>
      </c>
      <c r="I53" s="57">
        <v>3420</v>
      </c>
      <c r="J53" s="57">
        <v>3420</v>
      </c>
      <c r="K53" s="46">
        <v>5420</v>
      </c>
      <c r="L53" s="46">
        <v>1420</v>
      </c>
      <c r="M53" s="12">
        <v>60.4</v>
      </c>
      <c r="N53" s="12">
        <v>60.4</v>
      </c>
      <c r="O53" s="12">
        <v>7.61</v>
      </c>
      <c r="P53" s="12">
        <v>3.88</v>
      </c>
      <c r="Q53" s="40">
        <v>242</v>
      </c>
      <c r="R53" s="40">
        <v>242</v>
      </c>
      <c r="S53" s="12">
        <v>5.86</v>
      </c>
      <c r="T53" s="13">
        <v>5.86</v>
      </c>
    </row>
    <row r="54" spans="2:20" ht="10.5">
      <c r="B54" s="22">
        <f t="shared" si="0"/>
        <v>46</v>
      </c>
      <c r="C54" s="53" t="s">
        <v>101</v>
      </c>
      <c r="D54" s="44">
        <v>25</v>
      </c>
      <c r="E54" s="12">
        <v>24</v>
      </c>
      <c r="F54" s="12">
        <v>12</v>
      </c>
      <c r="G54" s="12">
        <v>119.4</v>
      </c>
      <c r="H54" s="52">
        <v>93.7</v>
      </c>
      <c r="I54" s="57">
        <v>6950</v>
      </c>
      <c r="J54" s="57">
        <v>6950</v>
      </c>
      <c r="K54" s="46">
        <v>11000</v>
      </c>
      <c r="L54" s="46">
        <v>2860</v>
      </c>
      <c r="M54" s="12">
        <v>7.63</v>
      </c>
      <c r="N54" s="12">
        <v>7.63</v>
      </c>
      <c r="O54" s="12">
        <v>9.62</v>
      </c>
      <c r="P54" s="12">
        <v>4.9</v>
      </c>
      <c r="Q54" s="40">
        <v>388</v>
      </c>
      <c r="R54" s="40">
        <v>388</v>
      </c>
      <c r="S54" s="12">
        <v>7.1</v>
      </c>
      <c r="T54" s="13">
        <v>7.1</v>
      </c>
    </row>
    <row r="55" spans="2:20" ht="11.25" thickBot="1">
      <c r="B55" s="30">
        <f t="shared" si="0"/>
        <v>47</v>
      </c>
      <c r="C55" s="55" t="s">
        <v>101</v>
      </c>
      <c r="D55" s="45">
        <v>35</v>
      </c>
      <c r="E55" s="19">
        <v>24</v>
      </c>
      <c r="F55" s="19">
        <v>18</v>
      </c>
      <c r="G55" s="19">
        <v>162.6</v>
      </c>
      <c r="H55" s="56">
        <v>128</v>
      </c>
      <c r="I55" s="58">
        <v>9110</v>
      </c>
      <c r="J55" s="58">
        <v>9110</v>
      </c>
      <c r="K55" s="49">
        <v>14400</v>
      </c>
      <c r="L55" s="49">
        <v>3790</v>
      </c>
      <c r="M55" s="19">
        <v>7.49</v>
      </c>
      <c r="N55" s="19">
        <v>7.49</v>
      </c>
      <c r="O55" s="19">
        <v>9.42</v>
      </c>
      <c r="P55" s="19">
        <v>4.83</v>
      </c>
      <c r="Q55" s="41">
        <v>519</v>
      </c>
      <c r="R55" s="41">
        <v>519</v>
      </c>
      <c r="S55" s="19">
        <v>7.45</v>
      </c>
      <c r="T55" s="20">
        <v>7.45</v>
      </c>
    </row>
  </sheetData>
  <sheetProtection/>
  <mergeCells count="34">
    <mergeCell ref="M7:M8"/>
    <mergeCell ref="N7:N8"/>
    <mergeCell ref="O7:O8"/>
    <mergeCell ref="P7:P8"/>
    <mergeCell ref="I7:I8"/>
    <mergeCell ref="J7:J8"/>
    <mergeCell ref="K7:K8"/>
    <mergeCell ref="L7:L8"/>
    <mergeCell ref="C2:T2"/>
    <mergeCell ref="C3:T3"/>
    <mergeCell ref="Q7:Q8"/>
    <mergeCell ref="R7:R8"/>
    <mergeCell ref="S7:S8"/>
    <mergeCell ref="T7:T8"/>
    <mergeCell ref="Q4:R4"/>
    <mergeCell ref="Q5:R5"/>
    <mergeCell ref="Q6:R6"/>
    <mergeCell ref="S4:T4"/>
    <mergeCell ref="S5:T5"/>
    <mergeCell ref="S6:T6"/>
    <mergeCell ref="I4:L4"/>
    <mergeCell ref="I5:L5"/>
    <mergeCell ref="I6:L6"/>
    <mergeCell ref="M4:P4"/>
    <mergeCell ref="M5:P5"/>
    <mergeCell ref="M6:P6"/>
    <mergeCell ref="C4:F4"/>
    <mergeCell ref="C5:F5"/>
    <mergeCell ref="C6:F6"/>
    <mergeCell ref="B4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X35"/>
  <sheetViews>
    <sheetView zoomScalePageLayoutView="0" workbookViewId="0" topLeftCell="A7">
      <selection activeCell="A17" sqref="A17"/>
    </sheetView>
  </sheetViews>
  <sheetFormatPr defaultColWidth="8.7109375" defaultRowHeight="12.75"/>
  <cols>
    <col min="1" max="6" width="8.7109375" style="172" customWidth="1"/>
    <col min="7" max="8" width="4.7109375" style="172" customWidth="1"/>
    <col min="9" max="19" width="8.7109375" style="172" customWidth="1"/>
    <col min="20" max="21" width="4.7109375" style="172" customWidth="1"/>
    <col min="22" max="16384" width="8.7109375" style="172" customWidth="1"/>
  </cols>
  <sheetData>
    <row r="1" spans="1:9" s="201" customFormat="1" ht="23.25">
      <c r="A1" s="200" t="s">
        <v>222</v>
      </c>
      <c r="B1" s="200"/>
      <c r="C1" s="200"/>
      <c r="D1" s="200"/>
      <c r="E1" s="200"/>
      <c r="F1" s="200"/>
      <c r="G1" s="200"/>
      <c r="H1" s="200"/>
      <c r="I1" s="200"/>
    </row>
    <row r="3" spans="1:8" s="203" customFormat="1" ht="15">
      <c r="A3" s="202" t="s">
        <v>3</v>
      </c>
      <c r="B3" s="202">
        <v>5</v>
      </c>
      <c r="C3" s="202" t="s">
        <v>1</v>
      </c>
      <c r="F3" s="204"/>
      <c r="H3" s="202"/>
    </row>
    <row r="4" spans="1:8" s="203" customFormat="1" ht="15">
      <c r="A4" s="202" t="s">
        <v>102</v>
      </c>
      <c r="B4" s="202">
        <v>184</v>
      </c>
      <c r="C4" s="202" t="s">
        <v>8</v>
      </c>
      <c r="F4" s="204"/>
      <c r="H4" s="202"/>
    </row>
    <row r="5" spans="1:8" s="203" customFormat="1" ht="15">
      <c r="A5" s="202" t="s">
        <v>223</v>
      </c>
      <c r="B5" s="202">
        <v>10</v>
      </c>
      <c r="C5" s="202" t="s">
        <v>110</v>
      </c>
      <c r="F5" s="204"/>
      <c r="H5" s="202"/>
    </row>
    <row r="7" spans="1:24" ht="11.25">
      <c r="A7" s="196"/>
      <c r="B7" s="180"/>
      <c r="C7" s="180"/>
      <c r="D7" s="197"/>
      <c r="E7" s="196"/>
      <c r="F7" s="180"/>
      <c r="G7" s="180"/>
      <c r="H7" s="180"/>
      <c r="I7" s="180"/>
      <c r="J7" s="180"/>
      <c r="K7" s="196"/>
      <c r="L7" s="180"/>
      <c r="M7" s="180"/>
      <c r="N7" s="180"/>
      <c r="O7" s="180"/>
      <c r="P7" s="180"/>
      <c r="Q7" s="196"/>
      <c r="R7" s="180"/>
      <c r="S7" s="180"/>
      <c r="T7" s="180"/>
      <c r="U7" s="180"/>
      <c r="V7" s="180"/>
      <c r="W7" s="180"/>
      <c r="X7" s="197"/>
    </row>
    <row r="8" spans="1:24" ht="11.25">
      <c r="A8" s="184"/>
      <c r="B8" s="181"/>
      <c r="C8" s="181"/>
      <c r="D8" s="191"/>
      <c r="E8" s="184"/>
      <c r="F8" s="181"/>
      <c r="G8" s="181"/>
      <c r="H8" s="181"/>
      <c r="I8" s="181"/>
      <c r="J8" s="181"/>
      <c r="K8" s="184"/>
      <c r="L8" s="181"/>
      <c r="M8" s="181"/>
      <c r="N8" s="181"/>
      <c r="O8" s="181"/>
      <c r="P8" s="181"/>
      <c r="Q8" s="184"/>
      <c r="R8" s="181"/>
      <c r="S8" s="181"/>
      <c r="T8" s="181"/>
      <c r="U8" s="181"/>
      <c r="V8" s="181"/>
      <c r="W8" s="181"/>
      <c r="X8" s="191"/>
    </row>
    <row r="9" spans="1:24" ht="11.25">
      <c r="A9" s="184"/>
      <c r="B9" s="183">
        <v>10</v>
      </c>
      <c r="C9" s="183">
        <f>B5</f>
        <v>10</v>
      </c>
      <c r="D9" s="205">
        <f>B9</f>
        <v>10</v>
      </c>
      <c r="E9" s="184"/>
      <c r="F9" s="183">
        <f>B5</f>
        <v>10</v>
      </c>
      <c r="G9" s="183">
        <f>B5</f>
        <v>10</v>
      </c>
      <c r="H9" s="183"/>
      <c r="I9" s="183">
        <f>G9</f>
        <v>10</v>
      </c>
      <c r="J9" s="183">
        <f>F9</f>
        <v>10</v>
      </c>
      <c r="K9" s="184"/>
      <c r="L9" s="183">
        <f>B5</f>
        <v>10</v>
      </c>
      <c r="M9" s="183">
        <f>B5</f>
        <v>10</v>
      </c>
      <c r="N9" s="183">
        <f>M9</f>
        <v>10</v>
      </c>
      <c r="O9" s="183">
        <f>M9</f>
        <v>10</v>
      </c>
      <c r="P9" s="183">
        <f>L9</f>
        <v>10</v>
      </c>
      <c r="Q9" s="184"/>
      <c r="R9" s="183">
        <f>B5</f>
        <v>10</v>
      </c>
      <c r="S9" s="183">
        <f>R9</f>
        <v>10</v>
      </c>
      <c r="T9" s="183">
        <f>R9</f>
        <v>10</v>
      </c>
      <c r="U9" s="183"/>
      <c r="V9" s="183">
        <f>R9</f>
        <v>10</v>
      </c>
      <c r="W9" s="183">
        <f>R9</f>
        <v>10</v>
      </c>
      <c r="X9" s="205">
        <f>R9</f>
        <v>10</v>
      </c>
    </row>
    <row r="10" spans="1:24" ht="11.25">
      <c r="A10" s="184"/>
      <c r="B10" s="181"/>
      <c r="C10" s="181"/>
      <c r="D10" s="191"/>
      <c r="E10" s="184"/>
      <c r="F10" s="181"/>
      <c r="G10" s="181"/>
      <c r="H10" s="181"/>
      <c r="I10" s="181"/>
      <c r="J10" s="181"/>
      <c r="K10" s="184"/>
      <c r="L10" s="181"/>
      <c r="M10" s="181"/>
      <c r="N10" s="181"/>
      <c r="O10" s="181"/>
      <c r="P10" s="181"/>
      <c r="Q10" s="184"/>
      <c r="R10" s="181"/>
      <c r="S10" s="181"/>
      <c r="T10" s="181"/>
      <c r="U10" s="181"/>
      <c r="V10" s="181"/>
      <c r="W10" s="181"/>
      <c r="X10" s="191"/>
    </row>
    <row r="11" spans="1:24" ht="11.25">
      <c r="A11" s="184"/>
      <c r="B11" s="181">
        <f>B4</f>
        <v>184</v>
      </c>
      <c r="C11" s="181"/>
      <c r="D11" s="191"/>
      <c r="E11" s="184"/>
      <c r="F11" s="173">
        <f>B4</f>
        <v>184</v>
      </c>
      <c r="G11" s="181"/>
      <c r="H11" s="174"/>
      <c r="I11" s="181"/>
      <c r="J11" s="181"/>
      <c r="K11" s="184"/>
      <c r="L11" s="181">
        <f>B4</f>
        <v>184</v>
      </c>
      <c r="M11" s="181"/>
      <c r="N11" s="181"/>
      <c r="O11" s="181"/>
      <c r="P11" s="181"/>
      <c r="Q11" s="184"/>
      <c r="R11" s="181">
        <f>B4</f>
        <v>184</v>
      </c>
      <c r="S11" s="181"/>
      <c r="T11" s="181"/>
      <c r="U11" s="181"/>
      <c r="V11" s="181"/>
      <c r="W11" s="181"/>
      <c r="X11" s="191"/>
    </row>
    <row r="12" spans="1:24" ht="4.5" customHeight="1">
      <c r="A12" s="184"/>
      <c r="B12" s="175"/>
      <c r="C12" s="176"/>
      <c r="D12" s="191"/>
      <c r="E12" s="184"/>
      <c r="F12" s="175"/>
      <c r="G12" s="177"/>
      <c r="H12" s="177"/>
      <c r="I12" s="176"/>
      <c r="J12" s="181"/>
      <c r="K12" s="184"/>
      <c r="L12" s="175"/>
      <c r="M12" s="177"/>
      <c r="N12" s="177"/>
      <c r="O12" s="176"/>
      <c r="P12" s="181"/>
      <c r="Q12" s="184"/>
      <c r="R12" s="175"/>
      <c r="S12" s="177"/>
      <c r="T12" s="177"/>
      <c r="U12" s="177"/>
      <c r="V12" s="177"/>
      <c r="W12" s="176"/>
      <c r="X12" s="191"/>
    </row>
    <row r="13" spans="1:24" ht="11.25">
      <c r="A13" s="184"/>
      <c r="B13" s="181"/>
      <c r="C13" s="181"/>
      <c r="D13" s="191"/>
      <c r="E13" s="184"/>
      <c r="F13" s="181"/>
      <c r="G13" s="181"/>
      <c r="H13" s="181"/>
      <c r="I13" s="181"/>
      <c r="J13" s="181"/>
      <c r="K13" s="184"/>
      <c r="L13" s="181"/>
      <c r="M13" s="181"/>
      <c r="N13" s="181"/>
      <c r="O13" s="181"/>
      <c r="P13" s="181"/>
      <c r="Q13" s="184"/>
      <c r="R13" s="181"/>
      <c r="S13" s="181"/>
      <c r="T13" s="181"/>
      <c r="U13" s="181"/>
      <c r="V13" s="181"/>
      <c r="W13" s="181"/>
      <c r="X13" s="191"/>
    </row>
    <row r="14" spans="1:24" ht="11.25">
      <c r="A14" s="184"/>
      <c r="B14" s="173">
        <f>B15/2</f>
        <v>2.5</v>
      </c>
      <c r="C14" s="178">
        <f>B14</f>
        <v>2.5</v>
      </c>
      <c r="D14" s="191"/>
      <c r="E14" s="184"/>
      <c r="F14" s="173">
        <f>F15/3</f>
        <v>1.6666666666666667</v>
      </c>
      <c r="G14" s="178">
        <f>F14/2</f>
        <v>0.8333333333333334</v>
      </c>
      <c r="H14" s="179">
        <f>G14</f>
        <v>0.8333333333333334</v>
      </c>
      <c r="I14" s="178">
        <f>F14</f>
        <v>1.6666666666666667</v>
      </c>
      <c r="J14" s="181"/>
      <c r="K14" s="184"/>
      <c r="L14" s="173">
        <f>L15/4</f>
        <v>1.25</v>
      </c>
      <c r="M14" s="178">
        <f>L14</f>
        <v>1.25</v>
      </c>
      <c r="N14" s="178">
        <f>L14</f>
        <v>1.25</v>
      </c>
      <c r="O14" s="178">
        <f>L14</f>
        <v>1.25</v>
      </c>
      <c r="P14" s="181"/>
      <c r="Q14" s="184"/>
      <c r="R14" s="179">
        <f>R15/5</f>
        <v>1</v>
      </c>
      <c r="S14" s="179">
        <f>R14</f>
        <v>1</v>
      </c>
      <c r="T14" s="179">
        <f>R14/2</f>
        <v>0.5</v>
      </c>
      <c r="U14" s="179">
        <f>T14</f>
        <v>0.5</v>
      </c>
      <c r="V14" s="179">
        <f>R14</f>
        <v>1</v>
      </c>
      <c r="W14" s="179">
        <f>R14</f>
        <v>1</v>
      </c>
      <c r="X14" s="191"/>
    </row>
    <row r="15" spans="1:24" ht="11.25">
      <c r="A15" s="184"/>
      <c r="B15" s="388">
        <f>B3</f>
        <v>5</v>
      </c>
      <c r="C15" s="388"/>
      <c r="D15" s="191"/>
      <c r="E15" s="184"/>
      <c r="F15" s="388">
        <f>B3</f>
        <v>5</v>
      </c>
      <c r="G15" s="388"/>
      <c r="H15" s="388"/>
      <c r="I15" s="388"/>
      <c r="J15" s="181"/>
      <c r="K15" s="184"/>
      <c r="L15" s="387">
        <f>B3</f>
        <v>5</v>
      </c>
      <c r="M15" s="387"/>
      <c r="N15" s="387"/>
      <c r="O15" s="387"/>
      <c r="P15" s="181"/>
      <c r="Q15" s="184"/>
      <c r="R15" s="387">
        <f>B3</f>
        <v>5</v>
      </c>
      <c r="S15" s="387"/>
      <c r="T15" s="387"/>
      <c r="U15" s="387"/>
      <c r="V15" s="387"/>
      <c r="W15" s="387"/>
      <c r="X15" s="191"/>
    </row>
    <row r="16" spans="1:24" ht="11.25">
      <c r="A16" s="184"/>
      <c r="B16" s="181"/>
      <c r="C16" s="181"/>
      <c r="D16" s="191"/>
      <c r="E16" s="184"/>
      <c r="F16" s="181"/>
      <c r="G16" s="181"/>
      <c r="H16" s="181"/>
      <c r="I16" s="181"/>
      <c r="J16" s="181"/>
      <c r="K16" s="184"/>
      <c r="L16" s="181"/>
      <c r="M16" s="181"/>
      <c r="N16" s="181"/>
      <c r="O16" s="181"/>
      <c r="P16" s="181"/>
      <c r="Q16" s="184"/>
      <c r="R16" s="181"/>
      <c r="S16" s="181"/>
      <c r="T16" s="181"/>
      <c r="U16" s="181"/>
      <c r="V16" s="181"/>
      <c r="W16" s="181"/>
      <c r="X16" s="191"/>
    </row>
    <row r="17" spans="1:24" ht="11.25">
      <c r="A17" s="206">
        <f>((B9+C9+D9)+(B11*B15))/2</f>
        <v>475</v>
      </c>
      <c r="B17" s="181"/>
      <c r="C17" s="181"/>
      <c r="D17" s="191"/>
      <c r="E17" s="206">
        <f>((F9+G9+I9+J9)+(F11*F15))/2</f>
        <v>480</v>
      </c>
      <c r="F17" s="181"/>
      <c r="G17" s="181"/>
      <c r="H17" s="181"/>
      <c r="I17" s="181"/>
      <c r="J17" s="181"/>
      <c r="K17" s="206">
        <f>((L9+M9+N9+O9+P9)+(L11*L15))/2</f>
        <v>485</v>
      </c>
      <c r="L17" s="181"/>
      <c r="M17" s="181"/>
      <c r="N17" s="181"/>
      <c r="O17" s="181"/>
      <c r="P17" s="181"/>
      <c r="Q17" s="206">
        <f>((R9+S9+T9+V9+W9+X9)+(R11*R15))/2</f>
        <v>490</v>
      </c>
      <c r="R17" s="181"/>
      <c r="S17" s="181"/>
      <c r="T17" s="181"/>
      <c r="U17" s="181"/>
      <c r="V17" s="181"/>
      <c r="W17" s="181"/>
      <c r="X17" s="191"/>
    </row>
    <row r="18" spans="1:24" ht="11.25">
      <c r="A18" s="184"/>
      <c r="B18" s="182"/>
      <c r="C18" s="183">
        <f>A17-B9-(B11*B14)</f>
        <v>5</v>
      </c>
      <c r="D18" s="191"/>
      <c r="E18" s="184"/>
      <c r="F18" s="182"/>
      <c r="G18" s="389">
        <f>E17-F9-(F11*F14)</f>
        <v>163.33333333333331</v>
      </c>
      <c r="H18" s="389"/>
      <c r="I18" s="181"/>
      <c r="J18" s="181"/>
      <c r="K18" s="184"/>
      <c r="L18" s="182"/>
      <c r="M18" s="183">
        <f>K17-L9-(L11*L14)</f>
        <v>245</v>
      </c>
      <c r="N18" s="181"/>
      <c r="O18" s="181"/>
      <c r="P18" s="181"/>
      <c r="Q18" s="184"/>
      <c r="R18" s="182"/>
      <c r="S18" s="183">
        <f>Q17-R9-(R11*R14)</f>
        <v>296</v>
      </c>
      <c r="T18" s="181"/>
      <c r="U18" s="181"/>
      <c r="V18" s="181"/>
      <c r="W18" s="181"/>
      <c r="X18" s="191"/>
    </row>
    <row r="19" spans="1:24" ht="11.25">
      <c r="A19" s="184"/>
      <c r="B19" s="184"/>
      <c r="C19" s="184"/>
      <c r="D19" s="191"/>
      <c r="E19" s="184"/>
      <c r="F19" s="184"/>
      <c r="G19" s="390">
        <f>G18-G9</f>
        <v>153.33333333333331</v>
      </c>
      <c r="H19" s="389"/>
      <c r="I19" s="181"/>
      <c r="J19" s="181"/>
      <c r="K19" s="184"/>
      <c r="L19" s="185"/>
      <c r="M19" s="183">
        <f>M18-M9</f>
        <v>235</v>
      </c>
      <c r="N19" s="181"/>
      <c r="O19" s="181"/>
      <c r="P19" s="181"/>
      <c r="Q19" s="184"/>
      <c r="R19" s="185"/>
      <c r="S19" s="183">
        <f>S18-S9</f>
        <v>286</v>
      </c>
      <c r="T19" s="181"/>
      <c r="U19" s="181"/>
      <c r="V19" s="181"/>
      <c r="W19" s="181"/>
      <c r="X19" s="191"/>
    </row>
    <row r="20" spans="1:24" ht="11.25">
      <c r="A20" s="206">
        <v>0</v>
      </c>
      <c r="B20" s="178"/>
      <c r="C20" s="184"/>
      <c r="D20" s="195"/>
      <c r="E20" s="206">
        <v>0</v>
      </c>
      <c r="F20" s="178"/>
      <c r="G20" s="186"/>
      <c r="H20" s="187">
        <f>G19-(F11*G14)</f>
        <v>0</v>
      </c>
      <c r="I20" s="173"/>
      <c r="J20" s="181"/>
      <c r="K20" s="184"/>
      <c r="L20" s="184"/>
      <c r="M20" s="188"/>
      <c r="N20" s="183">
        <f>M19-(L11*M14)</f>
        <v>5</v>
      </c>
      <c r="O20" s="181"/>
      <c r="P20" s="181"/>
      <c r="Q20" s="184"/>
      <c r="R20" s="184"/>
      <c r="S20" s="188"/>
      <c r="T20" s="389">
        <f>S19-(R11*S14)</f>
        <v>102</v>
      </c>
      <c r="U20" s="389"/>
      <c r="V20" s="181"/>
      <c r="W20" s="181"/>
      <c r="X20" s="191"/>
    </row>
    <row r="21" spans="1:24" ht="11.25">
      <c r="A21" s="184"/>
      <c r="B21" s="181"/>
      <c r="C21" s="189"/>
      <c r="D21" s="205">
        <v>0</v>
      </c>
      <c r="E21" s="184"/>
      <c r="F21" s="181"/>
      <c r="G21" s="181"/>
      <c r="H21" s="190"/>
      <c r="I21" s="191"/>
      <c r="J21" s="183">
        <v>0</v>
      </c>
      <c r="K21" s="206">
        <v>0</v>
      </c>
      <c r="L21" s="178"/>
      <c r="M21" s="192"/>
      <c r="N21" s="181"/>
      <c r="O21" s="181"/>
      <c r="P21" s="181"/>
      <c r="Q21" s="184"/>
      <c r="R21" s="184"/>
      <c r="S21" s="191"/>
      <c r="T21" s="390">
        <f>T20-T9</f>
        <v>92</v>
      </c>
      <c r="U21" s="389"/>
      <c r="V21" s="181"/>
      <c r="W21" s="181"/>
      <c r="X21" s="191"/>
    </row>
    <row r="22" spans="1:24" ht="12.75" customHeight="1">
      <c r="A22" s="207"/>
      <c r="B22" s="194">
        <f>C18-C9</f>
        <v>-5</v>
      </c>
      <c r="C22" s="193"/>
      <c r="D22" s="191"/>
      <c r="E22" s="184"/>
      <c r="F22" s="181"/>
      <c r="G22" s="391">
        <f>H20-(F11*H14)</f>
        <v>-153.33333333333334</v>
      </c>
      <c r="H22" s="392"/>
      <c r="I22" s="185"/>
      <c r="J22" s="181"/>
      <c r="K22" s="184"/>
      <c r="L22" s="181"/>
      <c r="M22" s="181"/>
      <c r="N22" s="196"/>
      <c r="O22" s="197"/>
      <c r="P22" s="183">
        <v>0</v>
      </c>
      <c r="Q22" s="206">
        <v>0</v>
      </c>
      <c r="R22" s="178"/>
      <c r="S22" s="173"/>
      <c r="T22" s="186"/>
      <c r="U22" s="198">
        <f>T21-(R11*U14)</f>
        <v>0</v>
      </c>
      <c r="V22" s="173"/>
      <c r="W22" s="173"/>
      <c r="X22" s="191"/>
    </row>
    <row r="23" spans="1:24" ht="12.75" customHeight="1">
      <c r="A23" s="207"/>
      <c r="B23" s="181"/>
      <c r="C23" s="199"/>
      <c r="D23" s="191"/>
      <c r="E23" s="184"/>
      <c r="F23" s="181"/>
      <c r="G23" s="391">
        <f>G22-I9</f>
        <v>-163.33333333333334</v>
      </c>
      <c r="H23" s="391"/>
      <c r="I23" s="199"/>
      <c r="J23" s="181"/>
      <c r="K23" s="184"/>
      <c r="L23" s="181"/>
      <c r="M23" s="194">
        <f>N20-N9</f>
        <v>-5</v>
      </c>
      <c r="N23" s="188"/>
      <c r="O23" s="191"/>
      <c r="P23" s="181"/>
      <c r="Q23" s="184"/>
      <c r="R23" s="181"/>
      <c r="S23" s="181"/>
      <c r="T23" s="181"/>
      <c r="U23" s="188"/>
      <c r="V23" s="181"/>
      <c r="W23" s="191"/>
      <c r="X23" s="205">
        <v>0</v>
      </c>
    </row>
    <row r="24" spans="1:24" ht="12.75" customHeight="1">
      <c r="A24" s="184"/>
      <c r="B24" s="181"/>
      <c r="C24" s="181"/>
      <c r="D24" s="205">
        <f>B22-D9-(B11*C14)</f>
        <v>-475</v>
      </c>
      <c r="E24" s="184"/>
      <c r="F24" s="181"/>
      <c r="G24" s="181"/>
      <c r="H24" s="181"/>
      <c r="I24" s="181"/>
      <c r="J24" s="183">
        <f>G23-J9-(F11*I14)</f>
        <v>-480</v>
      </c>
      <c r="K24" s="184"/>
      <c r="L24" s="181"/>
      <c r="M24" s="181"/>
      <c r="N24" s="195">
        <f>M23-(L11*N14)</f>
        <v>-235</v>
      </c>
      <c r="O24" s="191"/>
      <c r="P24" s="181"/>
      <c r="Q24" s="184"/>
      <c r="R24" s="181"/>
      <c r="S24" s="181"/>
      <c r="T24" s="391">
        <f>U22-(R11*U14)</f>
        <v>-92</v>
      </c>
      <c r="U24" s="391"/>
      <c r="V24" s="184"/>
      <c r="W24" s="191"/>
      <c r="X24" s="191"/>
    </row>
    <row r="25" spans="1:24" ht="12.75" customHeight="1">
      <c r="A25" s="184"/>
      <c r="B25" s="181"/>
      <c r="C25" s="181"/>
      <c r="D25" s="191"/>
      <c r="E25" s="184"/>
      <c r="F25" s="181"/>
      <c r="G25" s="181"/>
      <c r="H25" s="181"/>
      <c r="I25" s="181"/>
      <c r="J25" s="181"/>
      <c r="K25" s="184"/>
      <c r="L25" s="181"/>
      <c r="M25" s="181"/>
      <c r="N25" s="194">
        <f>N24-O9</f>
        <v>-245</v>
      </c>
      <c r="O25" s="199"/>
      <c r="P25" s="181"/>
      <c r="Q25" s="184"/>
      <c r="R25" s="181"/>
      <c r="S25" s="181"/>
      <c r="T25" s="391">
        <f>T24-V9</f>
        <v>-102</v>
      </c>
      <c r="U25" s="391"/>
      <c r="V25" s="188"/>
      <c r="W25" s="191"/>
      <c r="X25" s="191"/>
    </row>
    <row r="26" spans="1:24" ht="11.25">
      <c r="A26" s="184"/>
      <c r="B26" s="387">
        <f>(A17*B14)-(B9*B14)-(B11*B14*B14/2)</f>
        <v>587.5</v>
      </c>
      <c r="C26" s="387"/>
      <c r="D26" s="191"/>
      <c r="E26" s="184"/>
      <c r="F26" s="194">
        <f>(E17*F14)-(F9*F14)-(F11*F14*F14/2)</f>
        <v>527.7777777777778</v>
      </c>
      <c r="G26" s="387">
        <f>(E17*(F14+G14))-(F9*(F14+G14))-(G9*G14)-(F11*(F14+G14)*(F14+G14)/2)</f>
        <v>591.6666666666667</v>
      </c>
      <c r="H26" s="387"/>
      <c r="I26" s="183">
        <f>(E17*(F14+G14+H14))-(F9*(F14+G14+H14))-(G9*(G14+H14))-(F11*(F14+G14+H14)*(F14+G14+H14)/2)</f>
        <v>527.7777777777777</v>
      </c>
      <c r="J26" s="181"/>
      <c r="K26" s="206"/>
      <c r="L26" s="181"/>
      <c r="M26" s="181"/>
      <c r="N26" s="181"/>
      <c r="O26" s="181"/>
      <c r="P26" s="183">
        <f>N25-P9-(L11*O14)</f>
        <v>-485</v>
      </c>
      <c r="Q26" s="184"/>
      <c r="R26" s="181"/>
      <c r="S26" s="181"/>
      <c r="T26" s="181"/>
      <c r="U26" s="181"/>
      <c r="V26" s="194">
        <f>T25-(R11*V14)</f>
        <v>-286</v>
      </c>
      <c r="W26" s="185"/>
      <c r="X26" s="191"/>
    </row>
    <row r="27" spans="1:24" ht="11.25">
      <c r="A27" s="207"/>
      <c r="B27" s="208"/>
      <c r="C27" s="208"/>
      <c r="D27" s="209"/>
      <c r="E27" s="184"/>
      <c r="F27" s="208"/>
      <c r="G27" s="208"/>
      <c r="H27" s="208"/>
      <c r="I27" s="208"/>
      <c r="J27" s="208"/>
      <c r="K27" s="184"/>
      <c r="L27" s="181"/>
      <c r="M27" s="181"/>
      <c r="N27" s="181"/>
      <c r="O27" s="181"/>
      <c r="P27" s="181"/>
      <c r="Q27" s="184"/>
      <c r="R27" s="181"/>
      <c r="S27" s="181"/>
      <c r="T27" s="181"/>
      <c r="U27" s="181"/>
      <c r="V27" s="194">
        <f>V26-W9</f>
        <v>-296</v>
      </c>
      <c r="W27" s="199"/>
      <c r="X27" s="191"/>
    </row>
    <row r="28" spans="1:24" ht="11.25">
      <c r="A28" s="207"/>
      <c r="B28" s="208"/>
      <c r="C28" s="208"/>
      <c r="D28" s="209"/>
      <c r="E28" s="184"/>
      <c r="F28" s="208"/>
      <c r="G28" s="208"/>
      <c r="H28" s="208"/>
      <c r="I28" s="208"/>
      <c r="J28" s="208"/>
      <c r="K28" s="184"/>
      <c r="M28" s="387">
        <f>(K17*(L14+M14))-(L9*(L14+M14))-(M9*M14)-(L11*(L14+M14)*(L14+M14)/2)</f>
        <v>600</v>
      </c>
      <c r="N28" s="387"/>
      <c r="P28" s="181"/>
      <c r="Q28" s="184"/>
      <c r="R28" s="181"/>
      <c r="S28" s="181"/>
      <c r="T28" s="181"/>
      <c r="U28" s="181"/>
      <c r="V28" s="181"/>
      <c r="W28" s="181"/>
      <c r="X28" s="205">
        <f>V27-X9-(R11*W14)</f>
        <v>-490</v>
      </c>
    </row>
    <row r="29" spans="1:24" ht="11.25">
      <c r="A29" s="206">
        <v>0</v>
      </c>
      <c r="B29" s="173"/>
      <c r="C29" s="173"/>
      <c r="D29" s="205">
        <v>0</v>
      </c>
      <c r="E29" s="206">
        <v>0</v>
      </c>
      <c r="F29" s="173"/>
      <c r="G29" s="173"/>
      <c r="H29" s="173"/>
      <c r="I29" s="173"/>
      <c r="J29" s="183">
        <v>0</v>
      </c>
      <c r="K29" s="184"/>
      <c r="L29" s="194">
        <f>(K17*L14)-(L9*L14)-(L11*L14*L14/2)</f>
        <v>450</v>
      </c>
      <c r="M29" s="181"/>
      <c r="N29" s="181"/>
      <c r="O29" s="183">
        <f>(K17*(L14+M14+N14))-(L9*(L14+M14+N14))-(M9*(M14+N14))-(N9*N14)-(L11*(L14+M14+N14)*(L14+M14+N14)/2)</f>
        <v>450</v>
      </c>
      <c r="P29" s="181"/>
      <c r="Q29" s="184"/>
      <c r="R29" s="181"/>
      <c r="S29" s="181"/>
      <c r="T29" s="181"/>
      <c r="U29" s="181"/>
      <c r="V29" s="181"/>
      <c r="W29" s="181"/>
      <c r="X29" s="191"/>
    </row>
    <row r="30" spans="1:24" ht="11.25">
      <c r="A30" s="184"/>
      <c r="B30" s="181"/>
      <c r="C30" s="181"/>
      <c r="D30" s="195"/>
      <c r="E30" s="184"/>
      <c r="F30" s="181"/>
      <c r="G30" s="181"/>
      <c r="H30" s="181"/>
      <c r="I30" s="181"/>
      <c r="J30" s="181"/>
      <c r="K30" s="184"/>
      <c r="L30" s="181"/>
      <c r="M30" s="181"/>
      <c r="N30" s="181"/>
      <c r="O30" s="181"/>
      <c r="P30" s="181"/>
      <c r="Q30" s="184"/>
      <c r="R30" s="181"/>
      <c r="S30" s="194">
        <f>(Q17*(R14+S14))-(R9*(R14+S14))-(S9*S14)-(R11*(R14+S14)*(R14+S14)/2)</f>
        <v>582</v>
      </c>
      <c r="T30" s="387">
        <f>(Q17*(R14+S14+T14))-(R9*(R14+S14+T14))-(S9*(S14+T14))-(T9*T14)-(R11*(R14+S14+T14)*(R14+S14+T14)/2)</f>
        <v>605</v>
      </c>
      <c r="U30" s="387"/>
      <c r="V30" s="183">
        <f>(Q17*(R14+S14+T14+U14))-(R9*(R14+S14+T14+U14))-(S9*(S14+T14+U14))-(T9*(T14+U14))-(R11*(R14+S14+T14+U14)*(R14+S14+T14+U14)/2)</f>
        <v>582</v>
      </c>
      <c r="W30" s="181"/>
      <c r="X30" s="191"/>
    </row>
    <row r="31" spans="1:24" ht="11.25">
      <c r="A31" s="178"/>
      <c r="B31" s="173"/>
      <c r="C31" s="173"/>
      <c r="D31" s="192"/>
      <c r="E31" s="178"/>
      <c r="F31" s="173"/>
      <c r="G31" s="173"/>
      <c r="H31" s="173"/>
      <c r="I31" s="173"/>
      <c r="J31" s="173"/>
      <c r="K31" s="206">
        <v>0</v>
      </c>
      <c r="L31" s="173"/>
      <c r="M31" s="173"/>
      <c r="N31" s="173"/>
      <c r="O31" s="173"/>
      <c r="P31" s="183">
        <v>0</v>
      </c>
      <c r="Q31" s="184"/>
      <c r="R31" s="194">
        <f>(Q17*R14)-(R9*R14)-(R11*R14*R14/2)</f>
        <v>388</v>
      </c>
      <c r="S31" s="181"/>
      <c r="T31" s="181"/>
      <c r="U31" s="181"/>
      <c r="V31" s="181"/>
      <c r="W31" s="183">
        <f>(Q17*(R14+S14+T14+U14+V14))-(R9*(R14+S14+T14+U14+V14))-(S9*(S14+T14+U14+V14))-(T9*(T14+U14+V14))-(V9*V14)-(R11*(R14+S14+T14+U14+V14)*(R14+S14+T14+U14+V14)/2)</f>
        <v>388</v>
      </c>
      <c r="X31" s="191"/>
    </row>
    <row r="32" spans="11:24" ht="11.25">
      <c r="K32" s="184"/>
      <c r="L32" s="181"/>
      <c r="M32" s="181"/>
      <c r="N32" s="181"/>
      <c r="O32" s="181"/>
      <c r="P32" s="181"/>
      <c r="Q32" s="184"/>
      <c r="R32" s="181"/>
      <c r="S32" s="181"/>
      <c r="T32" s="181"/>
      <c r="U32" s="181"/>
      <c r="V32" s="181"/>
      <c r="W32" s="181"/>
      <c r="X32" s="191"/>
    </row>
    <row r="33" spans="11:24" ht="11.25">
      <c r="K33" s="178"/>
      <c r="L33" s="173"/>
      <c r="M33" s="173"/>
      <c r="N33" s="173"/>
      <c r="O33" s="173"/>
      <c r="P33" s="173"/>
      <c r="Q33" s="206">
        <v>0</v>
      </c>
      <c r="R33" s="173"/>
      <c r="S33" s="173"/>
      <c r="T33" s="173"/>
      <c r="U33" s="173"/>
      <c r="V33" s="173"/>
      <c r="W33" s="173"/>
      <c r="X33" s="205">
        <v>0</v>
      </c>
    </row>
    <row r="34" spans="17:24" ht="11.25">
      <c r="Q34" s="184"/>
      <c r="R34" s="181"/>
      <c r="S34" s="181"/>
      <c r="T34" s="181"/>
      <c r="U34" s="181"/>
      <c r="V34" s="181"/>
      <c r="W34" s="181"/>
      <c r="X34" s="191"/>
    </row>
    <row r="35" spans="17:24" ht="11.25">
      <c r="Q35" s="178"/>
      <c r="R35" s="173"/>
      <c r="S35" s="173"/>
      <c r="T35" s="173"/>
      <c r="U35" s="173"/>
      <c r="V35" s="173"/>
      <c r="W35" s="173"/>
      <c r="X35" s="192"/>
    </row>
    <row r="36" ht="11.25"/>
    <row r="40" ht="11.25"/>
  </sheetData>
  <sheetProtection/>
  <mergeCells count="16">
    <mergeCell ref="M28:N28"/>
    <mergeCell ref="G26:H26"/>
    <mergeCell ref="T30:U30"/>
    <mergeCell ref="G23:H23"/>
    <mergeCell ref="T24:U24"/>
    <mergeCell ref="T25:U25"/>
    <mergeCell ref="B26:C26"/>
    <mergeCell ref="F15:I15"/>
    <mergeCell ref="B15:C15"/>
    <mergeCell ref="R15:W15"/>
    <mergeCell ref="T20:U20"/>
    <mergeCell ref="T21:U21"/>
    <mergeCell ref="G18:H18"/>
    <mergeCell ref="G19:H19"/>
    <mergeCell ref="L15:O15"/>
    <mergeCell ref="G22:H22"/>
  </mergeCells>
  <printOptions/>
  <pageMargins left="0.7480314960629921" right="0.7480314960629921" top="0.7874015748031497" bottom="0.5905511811023623" header="0.5118110236220472" footer="0.5118110236220472"/>
  <pageSetup orientation="portrait" paperSize="9" r:id="rId2"/>
  <ignoredErrors>
    <ignoredError sqref="T1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2:S25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0.71875" style="73" customWidth="1"/>
    <col min="2" max="2" width="8.140625" style="73" customWidth="1"/>
    <col min="3" max="3" width="5.28125" style="73" customWidth="1"/>
    <col min="4" max="4" width="5.8515625" style="73" customWidth="1"/>
    <col min="5" max="6" width="5.00390625" style="73" customWidth="1"/>
    <col min="7" max="7" width="5.7109375" style="73" customWidth="1"/>
    <col min="8" max="8" width="4.57421875" style="73" customWidth="1"/>
    <col min="9" max="9" width="10.8515625" style="73" customWidth="1"/>
    <col min="10" max="10" width="4.28125" style="73" customWidth="1"/>
    <col min="11" max="16" width="5.57421875" style="73" customWidth="1"/>
    <col min="17" max="17" width="7.00390625" style="73" customWidth="1"/>
    <col min="18" max="19" width="5.57421875" style="73" customWidth="1"/>
    <col min="20" max="16384" width="9.140625" style="73" customWidth="1"/>
  </cols>
  <sheetData>
    <row r="1" ht="6.75" customHeight="1"/>
    <row r="2" spans="2:19" s="103" customFormat="1" ht="23.25">
      <c r="B2" s="325" t="s">
        <v>142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7"/>
    </row>
    <row r="3" ht="6.75" customHeight="1"/>
    <row r="4" spans="2:15" ht="12.75">
      <c r="B4" s="107" t="s">
        <v>131</v>
      </c>
      <c r="C4" s="90"/>
      <c r="D4" s="90"/>
      <c r="E4" s="90"/>
      <c r="F4" s="90"/>
      <c r="J4" s="107" t="s">
        <v>143</v>
      </c>
      <c r="O4" s="107" t="s">
        <v>147</v>
      </c>
    </row>
    <row r="5" spans="5:15" ht="15">
      <c r="E5" s="89" t="s">
        <v>156</v>
      </c>
      <c r="F5" s="295">
        <f>2.1*10^6</f>
        <v>2100000</v>
      </c>
      <c r="G5" s="295"/>
      <c r="H5" s="75" t="s">
        <v>118</v>
      </c>
      <c r="K5" s="74" t="s">
        <v>144</v>
      </c>
      <c r="L5" s="296">
        <v>1.4</v>
      </c>
      <c r="M5" s="296"/>
      <c r="N5" s="75" t="s">
        <v>1</v>
      </c>
      <c r="O5" s="88"/>
    </row>
    <row r="6" spans="5:19" ht="15">
      <c r="E6" s="89" t="s">
        <v>133</v>
      </c>
      <c r="F6" s="295">
        <v>2310</v>
      </c>
      <c r="G6" s="295"/>
      <c r="H6" s="75" t="s">
        <v>118</v>
      </c>
      <c r="K6" s="74" t="s">
        <v>145</v>
      </c>
      <c r="L6" s="296">
        <v>5.1</v>
      </c>
      <c r="M6" s="296"/>
      <c r="N6" s="75" t="s">
        <v>1</v>
      </c>
      <c r="P6" s="89" t="s">
        <v>148</v>
      </c>
      <c r="Q6" s="297">
        <v>1.5</v>
      </c>
      <c r="R6" s="298"/>
      <c r="S6" s="75" t="s">
        <v>1</v>
      </c>
    </row>
    <row r="7" spans="2:19" ht="15">
      <c r="B7" s="107" t="s">
        <v>132</v>
      </c>
      <c r="C7" s="90"/>
      <c r="D7" s="90"/>
      <c r="E7" s="90"/>
      <c r="F7" s="90"/>
      <c r="H7" s="106" t="s">
        <v>146</v>
      </c>
      <c r="K7" s="74" t="s">
        <v>225</v>
      </c>
      <c r="L7" s="299">
        <v>0.5</v>
      </c>
      <c r="M7" s="300"/>
      <c r="N7" s="75" t="s">
        <v>1</v>
      </c>
      <c r="P7" s="89" t="s">
        <v>4</v>
      </c>
      <c r="Q7" s="301">
        <v>10</v>
      </c>
      <c r="R7" s="302"/>
      <c r="S7" s="75" t="s">
        <v>8</v>
      </c>
    </row>
    <row r="8" spans="5:19" ht="15">
      <c r="E8" s="89" t="s">
        <v>108</v>
      </c>
      <c r="F8" s="303">
        <v>15</v>
      </c>
      <c r="G8" s="303"/>
      <c r="H8" s="75" t="s">
        <v>158</v>
      </c>
      <c r="P8" s="89" t="s">
        <v>111</v>
      </c>
      <c r="Q8" s="301">
        <v>460</v>
      </c>
      <c r="R8" s="302"/>
      <c r="S8" s="75" t="s">
        <v>110</v>
      </c>
    </row>
    <row r="9" spans="5:19" ht="15">
      <c r="E9" s="89" t="s">
        <v>109</v>
      </c>
      <c r="F9" s="303">
        <v>10</v>
      </c>
      <c r="G9" s="303"/>
      <c r="H9" s="75" t="s">
        <v>158</v>
      </c>
      <c r="P9" s="89" t="s">
        <v>107</v>
      </c>
      <c r="Q9" s="301"/>
      <c r="R9" s="302"/>
      <c r="S9" s="75" t="s">
        <v>110</v>
      </c>
    </row>
    <row r="10" spans="5:19" ht="15">
      <c r="E10" s="89" t="s">
        <v>17</v>
      </c>
      <c r="F10" s="303">
        <v>30</v>
      </c>
      <c r="G10" s="303"/>
      <c r="H10" s="75" t="s">
        <v>158</v>
      </c>
      <c r="L10" s="105">
        <f>ROUND(DEGREES(ATAN(L5/L6)),1)</f>
        <v>15.4</v>
      </c>
      <c r="M10" s="104"/>
      <c r="P10" s="89" t="s">
        <v>120</v>
      </c>
      <c r="Q10" s="304"/>
      <c r="R10" s="304"/>
      <c r="S10" s="75" t="s">
        <v>110</v>
      </c>
    </row>
    <row r="11" spans="5:8" ht="12.75">
      <c r="E11" s="89" t="s">
        <v>157</v>
      </c>
      <c r="F11" s="303">
        <v>50</v>
      </c>
      <c r="G11" s="303"/>
      <c r="H11" s="75" t="s">
        <v>8</v>
      </c>
    </row>
    <row r="12" spans="5:8" ht="12.75">
      <c r="E12" s="89"/>
      <c r="F12" s="216"/>
      <c r="G12" s="216"/>
      <c r="H12" s="75"/>
    </row>
    <row r="13" spans="5:8" ht="12.75">
      <c r="E13" s="89"/>
      <c r="F13" s="216"/>
      <c r="G13" s="216"/>
      <c r="H13" s="75"/>
    </row>
    <row r="14" ht="12.75"/>
    <row r="15" spans="2:19" s="91" customFormat="1" ht="18.75">
      <c r="B15" s="305" t="s">
        <v>137</v>
      </c>
      <c r="C15" s="305"/>
      <c r="D15" s="305"/>
      <c r="E15" s="305"/>
      <c r="F15" s="305"/>
      <c r="G15" s="305"/>
      <c r="H15" s="305"/>
      <c r="I15" s="306" t="s">
        <v>126</v>
      </c>
      <c r="J15" s="307"/>
      <c r="K15" s="307"/>
      <c r="L15" s="307"/>
      <c r="M15" s="307"/>
      <c r="N15" s="307"/>
      <c r="O15" s="307"/>
      <c r="P15" s="308"/>
      <c r="Q15" s="309" t="s">
        <v>141</v>
      </c>
      <c r="R15" s="310"/>
      <c r="S15" s="311"/>
    </row>
    <row r="16" spans="2:19" s="79" customFormat="1" ht="18" customHeight="1">
      <c r="B16" s="312" t="s">
        <v>119</v>
      </c>
      <c r="C16" s="97" t="s">
        <v>102</v>
      </c>
      <c r="D16" s="97" t="s">
        <v>3</v>
      </c>
      <c r="E16" s="97" t="s">
        <v>134</v>
      </c>
      <c r="F16" s="98" t="s">
        <v>135</v>
      </c>
      <c r="G16" s="314" t="s">
        <v>138</v>
      </c>
      <c r="H16" s="314"/>
      <c r="I16" s="92" t="s">
        <v>71</v>
      </c>
      <c r="J16" s="80" t="s">
        <v>40</v>
      </c>
      <c r="K16" s="80" t="s">
        <v>25</v>
      </c>
      <c r="L16" s="80" t="s">
        <v>102</v>
      </c>
      <c r="M16" s="80" t="s">
        <v>127</v>
      </c>
      <c r="N16" s="80" t="s">
        <v>128</v>
      </c>
      <c r="O16" s="80" t="s">
        <v>129</v>
      </c>
      <c r="P16" s="81" t="s">
        <v>130</v>
      </c>
      <c r="Q16" s="315" t="s">
        <v>129</v>
      </c>
      <c r="R16" s="315" t="s">
        <v>117</v>
      </c>
      <c r="S16" s="317" t="s">
        <v>103</v>
      </c>
    </row>
    <row r="17" spans="2:19" s="79" customFormat="1" ht="18" customHeight="1">
      <c r="B17" s="313"/>
      <c r="C17" s="99" t="s">
        <v>8</v>
      </c>
      <c r="D17" s="99" t="s">
        <v>1</v>
      </c>
      <c r="E17" s="99" t="s">
        <v>140</v>
      </c>
      <c r="F17" s="100" t="s">
        <v>136</v>
      </c>
      <c r="G17" s="101" t="s">
        <v>121</v>
      </c>
      <c r="H17" s="102" t="s">
        <v>139</v>
      </c>
      <c r="I17" s="93" t="s">
        <v>122</v>
      </c>
      <c r="J17" s="82" t="s">
        <v>122</v>
      </c>
      <c r="K17" s="82" t="s">
        <v>123</v>
      </c>
      <c r="L17" s="82" t="s">
        <v>8</v>
      </c>
      <c r="M17" s="82" t="s">
        <v>124</v>
      </c>
      <c r="N17" s="82" t="s">
        <v>124</v>
      </c>
      <c r="O17" s="82" t="s">
        <v>125</v>
      </c>
      <c r="P17" s="83" t="s">
        <v>125</v>
      </c>
      <c r="Q17" s="315"/>
      <c r="R17" s="316"/>
      <c r="S17" s="318"/>
    </row>
    <row r="18" spans="2:19" s="76" customFormat="1" ht="19.5" customHeight="1">
      <c r="B18" s="319" t="s">
        <v>105</v>
      </c>
      <c r="C18" s="319">
        <v>10</v>
      </c>
      <c r="D18" s="322">
        <v>4.5</v>
      </c>
      <c r="E18" s="322">
        <v>1</v>
      </c>
      <c r="F18" s="109">
        <v>1</v>
      </c>
      <c r="G18" s="108" t="s">
        <v>106</v>
      </c>
      <c r="H18" s="110">
        <v>11</v>
      </c>
      <c r="I18" s="94" t="str">
        <f>IF(G18="C",LOOKUP(H18,Channel!B7:B38,Channel!C7:C38),LOOKUP(H18,'Equal L'!B9:B55,'Equal L'!C9:C55))</f>
        <v>125 x 50 x 20</v>
      </c>
      <c r="J18" s="84">
        <f>IF(G18="C",LOOKUP(H18,Channel!B7:B38,Channel!D7:D38),LOOKUP(H18,'Equal L'!B9:B55,'Equal L'!D9:D55))</f>
        <v>3.2</v>
      </c>
      <c r="K18" s="84">
        <f>IF(G18="C",LOOKUP(H18,Channel!B7:B38,Channel!E7:E38),LOOKUP(H18,'Equal L'!B9:B55,'Equal L'!G9:G55))</f>
        <v>7.807</v>
      </c>
      <c r="L18" s="84">
        <f>IF(G18="C",LOOKUP(H18,Channel!B7:B38,Channel!F7:F38),LOOKUP(H18,'Equal L'!B9:B55,'Equal L'!H9:H55))</f>
        <v>6.13</v>
      </c>
      <c r="M18" s="84">
        <f>IF(G18="C",LOOKUP(H18,Channel!B7:B38,Channel!I7:I38),LOOKUP(H18,'Equal L'!B9:B55,'Equal L'!I9:I55))</f>
        <v>181</v>
      </c>
      <c r="N18" s="84">
        <f>IF(G18="C",LOOKUP(H18,Channel!B7:B38,Channel!J7:J38),LOOKUP(H18,'Equal L'!B9:B55,'Equal L'!J9:J55))</f>
        <v>26.6</v>
      </c>
      <c r="O18" s="146">
        <f>IF(G18="C",LOOKUP(H18,Channel!B7:B38,Channel!M7:M38),LOOKUP(H18,'Equal L'!B9:B55,'Equal L'!Q9:Q55))</f>
        <v>29</v>
      </c>
      <c r="P18" s="85">
        <f>IF(G18="C",LOOKUP(H18,Channel!B7:B38,Channel!N7:N38),LOOKUP(H18,'Equal L'!B9:B55,'Equal L'!R9:R55))</f>
        <v>8.02</v>
      </c>
      <c r="Q18" s="265">
        <f>Purlin!I38</f>
        <v>15.89</v>
      </c>
      <c r="R18" s="271" t="str">
        <f>IF(Purlin!I44&lt;Purlin!I36,"OK","NO")</f>
        <v>OK</v>
      </c>
      <c r="S18" s="271" t="str">
        <f>IF(Purlin!J44&lt;Purlin!I37,"OK","NO")</f>
        <v>OK</v>
      </c>
    </row>
    <row r="19" spans="2:19" s="76" customFormat="1" ht="19.5" customHeight="1">
      <c r="B19" s="320"/>
      <c r="C19" s="320"/>
      <c r="D19" s="323"/>
      <c r="E19" s="323"/>
      <c r="F19" s="132">
        <v>2</v>
      </c>
      <c r="G19" s="131" t="s">
        <v>3</v>
      </c>
      <c r="H19" s="133">
        <v>5</v>
      </c>
      <c r="I19" s="95" t="str">
        <f>IF(G19="C",LOOKUP(H19,Channel!B7:B38,Channel!C7:C38),LOOKUP(H19,'Equal L'!B9:B55,'Equal L'!C9:C55))</f>
        <v>40 x 40</v>
      </c>
      <c r="J19" s="77">
        <f>IF(G19="C",LOOKUP(H19,Channel!B7:B38,Channel!D7:D38),LOOKUP(H19,'Equal L'!B9:B55,'Equal L'!D9:D55))</f>
        <v>3</v>
      </c>
      <c r="K19" s="77">
        <f>IF(G19="C",LOOKUP(H19,Channel!B7:B38,Channel!E7:E38),LOOKUP(H19,'Equal L'!B9:B55,'Equal L'!G9:G55))</f>
        <v>2.336</v>
      </c>
      <c r="L19" s="77">
        <f>IF(G19="C",LOOKUP(H19,Channel!B7:B38,Channel!F7:F38),LOOKUP(H19,'Equal L'!B9:B55,'Equal L'!H9:H55))</f>
        <v>1.83</v>
      </c>
      <c r="M19" s="77">
        <f>IF(G19="C",LOOKUP(H19,Channel!B7:B38,Channel!I7:I38),LOOKUP(H19,'Equal L'!B9:B55,'Equal L'!I9:I55))</f>
        <v>3.53</v>
      </c>
      <c r="N19" s="77">
        <f>IF(G19="C",LOOKUP(H19,Channel!B7:B38,Channel!J7:J38),LOOKUP(H19,'Equal L'!B9:B55,'Equal L'!J9:J55))</f>
        <v>3.53</v>
      </c>
      <c r="O19" s="147">
        <f>IF(G19="C",LOOKUP(H19,Channel!B7:B38,Channel!M7:M38),LOOKUP(H19,'Equal L'!B9:B55,'Equal L'!Q9:Q55))</f>
        <v>1.21</v>
      </c>
      <c r="P19" s="78">
        <f>IF(G19="C",LOOKUP(H19,Channel!B7:B38,Channel!N7:N38),LOOKUP(H19,'Equal L'!B9:B55,'Equal L'!R9:R55))</f>
        <v>1.21</v>
      </c>
      <c r="Q19" s="266">
        <f>Purlin!I38</f>
        <v>15.89</v>
      </c>
      <c r="R19" s="271" t="str">
        <f>IF(Purlin!I45&lt;Purlin!I36,"OK","NO")</f>
        <v>NO</v>
      </c>
      <c r="S19" s="271" t="str">
        <f>IF(Purlin!J45&lt;Purlin!I37,"OK","NO")</f>
        <v>NO</v>
      </c>
    </row>
    <row r="20" spans="2:19" s="76" customFormat="1" ht="19.5" customHeight="1">
      <c r="B20" s="321"/>
      <c r="C20" s="321"/>
      <c r="D20" s="324"/>
      <c r="E20" s="324"/>
      <c r="F20" s="135">
        <v>3</v>
      </c>
      <c r="G20" s="134" t="s">
        <v>3</v>
      </c>
      <c r="H20" s="136">
        <v>5</v>
      </c>
      <c r="I20" s="96" t="str">
        <f>IF(G20="C",LOOKUP(H20,Channel!B7:B38,Channel!C7:C38),LOOKUP(H20,'Equal L'!B9:B55,'Equal L'!C9:C55))</f>
        <v>40 x 40</v>
      </c>
      <c r="J20" s="86">
        <f>IF(G20="C",LOOKUP(H20,Channel!B7:B38,Channel!D7:D38),LOOKUP(H20,'Equal L'!B9:B55,'Equal L'!D9:D55))</f>
        <v>3</v>
      </c>
      <c r="K20" s="86">
        <f>IF(G20="C",LOOKUP(H20,Channel!B7:B38,Channel!E7:E38),LOOKUP(H20,'Equal L'!B9:B55,'Equal L'!G9:G55))</f>
        <v>2.336</v>
      </c>
      <c r="L20" s="86">
        <f>IF(G20="C",LOOKUP(H20,Channel!B7:B38,Channel!F7:F38),LOOKUP(H20,'Equal L'!B9:B55,'Equal L'!H9:H55))</f>
        <v>1.83</v>
      </c>
      <c r="M20" s="86">
        <f>IF(G20="C",LOOKUP(H20,Channel!B7:B38,Channel!I7:I38),LOOKUP(H20,'Equal L'!B9:B55,'Equal L'!I9:I55))</f>
        <v>3.53</v>
      </c>
      <c r="N20" s="86">
        <f>IF(G20="C",LOOKUP(H20,Channel!B7:B38,Channel!J7:J38),LOOKUP(H20,'Equal L'!B9:B55,'Equal L'!J9:J55))</f>
        <v>3.53</v>
      </c>
      <c r="O20" s="148">
        <f>IF(G20="C",LOOKUP(H20,Channel!B7:B38,Channel!M7:M38),LOOKUP(H20,'Equal L'!B9:B55,'Equal L'!Q9:Q55))</f>
        <v>1.21</v>
      </c>
      <c r="P20" s="87">
        <f>IF(G20="C",LOOKUP(H20,Channel!B7:B38,Channel!N7:N38),LOOKUP(H20,'Equal L'!B9:B55,'Equal L'!R9:R55))</f>
        <v>1.21</v>
      </c>
      <c r="Q20" s="267">
        <f>Purlin!I38</f>
        <v>15.89</v>
      </c>
      <c r="R20" s="271" t="str">
        <f>IF(Purlin!I46&lt;Purlin!I36,"OK","NO")</f>
        <v>NO</v>
      </c>
      <c r="S20" s="271" t="str">
        <f>IF(Purlin!J46&lt;Purlin!I37,"OK","NO")</f>
        <v>NO</v>
      </c>
    </row>
    <row r="21" spans="2:19" s="76" customFormat="1" ht="19.5" customHeight="1">
      <c r="B21" s="156" t="s">
        <v>107</v>
      </c>
      <c r="C21" s="154">
        <v>10</v>
      </c>
      <c r="D21" s="137">
        <f>Rafter!I10</f>
        <v>5.81</v>
      </c>
      <c r="E21" s="137">
        <f>D18</f>
        <v>4.5</v>
      </c>
      <c r="F21" s="138"/>
      <c r="G21" s="154" t="s">
        <v>106</v>
      </c>
      <c r="H21" s="155">
        <v>18</v>
      </c>
      <c r="I21" s="139" t="str">
        <f>IF(G21="C",LOOKUP(H21,Channel!B7:B38,Channel!C7:C38),LOOKUP(H21,'Equal L'!B9:B55,'Equal L'!C9:C55))</f>
        <v>150 x 75 x 20</v>
      </c>
      <c r="J21" s="140">
        <f>IF(G21="C",LOOKUP(H21,Channel!B7:B38,Channel!D7:D38),LOOKUP(H21,'Equal L'!B9:B55,'Equal L'!D9:D55))</f>
        <v>3.2</v>
      </c>
      <c r="K21" s="140">
        <f>IF(G21="C",LOOKUP(H21,Channel!B7:B38,Channel!E7:E38),LOOKUP(H21,'Equal L'!B9:B55,'Equal L'!G9:G55))</f>
        <v>10.21</v>
      </c>
      <c r="L21" s="140">
        <f>IF(G21="C",LOOKUP(H21,Channel!B7:B38,Channel!F7:F38),LOOKUP(H21,'Equal L'!B9:B55,'Equal L'!H9:H55))</f>
        <v>8.01</v>
      </c>
      <c r="M21" s="140">
        <f>IF(G21="C",LOOKUP(H21,Channel!B7:B38,Channel!I7:I38),LOOKUP(H21,'Equal L'!B9:B55,'Equal L'!I9:I55))</f>
        <v>366</v>
      </c>
      <c r="N21" s="140">
        <f>IF(G21="C",LOOKUP(H21,Channel!B7:B38,Channel!J7:J38),LOOKUP(H21,'Equal L'!B9:B55,'Equal L'!J9:J55))</f>
        <v>76.4</v>
      </c>
      <c r="O21" s="153">
        <f>IF(G21="C",LOOKUP(H21,Channel!B7:B38,Channel!M7:M38),LOOKUP(H21,'Equal L'!B9:B55,'Equal L'!Q9:Q55))</f>
        <v>48.9</v>
      </c>
      <c r="P21" s="141">
        <f>IF(G21="C",LOOKUP(H21,Channel!B7:B38,Channel!N7:N38),LOOKUP(H21,'Equal L'!B9:B55,'Equal L'!R9:R55))</f>
        <v>15.3</v>
      </c>
      <c r="Q21" s="268">
        <f>Rafter!I28</f>
        <v>98.15</v>
      </c>
      <c r="R21" s="271" t="str">
        <f>IF(Rafter!I34&lt;Rafter!I8,"OK","NO")</f>
        <v>NO</v>
      </c>
      <c r="S21" s="271" t="str">
        <f>IF(Rafter!J34&lt;Rafter!I29,"OK","NO")</f>
        <v>NO</v>
      </c>
    </row>
    <row r="22" spans="2:19" s="76" customFormat="1" ht="19.5" customHeight="1">
      <c r="B22" s="168" t="s">
        <v>120</v>
      </c>
      <c r="C22" s="72">
        <v>10</v>
      </c>
      <c r="D22" s="137">
        <f>Hip!I10</f>
        <v>8.07</v>
      </c>
      <c r="E22" s="137"/>
      <c r="F22" s="138"/>
      <c r="G22" s="72" t="s">
        <v>106</v>
      </c>
      <c r="H22" s="169">
        <v>24</v>
      </c>
      <c r="I22" s="139" t="str">
        <f>IF(G22="C",LOOKUP(H22,Channel!B7:B38,Channel!C7:C38),LOOKUP(H22,'Equal L'!B9:B55,'Equal L'!C9:C55))</f>
        <v>150 x 75 x 20</v>
      </c>
      <c r="J22" s="140">
        <f>IF(G22="C",LOOKUP(H22,Channel!B7:B38,Channel!D7:D38),LOOKUP(H22,'Equal L'!B9:B55,'Equal L'!D9:D55))</f>
        <v>4.5</v>
      </c>
      <c r="K22" s="140">
        <f>IF(G22="C",LOOKUP(H22,Channel!B7:B38,Channel!E7:E38),LOOKUP(H22,'Equal L'!B9:B55,'Equal L'!G9:G55))</f>
        <v>13.97</v>
      </c>
      <c r="L22" s="140">
        <f>IF(G22="C",LOOKUP(H22,Channel!B7:B38,Channel!F7:F38),LOOKUP(H22,'Equal L'!B9:B55,'Equal L'!H9:H55))</f>
        <v>11</v>
      </c>
      <c r="M22" s="140">
        <f>IF(G22="C",LOOKUP(H22,Channel!B7:B38,Channel!I7:I38),LOOKUP(H22,'Equal L'!B9:B55,'Equal L'!I9:I55))</f>
        <v>489</v>
      </c>
      <c r="N22" s="140">
        <f>IF(G22="C",LOOKUP(H22,Channel!B7:B38,Channel!J7:J38),LOOKUP(H22,'Equal L'!B9:B55,'Equal L'!J9:J55))</f>
        <v>99.2</v>
      </c>
      <c r="O22" s="153">
        <f>IF(G22="C",LOOKUP(H22,Channel!B7:B38,Channel!M7:M38),LOOKUP(H22,'Equal L'!B9:B55,'Equal L'!Q9:Q55))</f>
        <v>65.2</v>
      </c>
      <c r="P22" s="141">
        <f>IF(G22="C",LOOKUP(H22,Channel!B7:B38,Channel!N7:N38),LOOKUP(H22,'Equal L'!B9:B55,'Equal L'!R9:R55))</f>
        <v>19.8</v>
      </c>
      <c r="Q22" s="269">
        <f>Hip!I27</f>
        <v>55.82</v>
      </c>
      <c r="R22" s="271" t="str">
        <f>IF(Hip!I32&lt;Hip!I8,"OK","NO")</f>
        <v>OK</v>
      </c>
      <c r="S22" s="271" t="str">
        <f>IF(Hip!J32&lt;Hip!I28,"OK","NO")</f>
        <v>NO</v>
      </c>
    </row>
    <row r="23" spans="2:19" s="76" customFormat="1" ht="19.5" customHeight="1">
      <c r="B23" s="168" t="s">
        <v>255</v>
      </c>
      <c r="C23" s="72">
        <v>10</v>
      </c>
      <c r="D23" s="137">
        <f>Valley!I10</f>
        <v>8.07</v>
      </c>
      <c r="E23" s="137"/>
      <c r="F23" s="138"/>
      <c r="G23" s="72" t="s">
        <v>106</v>
      </c>
      <c r="H23" s="169">
        <v>24</v>
      </c>
      <c r="I23" s="139" t="str">
        <f>IF(G23="C",LOOKUP(H23,Channel!B7:B38,Channel!C7:C38),LOOKUP(H23,'Equal L'!B9:B55,'Equal L'!C9:C55))</f>
        <v>150 x 75 x 20</v>
      </c>
      <c r="J23" s="140">
        <f>IF(G23="C",LOOKUP(H23,Channel!B7:B38,Channel!D7:D38),LOOKUP(H23,'Equal L'!B9:B55,'Equal L'!D9:D55))</f>
        <v>4.5</v>
      </c>
      <c r="K23" s="140">
        <f>IF(G23="C",LOOKUP(H23,Channel!B7:B38,Channel!E7:E38),LOOKUP(H23,'Equal L'!B9:B55,'Equal L'!G9:G55))</f>
        <v>13.97</v>
      </c>
      <c r="L23" s="140">
        <f>IF(G23="C",LOOKUP(H23,Channel!B7:B38,Channel!F7:F38),LOOKUP(H23,'Equal L'!B9:B55,'Equal L'!H9:H55))</f>
        <v>11</v>
      </c>
      <c r="M23" s="140">
        <f>IF(G23="C",LOOKUP(H23,Channel!B7:B38,Channel!I7:I38),LOOKUP(H23,'Equal L'!B9:B55,'Equal L'!I9:I55))</f>
        <v>489</v>
      </c>
      <c r="N23" s="140">
        <f>IF(G23="C",LOOKUP(H23,Channel!B7:B38,Channel!J7:J38),LOOKUP(H23,'Equal L'!B9:B55,'Equal L'!J9:J55))</f>
        <v>99.2</v>
      </c>
      <c r="O23" s="153">
        <f>IF(G23="C",LOOKUP(H23,Channel!B7:B38,Channel!M7:M38),LOOKUP(H23,'Equal L'!B9:B55,'Equal L'!Q9:Q55))</f>
        <v>65.2</v>
      </c>
      <c r="P23" s="141">
        <f>IF(G23="C",LOOKUP(H23,Channel!B7:B38,Channel!N7:N38),LOOKUP(H23,'Equal L'!B9:B55,'Equal L'!R9:R55))</f>
        <v>19.8</v>
      </c>
      <c r="Q23" s="269">
        <f>Hip!I27</f>
        <v>55.82</v>
      </c>
      <c r="R23" s="271" t="str">
        <f>IF(Valley!I32&lt;Valley!I8,"OK","NO")</f>
        <v>OK</v>
      </c>
      <c r="S23" s="271" t="str">
        <f>IF(Valley!J32&lt;Valley!I28,"OK","NO")</f>
        <v>NO</v>
      </c>
    </row>
    <row r="24" spans="2:19" s="76" customFormat="1" ht="19.5" customHeight="1">
      <c r="B24" s="159" t="s">
        <v>111</v>
      </c>
      <c r="C24" s="160">
        <v>10</v>
      </c>
      <c r="D24" s="162">
        <v>5</v>
      </c>
      <c r="E24" s="137"/>
      <c r="F24" s="138"/>
      <c r="G24" s="160" t="s">
        <v>106</v>
      </c>
      <c r="H24" s="161">
        <v>31</v>
      </c>
      <c r="I24" s="139" t="str">
        <f>IF(G24="C",LOOKUP(H24,Channel!B7:B38,Channel!C7:C38),LOOKUP(H24,'Equal L'!B9:B55,'Equal L'!C9:C55))</f>
        <v>200 x 75 x 25</v>
      </c>
      <c r="J24" s="140">
        <f>IF(G24="C",LOOKUP(H24,Channel!B7:B38,Channel!D7:D38),LOOKUP(H24,'Equal L'!B9:B55,'Equal L'!D9:D55))</f>
        <v>4.5</v>
      </c>
      <c r="K24" s="140">
        <f>IF(G24="C",LOOKUP(H24,Channel!B7:B38,Channel!E7:E38),LOOKUP(H24,'Equal L'!B9:B55,'Equal L'!G9:G55))</f>
        <v>16.67</v>
      </c>
      <c r="L24" s="140">
        <f>IF(G24="C",LOOKUP(H24,Channel!B7:B38,Channel!F7:F38),LOOKUP(H24,'Equal L'!B9:B55,'Equal L'!H9:H55))</f>
        <v>13.1</v>
      </c>
      <c r="M24" s="140">
        <f>IF(G24="C",LOOKUP(H24,Channel!B7:B38,Channel!I7:I38),LOOKUP(H24,'Equal L'!B9:B55,'Equal L'!I9:I55))</f>
        <v>990</v>
      </c>
      <c r="N24" s="140">
        <f>IF(G24="C",LOOKUP(H24,Channel!B7:B38,Channel!J7:J38),LOOKUP(H24,'Equal L'!B9:B55,'Equal L'!J9:J55))</f>
        <v>121</v>
      </c>
      <c r="O24" s="153">
        <f>IF(G24="C",LOOKUP(H24,Channel!B7:B38,Channel!M7:M38),LOOKUP(H24,'Equal L'!B9:B55,'Equal L'!Q9:Q55))</f>
        <v>99</v>
      </c>
      <c r="P24" s="141">
        <f>IF(G24="C",LOOKUP(H24,Channel!B7:B38,Channel!N7:N38),LOOKUP(H24,'Equal L'!B9:B55,'Equal L'!R9:R55))</f>
        <v>23.3</v>
      </c>
      <c r="Q24" s="269">
        <f>Ridge!J24</f>
        <v>40.36</v>
      </c>
      <c r="R24" s="271" t="str">
        <f>IF(Ridge!J31&lt;Ridge!J8,"OK","NO")</f>
        <v>OK</v>
      </c>
      <c r="S24" s="271" t="str">
        <f>IF(Ridge!K31&lt;Ridge!J25,"OK","NO")</f>
        <v>OK</v>
      </c>
    </row>
    <row r="25" spans="2:19" s="76" customFormat="1" ht="19.5" customHeight="1">
      <c r="B25" s="165" t="s">
        <v>112</v>
      </c>
      <c r="C25" s="166"/>
      <c r="D25" s="171"/>
      <c r="E25" s="142"/>
      <c r="F25" s="143"/>
      <c r="G25" s="166" t="s">
        <v>106</v>
      </c>
      <c r="H25" s="167">
        <v>31</v>
      </c>
      <c r="I25" s="96" t="str">
        <f>IF(G25="C",LOOKUP(H25,Channel!B7:B38,Channel!C7:C38),LOOKUP(H25,'Equal L'!B9:B55,'Equal L'!C9:C55))</f>
        <v>200 x 75 x 25</v>
      </c>
      <c r="J25" s="86">
        <f>IF(G25="C",LOOKUP(H25,Channel!B7:B38,Channel!D7:D38),LOOKUP(H25,'Equal L'!B9:B55,'Equal L'!D9:D55))</f>
        <v>4.5</v>
      </c>
      <c r="K25" s="86">
        <f>IF(G25="C",LOOKUP(H25,Channel!B7:B38,Channel!E7:E38),LOOKUP(H25,'Equal L'!B9:B55,'Equal L'!G9:G55))</f>
        <v>16.67</v>
      </c>
      <c r="L25" s="86">
        <f>IF(G25="C",LOOKUP(H25,Channel!B7:B38,Channel!F7:F38),LOOKUP(H25,'Equal L'!B9:B55,'Equal L'!H9:H55))</f>
        <v>13.1</v>
      </c>
      <c r="M25" s="86">
        <f>IF(G25="C",LOOKUP(H25,Channel!B7:B38,Channel!I7:I38),LOOKUP(H25,'Equal L'!B9:B55,'Equal L'!I9:I55))</f>
        <v>990</v>
      </c>
      <c r="N25" s="86">
        <f>IF(G25="C",LOOKUP(H25,Channel!B7:B38,Channel!J7:J38),LOOKUP(H25,'Equal L'!B9:B55,'Equal L'!J9:J55))</f>
        <v>121</v>
      </c>
      <c r="O25" s="148">
        <f>IF(G25="C",LOOKUP(H25,Channel!B7:B38,Channel!M7:M38),LOOKUP(H25,'Equal L'!B9:B55,'Equal L'!Q9:Q55))</f>
        <v>99</v>
      </c>
      <c r="P25" s="87">
        <f>IF(G25="C",LOOKUP(H25,Channel!B7:B38,Channel!N7:N38),LOOKUP(H25,'Equal L'!B9:B55,'Equal L'!R9:R55))</f>
        <v>23.3</v>
      </c>
      <c r="Q25" s="270"/>
      <c r="R25" s="272"/>
      <c r="S25" s="273"/>
    </row>
  </sheetData>
  <sheetProtection/>
  <mergeCells count="27">
    <mergeCell ref="G16:H16"/>
    <mergeCell ref="Q7:R7"/>
    <mergeCell ref="Q8:R8"/>
    <mergeCell ref="Q9:R9"/>
    <mergeCell ref="B2:S2"/>
    <mergeCell ref="L5:M5"/>
    <mergeCell ref="L6:M6"/>
    <mergeCell ref="Q6:R6"/>
    <mergeCell ref="F5:G5"/>
    <mergeCell ref="F6:G6"/>
    <mergeCell ref="E18:E20"/>
    <mergeCell ref="B16:B17"/>
    <mergeCell ref="B18:B20"/>
    <mergeCell ref="C18:C20"/>
    <mergeCell ref="D18:D20"/>
    <mergeCell ref="F8:G8"/>
    <mergeCell ref="F9:G9"/>
    <mergeCell ref="B15:H15"/>
    <mergeCell ref="F10:G10"/>
    <mergeCell ref="F11:G11"/>
    <mergeCell ref="Q10:R10"/>
    <mergeCell ref="Q15:S15"/>
    <mergeCell ref="Q16:Q17"/>
    <mergeCell ref="S16:S17"/>
    <mergeCell ref="R16:R17"/>
    <mergeCell ref="L7:M7"/>
    <mergeCell ref="I15:P15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0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4.421875" style="112" customWidth="1"/>
    <col min="2" max="2" width="12.28125" style="112" customWidth="1"/>
    <col min="3" max="6" width="9.140625" style="112" customWidth="1"/>
    <col min="7" max="7" width="6.28125" style="112" customWidth="1"/>
    <col min="8" max="8" width="5.8515625" style="112" customWidth="1"/>
    <col min="9" max="9" width="12.140625" style="112" customWidth="1"/>
    <col min="10" max="10" width="8.00390625" style="112" customWidth="1"/>
    <col min="11" max="16384" width="9.140625" style="112" customWidth="1"/>
  </cols>
  <sheetData>
    <row r="1" spans="1:10" s="111" customFormat="1" ht="21.75">
      <c r="A1" s="334" t="s">
        <v>5</v>
      </c>
      <c r="B1" s="334"/>
      <c r="C1" s="128"/>
      <c r="D1" s="128"/>
      <c r="E1" s="128"/>
      <c r="F1" s="128"/>
      <c r="G1" s="128"/>
      <c r="H1" s="128"/>
      <c r="I1" s="128"/>
      <c r="J1" s="214" t="s">
        <v>224</v>
      </c>
    </row>
    <row r="2" spans="1:10" s="111" customFormat="1" ht="21.75">
      <c r="A2" s="335" t="s">
        <v>274</v>
      </c>
      <c r="B2" s="335"/>
      <c r="C2" s="129" t="s">
        <v>273</v>
      </c>
      <c r="D2" s="129"/>
      <c r="E2" s="129"/>
      <c r="F2" s="129"/>
      <c r="G2" s="129"/>
      <c r="H2" s="129"/>
      <c r="I2" s="333">
        <f ca="1">NOW()</f>
        <v>41138.40639537037</v>
      </c>
      <c r="J2" s="333"/>
    </row>
    <row r="3" spans="1:10" s="213" customFormat="1" ht="8.25">
      <c r="A3" s="210"/>
      <c r="B3" s="210"/>
      <c r="C3" s="211"/>
      <c r="D3" s="211"/>
      <c r="E3" s="211"/>
      <c r="F3" s="211"/>
      <c r="G3" s="211"/>
      <c r="H3" s="211"/>
      <c r="I3" s="212"/>
      <c r="J3" s="212"/>
    </row>
    <row r="4" spans="1:10" s="111" customFormat="1" ht="24">
      <c r="A4" s="332" t="s">
        <v>113</v>
      </c>
      <c r="B4" s="332"/>
      <c r="C4" s="332"/>
      <c r="D4" s="332"/>
      <c r="E4" s="332"/>
      <c r="F4" s="332"/>
      <c r="G4" s="332"/>
      <c r="H4" s="332"/>
      <c r="I4" s="332"/>
      <c r="J4" s="332"/>
    </row>
    <row r="5" ht="21.75">
      <c r="A5" s="236" t="s">
        <v>226</v>
      </c>
    </row>
    <row r="6" spans="2:10" ht="24.75">
      <c r="B6" s="112" t="s">
        <v>115</v>
      </c>
      <c r="G6" s="113" t="s">
        <v>13</v>
      </c>
      <c r="H6" s="114" t="s">
        <v>7</v>
      </c>
      <c r="I6" s="215">
        <f>'Design Data'!F5</f>
        <v>2100000</v>
      </c>
      <c r="J6" s="120" t="s">
        <v>12</v>
      </c>
    </row>
    <row r="7" spans="2:10" ht="24.75">
      <c r="B7" s="112" t="s">
        <v>116</v>
      </c>
      <c r="G7" s="113" t="s">
        <v>150</v>
      </c>
      <c r="H7" s="114" t="s">
        <v>7</v>
      </c>
      <c r="I7" s="215">
        <f>'Design Data'!F6</f>
        <v>2310</v>
      </c>
      <c r="J7" s="120" t="s">
        <v>12</v>
      </c>
    </row>
    <row r="8" spans="2:10" ht="24.75">
      <c r="B8" s="112" t="s">
        <v>151</v>
      </c>
      <c r="G8" s="113" t="s">
        <v>152</v>
      </c>
      <c r="H8" s="114" t="s">
        <v>7</v>
      </c>
      <c r="I8" s="215">
        <f>0.6*I7</f>
        <v>1386</v>
      </c>
      <c r="J8" s="120" t="s">
        <v>12</v>
      </c>
    </row>
    <row r="9" spans="7:10" ht="21.75">
      <c r="G9" s="113"/>
      <c r="H9" s="114"/>
      <c r="I9" s="219"/>
      <c r="J9" s="120"/>
    </row>
    <row r="10" spans="1:10" ht="21.75">
      <c r="A10" s="236" t="s">
        <v>229</v>
      </c>
      <c r="E10" s="112" t="s">
        <v>2</v>
      </c>
      <c r="G10" s="113" t="s">
        <v>3</v>
      </c>
      <c r="H10" s="114" t="s">
        <v>7</v>
      </c>
      <c r="I10" s="215">
        <f>'Design Data'!D18</f>
        <v>4.5</v>
      </c>
      <c r="J10" s="120" t="s">
        <v>1</v>
      </c>
    </row>
    <row r="11" spans="5:10" ht="21.75">
      <c r="E11" s="112" t="s">
        <v>153</v>
      </c>
      <c r="G11" s="113" t="s">
        <v>134</v>
      </c>
      <c r="H11" s="114" t="s">
        <v>7</v>
      </c>
      <c r="I11" s="215">
        <f>'Design Data'!E18</f>
        <v>1</v>
      </c>
      <c r="J11" s="120" t="s">
        <v>1</v>
      </c>
    </row>
    <row r="12" spans="5:10" ht="21.75">
      <c r="E12" s="112" t="s">
        <v>154</v>
      </c>
      <c r="G12" s="113" t="s">
        <v>149</v>
      </c>
      <c r="H12" s="114" t="s">
        <v>7</v>
      </c>
      <c r="I12" s="215">
        <f>I11*COS(RADIANS(C15))</f>
        <v>0.9640954042341101</v>
      </c>
      <c r="J12" s="120" t="s">
        <v>1</v>
      </c>
    </row>
    <row r="13" spans="5:10" ht="21.75">
      <c r="E13" s="112" t="s">
        <v>16</v>
      </c>
      <c r="G13" s="113" t="s">
        <v>159</v>
      </c>
      <c r="H13" s="114" t="s">
        <v>7</v>
      </c>
      <c r="I13" s="215">
        <f>'Design Data'!C18</f>
        <v>10</v>
      </c>
      <c r="J13" s="120" t="s">
        <v>8</v>
      </c>
    </row>
    <row r="14" spans="4:10" ht="21.75">
      <c r="D14" s="8">
        <f>'Design Data'!L5</f>
        <v>1.4</v>
      </c>
      <c r="E14" s="112" t="s">
        <v>214</v>
      </c>
      <c r="I14" s="219"/>
      <c r="J14" s="120"/>
    </row>
    <row r="15" spans="2:10" ht="24.75">
      <c r="B15" s="117" t="s">
        <v>155</v>
      </c>
      <c r="C15" s="218">
        <f>ROUND(DEGREES(ATAN(D14/B16)),1)</f>
        <v>15.4</v>
      </c>
      <c r="E15" s="121" t="s">
        <v>160</v>
      </c>
      <c r="H15" s="114" t="s">
        <v>7</v>
      </c>
      <c r="I15" s="215">
        <f>'Design Data'!F8</f>
        <v>15</v>
      </c>
      <c r="J15" s="120" t="s">
        <v>10</v>
      </c>
    </row>
    <row r="16" spans="2:10" ht="24.75">
      <c r="B16" s="336">
        <f>'Design Data'!L6</f>
        <v>5.1</v>
      </c>
      <c r="C16" s="336"/>
      <c r="E16" s="121" t="s">
        <v>161</v>
      </c>
      <c r="F16" s="115"/>
      <c r="H16" s="114" t="s">
        <v>7</v>
      </c>
      <c r="I16" s="215">
        <f>'Design Data'!F9</f>
        <v>10</v>
      </c>
      <c r="J16" s="120" t="s">
        <v>10</v>
      </c>
    </row>
    <row r="17" spans="4:10" ht="24.75">
      <c r="D17" s="328">
        <f>I12</f>
        <v>0.9640954042341101</v>
      </c>
      <c r="E17" s="121" t="s">
        <v>162</v>
      </c>
      <c r="H17" s="114" t="s">
        <v>7</v>
      </c>
      <c r="I17" s="215">
        <f>'Design Data'!F10</f>
        <v>30</v>
      </c>
      <c r="J17" s="120" t="s">
        <v>10</v>
      </c>
    </row>
    <row r="18" spans="4:10" ht="21.75">
      <c r="D18" s="328"/>
      <c r="G18" s="113" t="s">
        <v>170</v>
      </c>
      <c r="H18" s="114" t="s">
        <v>7</v>
      </c>
      <c r="I18" s="215">
        <f>ROUNDUP(SUM(I15:I17)*(I10*I12)/I10,0)</f>
        <v>54</v>
      </c>
      <c r="J18" s="120" t="s">
        <v>8</v>
      </c>
    </row>
    <row r="19" spans="4:10" ht="21.75">
      <c r="D19" s="125"/>
      <c r="F19" s="113" t="s">
        <v>169</v>
      </c>
      <c r="G19" s="113" t="s">
        <v>163</v>
      </c>
      <c r="H19" s="114" t="s">
        <v>7</v>
      </c>
      <c r="I19" s="215">
        <f>I13+I18</f>
        <v>64</v>
      </c>
      <c r="J19" s="120" t="s">
        <v>8</v>
      </c>
    </row>
    <row r="20" spans="2:10" ht="21.75">
      <c r="B20" s="336">
        <f>I10</f>
        <v>4.5</v>
      </c>
      <c r="C20" s="336"/>
      <c r="E20" s="116" t="s">
        <v>14</v>
      </c>
      <c r="F20" s="112" t="s">
        <v>166</v>
      </c>
      <c r="G20" s="113" t="s">
        <v>18</v>
      </c>
      <c r="H20" s="114" t="s">
        <v>7</v>
      </c>
      <c r="I20" s="215">
        <f>'Design Data'!F11</f>
        <v>50</v>
      </c>
      <c r="J20" s="120" t="s">
        <v>8</v>
      </c>
    </row>
    <row r="21" spans="5:10" ht="24.75">
      <c r="E21" s="116"/>
      <c r="F21" s="112" t="s">
        <v>167</v>
      </c>
      <c r="G21" s="3" t="s">
        <v>165</v>
      </c>
      <c r="H21" s="1" t="s">
        <v>7</v>
      </c>
      <c r="I21" s="220" t="s">
        <v>164</v>
      </c>
      <c r="J21" s="221"/>
    </row>
    <row r="22" spans="8:10" ht="21.75">
      <c r="H22" s="1" t="s">
        <v>7</v>
      </c>
      <c r="I22" s="215">
        <f>ROUNDUP((I20*(2*SIN(RADIANS(C15))))/(1+(SIN(RADIANS(C15)))^2),0)</f>
        <v>25</v>
      </c>
      <c r="J22" s="120" t="s">
        <v>8</v>
      </c>
    </row>
    <row r="23" spans="1:10" ht="21.75">
      <c r="A23" s="236" t="s">
        <v>168</v>
      </c>
      <c r="H23" s="1"/>
      <c r="I23" s="219"/>
      <c r="J23" s="120"/>
    </row>
    <row r="24" spans="2:10" ht="21.75">
      <c r="B24" s="123">
        <f>I25</f>
        <v>87</v>
      </c>
      <c r="E24" s="2" t="s">
        <v>171</v>
      </c>
      <c r="G24" s="113" t="s">
        <v>173</v>
      </c>
      <c r="H24" s="1" t="s">
        <v>7</v>
      </c>
      <c r="I24" s="215">
        <f>ROUNDUP(I19*SIN(RADIANS(C15)),0)</f>
        <v>17</v>
      </c>
      <c r="J24" s="120" t="s">
        <v>8</v>
      </c>
    </row>
    <row r="25" spans="2:10" ht="21.75">
      <c r="B25" s="336">
        <f>I10</f>
        <v>4.5</v>
      </c>
      <c r="C25" s="337"/>
      <c r="E25" s="2" t="s">
        <v>172</v>
      </c>
      <c r="G25" s="113" t="s">
        <v>174</v>
      </c>
      <c r="H25" s="1" t="s">
        <v>7</v>
      </c>
      <c r="I25" s="215">
        <f>ROUNDUP(I19*COS(RADIANS(C15)),0)+I22</f>
        <v>87</v>
      </c>
      <c r="J25" s="120" t="s">
        <v>8</v>
      </c>
    </row>
    <row r="26" spans="2:10" ht="21.75">
      <c r="B26" s="126">
        <f>B24*B20/2</f>
        <v>195.75</v>
      </c>
      <c r="C26" s="119">
        <f>B26</f>
        <v>195.75</v>
      </c>
      <c r="I26" s="219"/>
      <c r="J26" s="120"/>
    </row>
    <row r="27" spans="1:10" ht="21.75">
      <c r="A27" s="236" t="s">
        <v>175</v>
      </c>
      <c r="C27" s="127"/>
      <c r="I27" s="219"/>
      <c r="J27" s="120"/>
    </row>
    <row r="28" spans="3:10" ht="24.75">
      <c r="C28" s="112" t="s">
        <v>176</v>
      </c>
      <c r="F28" s="112" t="s">
        <v>180</v>
      </c>
      <c r="H28" s="114" t="s">
        <v>7</v>
      </c>
      <c r="I28" s="215">
        <f>ROUNDUP(I25*I10^2/8,2)</f>
        <v>220.22</v>
      </c>
      <c r="J28" s="120" t="s">
        <v>185</v>
      </c>
    </row>
    <row r="29" spans="3:10" ht="21.75">
      <c r="C29" s="112" t="s">
        <v>184</v>
      </c>
      <c r="H29" s="114"/>
      <c r="I29" s="219"/>
      <c r="J29" s="120"/>
    </row>
    <row r="30" spans="3:10" ht="24.75">
      <c r="C30" s="120" t="s">
        <v>177</v>
      </c>
      <c r="F30" s="112" t="s">
        <v>181</v>
      </c>
      <c r="H30" s="114" t="s">
        <v>7</v>
      </c>
      <c r="I30" s="215">
        <f>ROUNDUP(I24*I10^2/8,2)</f>
        <v>43.04</v>
      </c>
      <c r="J30" s="120" t="s">
        <v>185</v>
      </c>
    </row>
    <row r="31" spans="3:10" ht="24.75">
      <c r="C31" s="120" t="s">
        <v>178</v>
      </c>
      <c r="F31" s="112" t="s">
        <v>182</v>
      </c>
      <c r="H31" s="114" t="s">
        <v>7</v>
      </c>
      <c r="I31" s="215">
        <f>ROUNDUP(I24*I10^2/32,2)</f>
        <v>10.76</v>
      </c>
      <c r="J31" s="120" t="s">
        <v>185</v>
      </c>
    </row>
    <row r="32" spans="3:10" ht="24.75">
      <c r="C32" s="120" t="s">
        <v>179</v>
      </c>
      <c r="F32" s="112" t="s">
        <v>183</v>
      </c>
      <c r="H32" s="114" t="s">
        <v>7</v>
      </c>
      <c r="I32" s="215">
        <f>ROUNDUP(2*I24*I10^2/175,2)</f>
        <v>3.94</v>
      </c>
      <c r="J32" s="120" t="s">
        <v>185</v>
      </c>
    </row>
    <row r="33" spans="9:10" ht="21.75">
      <c r="I33" s="219"/>
      <c r="J33" s="120"/>
    </row>
    <row r="34" spans="9:10" ht="21.75">
      <c r="I34" s="219"/>
      <c r="J34" s="120"/>
    </row>
    <row r="35" spans="1:10" ht="21.75">
      <c r="A35" s="236" t="s">
        <v>186</v>
      </c>
      <c r="I35" s="219"/>
      <c r="J35" s="120"/>
    </row>
    <row r="36" spans="2:10" ht="24.75">
      <c r="B36" s="112" t="s">
        <v>15</v>
      </c>
      <c r="E36" s="112" t="s">
        <v>188</v>
      </c>
      <c r="G36" s="113" t="s">
        <v>152</v>
      </c>
      <c r="H36" s="114" t="s">
        <v>7</v>
      </c>
      <c r="I36" s="215">
        <f>0.6*I7</f>
        <v>1386</v>
      </c>
      <c r="J36" s="120" t="s">
        <v>12</v>
      </c>
    </row>
    <row r="37" spans="2:10" ht="21.75">
      <c r="B37" s="112" t="s">
        <v>194</v>
      </c>
      <c r="E37" s="7" t="s">
        <v>197</v>
      </c>
      <c r="G37" s="6" t="s">
        <v>198</v>
      </c>
      <c r="H37" s="114" t="s">
        <v>7</v>
      </c>
      <c r="I37" s="215">
        <f>ROUNDDOWN(I10*100/360,2)</f>
        <v>1.25</v>
      </c>
      <c r="J37" s="120" t="s">
        <v>11</v>
      </c>
    </row>
    <row r="38" spans="2:10" ht="24.75">
      <c r="B38" s="112" t="s">
        <v>187</v>
      </c>
      <c r="E38" s="112" t="s">
        <v>189</v>
      </c>
      <c r="G38" s="113" t="s">
        <v>190</v>
      </c>
      <c r="H38" s="114" t="s">
        <v>7</v>
      </c>
      <c r="I38" s="215">
        <f>ROUNDUP(I28*100/I36,2)</f>
        <v>15.89</v>
      </c>
      <c r="J38" s="120" t="s">
        <v>9</v>
      </c>
    </row>
    <row r="39" spans="2:10" ht="21.75">
      <c r="B39" s="112" t="s">
        <v>19</v>
      </c>
      <c r="E39" s="112" t="s">
        <v>196</v>
      </c>
      <c r="G39" s="6"/>
      <c r="H39" s="114"/>
      <c r="I39" s="114"/>
      <c r="J39" s="120"/>
    </row>
    <row r="40" spans="2:9" ht="24.75">
      <c r="B40" s="112" t="s">
        <v>195</v>
      </c>
      <c r="E40" s="7" t="s">
        <v>199</v>
      </c>
      <c r="G40" s="6"/>
      <c r="H40" s="114"/>
      <c r="I40" s="114"/>
    </row>
    <row r="41" spans="5:9" ht="21.75">
      <c r="E41" s="7"/>
      <c r="G41" s="6"/>
      <c r="H41" s="114"/>
      <c r="I41" s="114"/>
    </row>
    <row r="42" spans="1:10" ht="21.75">
      <c r="A42" s="329" t="s">
        <v>205</v>
      </c>
      <c r="B42" s="330"/>
      <c r="C42" s="330"/>
      <c r="D42" s="330"/>
      <c r="E42" s="330"/>
      <c r="F42" s="330"/>
      <c r="G42" s="330"/>
      <c r="H42" s="331"/>
      <c r="I42" s="149">
        <f>I36</f>
        <v>1386</v>
      </c>
      <c r="J42" s="130">
        <f>I37</f>
        <v>1.25</v>
      </c>
    </row>
    <row r="43" spans="1:10" ht="21.75">
      <c r="A43" s="158" t="s">
        <v>191</v>
      </c>
      <c r="B43" s="329" t="s">
        <v>71</v>
      </c>
      <c r="C43" s="330"/>
      <c r="D43" s="330"/>
      <c r="E43" s="331"/>
      <c r="F43" s="130" t="s">
        <v>192</v>
      </c>
      <c r="G43" s="130" t="s">
        <v>190</v>
      </c>
      <c r="H43" s="130" t="s">
        <v>193</v>
      </c>
      <c r="I43" s="130" t="s">
        <v>201</v>
      </c>
      <c r="J43" s="144" t="s">
        <v>200</v>
      </c>
    </row>
    <row r="44" spans="1:10" ht="21.75">
      <c r="A44" s="130">
        <v>1</v>
      </c>
      <c r="B44" s="329" t="str">
        <f>'Design Data'!G18&amp;" - "&amp;'Design Data'!I18&amp;" x "&amp;'Design Data'!J18&amp;" mm x "&amp;'Design Data'!L18&amp;" kg/m"</f>
        <v>C - 125 x 50 x 20 x 3.2 mm x 6.13 kg/m</v>
      </c>
      <c r="C44" s="330"/>
      <c r="D44" s="330"/>
      <c r="E44" s="331"/>
      <c r="F44" s="130">
        <f>'Design Data'!M18</f>
        <v>181</v>
      </c>
      <c r="G44" s="130">
        <f>'Design Data'!O18</f>
        <v>29</v>
      </c>
      <c r="H44" s="130">
        <f>'Design Data'!P18</f>
        <v>8.02</v>
      </c>
      <c r="I44" s="145">
        <f>ROUNDUP((I28*100/G44)+(I30*100/H44),2)</f>
        <v>1296.04</v>
      </c>
      <c r="J44" s="145">
        <f>ROUNDUP(5/384*I25*I10*(I10*100)^3/I6/F44,2)</f>
        <v>1.23</v>
      </c>
    </row>
    <row r="45" spans="1:10" ht="21.75">
      <c r="A45" s="130">
        <v>2</v>
      </c>
      <c r="B45" s="329" t="str">
        <f>'Design Data'!G19&amp;" - "&amp;'Design Data'!I19&amp;" x "&amp;'Design Data'!J19&amp;" mm x "&amp;'Design Data'!L19&amp;" kg/m"</f>
        <v>L - 40 x 40 x 3 mm x 1.83 kg/m</v>
      </c>
      <c r="C45" s="330"/>
      <c r="D45" s="330"/>
      <c r="E45" s="331"/>
      <c r="F45" s="130">
        <f>'Design Data'!M19</f>
        <v>3.53</v>
      </c>
      <c r="G45" s="130">
        <f>'Design Data'!O19</f>
        <v>1.21</v>
      </c>
      <c r="H45" s="130">
        <f>'Design Data'!P19</f>
        <v>1.21</v>
      </c>
      <c r="I45" s="145">
        <f>ROUNDUP((I28*100/G45)+(I31*100/H45),2)</f>
        <v>19089.26</v>
      </c>
      <c r="J45" s="145">
        <f>ROUNDUP(5/384*I25*I10*(I10*100)^3/I6/F45,2)</f>
        <v>62.669999999999995</v>
      </c>
    </row>
    <row r="46" spans="1:10" ht="21.75">
      <c r="A46" s="130">
        <v>3</v>
      </c>
      <c r="B46" s="329" t="str">
        <f>'Design Data'!G20&amp;" - "&amp;'Design Data'!I20&amp;" x "&amp;'Design Data'!J20&amp;" mm x "&amp;'Design Data'!L20&amp;" kg/m"</f>
        <v>L - 40 x 40 x 3 mm x 1.83 kg/m</v>
      </c>
      <c r="C46" s="330"/>
      <c r="D46" s="330"/>
      <c r="E46" s="331"/>
      <c r="F46" s="130">
        <f>'Design Data'!M20</f>
        <v>3.53</v>
      </c>
      <c r="G46" s="130">
        <f>'Design Data'!O20</f>
        <v>1.21</v>
      </c>
      <c r="H46" s="130">
        <f>'Design Data'!P20</f>
        <v>1.21</v>
      </c>
      <c r="I46" s="145">
        <f>ROUNDUP((I28*100/G46)+(I32*100/H46),2)</f>
        <v>18525.62</v>
      </c>
      <c r="J46" s="145">
        <f>ROUNDUP(5/384*I25*I10*(I10*100)^3/I6/F46,2)</f>
        <v>62.669999999999995</v>
      </c>
    </row>
    <row r="48" spans="1:10" ht="21.75">
      <c r="A48" s="329" t="s">
        <v>202</v>
      </c>
      <c r="B48" s="330"/>
      <c r="C48" s="331"/>
      <c r="D48" s="329" t="str">
        <f>"แปเหล็ก  "&amp;B44&amp;"  @  "&amp;I11&amp;" m"</f>
        <v>แปเหล็ก  C - 125 x 50 x 20 x 3.2 mm x 6.13 kg/m  @  1 m</v>
      </c>
      <c r="E48" s="330"/>
      <c r="F48" s="330"/>
      <c r="G48" s="330"/>
      <c r="H48" s="330"/>
      <c r="I48" s="330"/>
      <c r="J48" s="331"/>
    </row>
    <row r="49" spans="1:10" ht="21.75">
      <c r="A49" s="329" t="s">
        <v>203</v>
      </c>
      <c r="B49" s="330"/>
      <c r="C49" s="331"/>
      <c r="D49" s="329" t="str">
        <f>"แปเหล็ก  "&amp;B45&amp;"  @  "&amp;I11&amp;" m"</f>
        <v>แปเหล็ก  L - 40 x 40 x 3 mm x 1.83 kg/m  @  1 m</v>
      </c>
      <c r="E49" s="330"/>
      <c r="F49" s="330"/>
      <c r="G49" s="330"/>
      <c r="H49" s="330"/>
      <c r="I49" s="330"/>
      <c r="J49" s="331"/>
    </row>
    <row r="50" spans="1:10" ht="21.75">
      <c r="A50" s="329" t="s">
        <v>204</v>
      </c>
      <c r="B50" s="330"/>
      <c r="C50" s="331"/>
      <c r="D50" s="329" t="str">
        <f>"แปเหล็ก  "&amp;B46&amp;"  @  "&amp;I11&amp;" m"</f>
        <v>แปเหล็ก  L - 40 x 40 x 3 mm x 1.83 kg/m  @  1 m</v>
      </c>
      <c r="E50" s="330"/>
      <c r="F50" s="330"/>
      <c r="G50" s="330"/>
      <c r="H50" s="330"/>
      <c r="I50" s="330"/>
      <c r="J50" s="331"/>
    </row>
  </sheetData>
  <sheetProtection/>
  <mergeCells count="19">
    <mergeCell ref="A50:C50"/>
    <mergeCell ref="B25:C25"/>
    <mergeCell ref="B45:E45"/>
    <mergeCell ref="B46:E46"/>
    <mergeCell ref="D48:J48"/>
    <mergeCell ref="D49:J49"/>
    <mergeCell ref="D50:J50"/>
    <mergeCell ref="B43:E43"/>
    <mergeCell ref="B44:E44"/>
    <mergeCell ref="A42:H42"/>
    <mergeCell ref="D17:D18"/>
    <mergeCell ref="A48:C48"/>
    <mergeCell ref="A49:C49"/>
    <mergeCell ref="A4:J4"/>
    <mergeCell ref="I2:J2"/>
    <mergeCell ref="A1:B1"/>
    <mergeCell ref="A2:B2"/>
    <mergeCell ref="B16:C16"/>
    <mergeCell ref="B20:C20"/>
  </mergeCells>
  <printOptions/>
  <pageMargins left="0.9448818897637796" right="0.5511811023622047" top="0.7874015748031497" bottom="0.5905511811023623" header="0.5118110236220472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34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2.7109375" style="112" customWidth="1"/>
    <col min="2" max="3" width="9.7109375" style="112" customWidth="1"/>
    <col min="4" max="4" width="9.7109375" style="114" customWidth="1"/>
    <col min="5" max="5" width="9.7109375" style="112" customWidth="1"/>
    <col min="6" max="6" width="13.57421875" style="112" customWidth="1"/>
    <col min="7" max="8" width="6.7109375" style="112" customWidth="1"/>
    <col min="9" max="9" width="10.57421875" style="112" customWidth="1"/>
    <col min="10" max="10" width="7.8515625" style="112" customWidth="1"/>
    <col min="11" max="16384" width="9.140625" style="112" customWidth="1"/>
  </cols>
  <sheetData>
    <row r="1" spans="1:10" s="111" customFormat="1" ht="21.75">
      <c r="A1" s="334" t="s">
        <v>5</v>
      </c>
      <c r="B1" s="334"/>
      <c r="C1" s="128"/>
      <c r="D1" s="239"/>
      <c r="E1" s="128"/>
      <c r="F1" s="128"/>
      <c r="G1" s="128"/>
      <c r="H1" s="128"/>
      <c r="I1" s="128"/>
      <c r="J1" s="214" t="s">
        <v>224</v>
      </c>
    </row>
    <row r="2" spans="1:10" s="111" customFormat="1" ht="21.75">
      <c r="A2" s="335" t="s">
        <v>6</v>
      </c>
      <c r="B2" s="335"/>
      <c r="C2" s="129" t="s">
        <v>275</v>
      </c>
      <c r="D2" s="240"/>
      <c r="E2" s="129"/>
      <c r="F2" s="129"/>
      <c r="G2" s="129"/>
      <c r="H2" s="129"/>
      <c r="I2" s="333">
        <f ca="1">NOW()</f>
        <v>41138.40639537037</v>
      </c>
      <c r="J2" s="333"/>
    </row>
    <row r="3" spans="1:10" s="254" customFormat="1" ht="12.75">
      <c r="A3" s="250"/>
      <c r="B3" s="250"/>
      <c r="C3" s="251"/>
      <c r="D3" s="252"/>
      <c r="E3" s="251"/>
      <c r="F3" s="251"/>
      <c r="G3" s="251"/>
      <c r="H3" s="251"/>
      <c r="I3" s="253"/>
      <c r="J3" s="253"/>
    </row>
    <row r="4" spans="1:10" s="111" customFormat="1" ht="24">
      <c r="A4" s="332" t="s">
        <v>104</v>
      </c>
      <c r="B4" s="332"/>
      <c r="C4" s="332"/>
      <c r="D4" s="332"/>
      <c r="E4" s="332"/>
      <c r="F4" s="332"/>
      <c r="G4" s="332"/>
      <c r="H4" s="332"/>
      <c r="I4" s="332"/>
      <c r="J4" s="332"/>
    </row>
    <row r="5" ht="21.75">
      <c r="A5" s="236" t="s">
        <v>226</v>
      </c>
    </row>
    <row r="6" spans="2:10" ht="24.75">
      <c r="B6" s="112" t="s">
        <v>115</v>
      </c>
      <c r="G6" s="113" t="s">
        <v>13</v>
      </c>
      <c r="H6" s="114" t="s">
        <v>7</v>
      </c>
      <c r="I6" s="249">
        <f>'Design Data'!F5</f>
        <v>2100000</v>
      </c>
      <c r="J6" s="120" t="s">
        <v>12</v>
      </c>
    </row>
    <row r="7" spans="2:10" ht="24.75">
      <c r="B7" s="112" t="s">
        <v>116</v>
      </c>
      <c r="G7" s="113" t="s">
        <v>150</v>
      </c>
      <c r="H7" s="114" t="s">
        <v>7</v>
      </c>
      <c r="I7" s="215">
        <f>'Design Data'!F6</f>
        <v>2310</v>
      </c>
      <c r="J7" s="120" t="s">
        <v>12</v>
      </c>
    </row>
    <row r="8" spans="2:10" ht="24.75">
      <c r="B8" s="112" t="s">
        <v>151</v>
      </c>
      <c r="G8" s="113" t="s">
        <v>152</v>
      </c>
      <c r="H8" s="114" t="s">
        <v>7</v>
      </c>
      <c r="I8" s="215">
        <f>0.6*I7</f>
        <v>1386</v>
      </c>
      <c r="J8" s="120" t="s">
        <v>12</v>
      </c>
    </row>
    <row r="9" spans="4:10" s="228" customFormat="1" ht="8.25">
      <c r="D9" s="230"/>
      <c r="G9" s="229"/>
      <c r="H9" s="230"/>
      <c r="I9" s="231"/>
      <c r="J9" s="232"/>
    </row>
    <row r="10" spans="1:10" ht="21.75">
      <c r="A10" s="236" t="s">
        <v>229</v>
      </c>
      <c r="F10" s="116" t="s">
        <v>230</v>
      </c>
      <c r="G10" s="113" t="s">
        <v>3</v>
      </c>
      <c r="H10" s="114" t="s">
        <v>7</v>
      </c>
      <c r="I10" s="215">
        <f>ROUNDUP((B15+C15)/COS(RADIANS(C13)),2)</f>
        <v>5.81</v>
      </c>
      <c r="J10" s="120" t="s">
        <v>1</v>
      </c>
    </row>
    <row r="11" spans="6:12" ht="21.75">
      <c r="F11" s="238" t="s">
        <v>231</v>
      </c>
      <c r="G11" s="113" t="s">
        <v>134</v>
      </c>
      <c r="H11" s="114" t="s">
        <v>7</v>
      </c>
      <c r="I11" s="215">
        <f>'Design Data'!E21</f>
        <v>4.5</v>
      </c>
      <c r="J11" s="120" t="s">
        <v>1</v>
      </c>
      <c r="L11" s="235"/>
    </row>
    <row r="12" spans="5:10" ht="21.75" customHeight="1">
      <c r="E12" s="8">
        <f>'Design Data'!L5</f>
        <v>1.4</v>
      </c>
      <c r="F12" s="238" t="s">
        <v>232</v>
      </c>
      <c r="G12" s="113" t="s">
        <v>159</v>
      </c>
      <c r="H12" s="114" t="s">
        <v>7</v>
      </c>
      <c r="I12" s="215">
        <f>'Design Data'!C21</f>
        <v>10</v>
      </c>
      <c r="J12" s="120" t="s">
        <v>8</v>
      </c>
    </row>
    <row r="13" spans="3:10" ht="21.75">
      <c r="C13" s="243">
        <f>ROUND(DEGREES(ATAN(E12/C15)),1)</f>
        <v>15.4</v>
      </c>
      <c r="F13" s="236" t="s">
        <v>233</v>
      </c>
      <c r="H13" s="114"/>
      <c r="I13" s="237"/>
      <c r="J13" s="114"/>
    </row>
    <row r="14" spans="6:10" ht="24.75">
      <c r="F14" s="120" t="s">
        <v>234</v>
      </c>
      <c r="H14" s="114" t="s">
        <v>7</v>
      </c>
      <c r="I14" s="215">
        <f>'Design Data'!F8</f>
        <v>15</v>
      </c>
      <c r="J14" s="120" t="s">
        <v>10</v>
      </c>
    </row>
    <row r="15" spans="2:10" ht="24.75">
      <c r="B15" s="8">
        <f>'Design Data'!L7</f>
        <v>0.5</v>
      </c>
      <c r="C15" s="336">
        <f>'Design Data'!L6</f>
        <v>5.1</v>
      </c>
      <c r="D15" s="337"/>
      <c r="F15" s="120" t="s">
        <v>235</v>
      </c>
      <c r="H15" s="114" t="s">
        <v>7</v>
      </c>
      <c r="I15" s="215">
        <f>'Design Data'!F9</f>
        <v>10</v>
      </c>
      <c r="J15" s="120" t="s">
        <v>10</v>
      </c>
    </row>
    <row r="16" spans="6:10" ht="24.75">
      <c r="F16" s="120" t="s">
        <v>236</v>
      </c>
      <c r="H16" s="114" t="s">
        <v>7</v>
      </c>
      <c r="I16" s="215">
        <f>ROUNDUP((ROUNDUP(I10/'Design Data'!E18,0)+1)*I11*'Design Data'!L18/(I10*I11),0)</f>
        <v>8</v>
      </c>
      <c r="J16" s="120" t="s">
        <v>10</v>
      </c>
    </row>
    <row r="17" spans="5:10" ht="24.75">
      <c r="E17" s="328">
        <f>I11</f>
        <v>4.5</v>
      </c>
      <c r="F17" s="120" t="s">
        <v>237</v>
      </c>
      <c r="H17" s="114" t="s">
        <v>7</v>
      </c>
      <c r="I17" s="215">
        <f>'Design Data'!F10</f>
        <v>30</v>
      </c>
      <c r="J17" s="120" t="s">
        <v>10</v>
      </c>
    </row>
    <row r="18" spans="5:10" ht="21.75">
      <c r="E18" s="328"/>
      <c r="G18" s="113" t="s">
        <v>170</v>
      </c>
      <c r="H18" s="114" t="s">
        <v>7</v>
      </c>
      <c r="I18" s="215">
        <f>ROUNDUP(SUM(I14:I17)*E17*1,0)</f>
        <v>284</v>
      </c>
      <c r="J18" s="120" t="s">
        <v>8</v>
      </c>
    </row>
    <row r="19" spans="7:10" ht="21.75">
      <c r="G19" s="113" t="s">
        <v>238</v>
      </c>
      <c r="H19" s="114" t="s">
        <v>7</v>
      </c>
      <c r="I19" s="215">
        <f>I12+I18</f>
        <v>294</v>
      </c>
      <c r="J19" s="120" t="s">
        <v>8</v>
      </c>
    </row>
    <row r="20" ht="21.75">
      <c r="F20" s="242" t="s">
        <v>14</v>
      </c>
    </row>
    <row r="21" spans="2:11" ht="24.75">
      <c r="B21" s="67"/>
      <c r="C21" s="67"/>
      <c r="D21" s="8">
        <v>1</v>
      </c>
      <c r="F21" s="120" t="s">
        <v>239</v>
      </c>
      <c r="G21" s="114" t="s">
        <v>18</v>
      </c>
      <c r="H21" s="114" t="s">
        <v>7</v>
      </c>
      <c r="I21" s="215">
        <f>'Design Data'!F11</f>
        <v>50</v>
      </c>
      <c r="J21" s="120" t="s">
        <v>10</v>
      </c>
      <c r="K21" s="219"/>
    </row>
    <row r="22" spans="6:9" ht="24.75">
      <c r="F22" s="120" t="s">
        <v>240</v>
      </c>
      <c r="G22" s="1" t="s">
        <v>165</v>
      </c>
      <c r="H22" s="114" t="s">
        <v>7</v>
      </c>
      <c r="I22" s="2" t="s">
        <v>241</v>
      </c>
    </row>
    <row r="23" spans="8:10" ht="21.75">
      <c r="H23" s="114" t="s">
        <v>7</v>
      </c>
      <c r="I23" s="215">
        <f>ROUNDUP((I21*(2*SIN(RADIANS(C13))))/(1+(SIN(RADIANS(C13)))^2),0)*E17*1</f>
        <v>112.5</v>
      </c>
      <c r="J23" s="120" t="s">
        <v>8</v>
      </c>
    </row>
    <row r="24" spans="1:11" ht="21.75">
      <c r="A24" s="236" t="s">
        <v>206</v>
      </c>
      <c r="G24" s="3" t="s">
        <v>242</v>
      </c>
      <c r="H24" s="1" t="s">
        <v>7</v>
      </c>
      <c r="I24" s="219">
        <f>ROUNDUP(I19*COS(RADIANS(C13)),0)+I23</f>
        <v>396.5</v>
      </c>
      <c r="J24" s="120" t="s">
        <v>8</v>
      </c>
      <c r="K24" s="219"/>
    </row>
    <row r="25" spans="3:12" ht="21.75">
      <c r="C25" s="244">
        <f>I24</f>
        <v>396.5</v>
      </c>
      <c r="D25" s="245" t="s">
        <v>8</v>
      </c>
      <c r="E25" s="234"/>
      <c r="G25" s="113" t="s">
        <v>253</v>
      </c>
      <c r="H25" s="1" t="s">
        <v>7</v>
      </c>
      <c r="I25" s="112">
        <f>ROUNDUP(C25*(B26+C26)^2/2/C26,2)</f>
        <v>1265.06</v>
      </c>
      <c r="J25" s="120" t="s">
        <v>110</v>
      </c>
      <c r="K25" s="219"/>
      <c r="L25" s="261"/>
    </row>
    <row r="26" spans="2:12" ht="21.75">
      <c r="B26" s="223">
        <f>I10-C26</f>
        <v>0.5199999999999996</v>
      </c>
      <c r="C26" s="338">
        <f>ROUNDUP(C15/COS(RADIANS(C13)),2)</f>
        <v>5.29</v>
      </c>
      <c r="D26" s="338"/>
      <c r="G26" s="113" t="s">
        <v>254</v>
      </c>
      <c r="H26" s="1" t="s">
        <v>7</v>
      </c>
      <c r="I26" s="112">
        <f>(C25*(B26+C26))-I25</f>
        <v>1038.605</v>
      </c>
      <c r="J26" s="120" t="s">
        <v>110</v>
      </c>
      <c r="K26" s="219"/>
      <c r="L26" s="261"/>
    </row>
    <row r="27" spans="2:11" ht="21.75">
      <c r="B27" s="67">
        <f>I25</f>
        <v>1265.06</v>
      </c>
      <c r="C27" s="123" t="s">
        <v>110</v>
      </c>
      <c r="D27" s="234">
        <f>I26</f>
        <v>1038.605</v>
      </c>
      <c r="E27" s="234" t="s">
        <v>110</v>
      </c>
      <c r="G27" s="113" t="s">
        <v>228</v>
      </c>
      <c r="H27" s="1" t="s">
        <v>7</v>
      </c>
      <c r="I27" s="235">
        <f>C32</f>
        <v>1360.3</v>
      </c>
      <c r="J27" s="120" t="s">
        <v>227</v>
      </c>
      <c r="K27" s="261"/>
    </row>
    <row r="28" spans="1:11" ht="24.75">
      <c r="A28" s="222"/>
      <c r="B28" s="244">
        <f>B30+B27</f>
        <v>1058.88</v>
      </c>
      <c r="C28" s="225" t="s">
        <v>110</v>
      </c>
      <c r="D28" s="241"/>
      <c r="E28" s="226"/>
      <c r="G28" s="113" t="s">
        <v>250</v>
      </c>
      <c r="H28" s="1" t="s">
        <v>7</v>
      </c>
      <c r="I28" s="215">
        <f>ROUNDUP(I27*100/I8,2)</f>
        <v>98.15</v>
      </c>
      <c r="J28" s="120" t="s">
        <v>9</v>
      </c>
      <c r="K28" s="261"/>
    </row>
    <row r="29" spans="1:10" ht="21.75">
      <c r="A29" s="222"/>
      <c r="B29" s="225"/>
      <c r="C29" s="227"/>
      <c r="D29" s="241"/>
      <c r="E29" s="226"/>
      <c r="G29" s="6" t="s">
        <v>197</v>
      </c>
      <c r="H29" s="1" t="s">
        <v>7</v>
      </c>
      <c r="I29" s="215">
        <f>ROUNDDOWN(C26*100/360,2)</f>
        <v>1.46</v>
      </c>
      <c r="J29" s="112" t="s">
        <v>11</v>
      </c>
    </row>
    <row r="30" spans="1:5" ht="21.75">
      <c r="A30" s="222"/>
      <c r="B30" s="246">
        <f>0-(C25*B26)</f>
        <v>-206.17999999999984</v>
      </c>
      <c r="C30" s="217" t="s">
        <v>110</v>
      </c>
      <c r="D30" s="244">
        <f>B28-(C25*C26)</f>
        <v>-1038.605</v>
      </c>
      <c r="E30" s="123" t="s">
        <v>110</v>
      </c>
    </row>
    <row r="31" spans="1:10" ht="21.75">
      <c r="A31" s="222"/>
      <c r="B31" s="233">
        <f>B26</f>
        <v>0.5199999999999996</v>
      </c>
      <c r="C31" s="247">
        <f>ROUND(B28/C25,2)</f>
        <v>2.67</v>
      </c>
      <c r="D31" s="248">
        <f>C26-C31</f>
        <v>2.62</v>
      </c>
      <c r="F31" s="257" t="s">
        <v>251</v>
      </c>
      <c r="G31" s="329" t="str">
        <f>'Design Data'!G21&amp;" - "&amp;'Design Data'!I21&amp;" x "&amp;'Design Data'!J21&amp;" mm x "&amp;'Design Data'!L21&amp;" kg/m"</f>
        <v>C - 150 x 75 x 20 x 3.2 mm x 8.01 kg/m</v>
      </c>
      <c r="H31" s="330"/>
      <c r="I31" s="330"/>
      <c r="J31" s="331"/>
    </row>
    <row r="32" spans="1:4" ht="21.75">
      <c r="A32" s="222"/>
      <c r="C32" s="244">
        <f>ROUNDUP((B27*C31)-(C25*(B31+C31)*(B31+C31)/2),2)</f>
        <v>1360.3</v>
      </c>
      <c r="D32" s="224" t="s">
        <v>227</v>
      </c>
    </row>
    <row r="33" spans="2:10" ht="21.75">
      <c r="B33" s="113"/>
      <c r="C33" s="118"/>
      <c r="F33" s="130" t="s">
        <v>192</v>
      </c>
      <c r="G33" s="130" t="s">
        <v>190</v>
      </c>
      <c r="H33" s="130" t="s">
        <v>193</v>
      </c>
      <c r="I33" s="130" t="s">
        <v>201</v>
      </c>
      <c r="J33" s="144" t="s">
        <v>200</v>
      </c>
    </row>
    <row r="34" spans="2:10" ht="21.75">
      <c r="B34" s="123">
        <f>-ROUNDUP(C25*B31*B31/2,2)</f>
        <v>-53.61</v>
      </c>
      <c r="C34" s="118" t="s">
        <v>227</v>
      </c>
      <c r="F34" s="130">
        <f>'Design Data'!M21</f>
        <v>366</v>
      </c>
      <c r="G34" s="130">
        <f>'Design Data'!O21</f>
        <v>48.9</v>
      </c>
      <c r="H34" s="130">
        <f>'Design Data'!P21</f>
        <v>15.3</v>
      </c>
      <c r="I34" s="145">
        <f>ROUNDUP(I27*100/G34,2)</f>
        <v>2781.8</v>
      </c>
      <c r="J34" s="145">
        <f>ROUNDUP(5/384*I24*C26*(C26*100)^3/I6/F34,2)</f>
        <v>5.27</v>
      </c>
    </row>
  </sheetData>
  <sheetProtection/>
  <mergeCells count="8">
    <mergeCell ref="G31:J31"/>
    <mergeCell ref="C26:D26"/>
    <mergeCell ref="A1:B1"/>
    <mergeCell ref="A2:B2"/>
    <mergeCell ref="I2:J2"/>
    <mergeCell ref="A4:J4"/>
    <mergeCell ref="C15:D15"/>
    <mergeCell ref="E17:E18"/>
  </mergeCells>
  <printOptions/>
  <pageMargins left="0.9448818897637796" right="0.5511811023622047" top="0.7874015748031497" bottom="0.3937007874015748" header="0.5118110236220472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2.421875" style="112" customWidth="1"/>
    <col min="2" max="3" width="9.7109375" style="112" customWidth="1"/>
    <col min="4" max="4" width="9.7109375" style="114" customWidth="1"/>
    <col min="5" max="5" width="9.7109375" style="112" customWidth="1"/>
    <col min="6" max="6" width="13.57421875" style="112" customWidth="1"/>
    <col min="7" max="8" width="6.7109375" style="112" customWidth="1"/>
    <col min="9" max="9" width="10.57421875" style="112" customWidth="1"/>
    <col min="10" max="10" width="8.7109375" style="112" customWidth="1"/>
    <col min="11" max="16384" width="9.140625" style="112" customWidth="1"/>
  </cols>
  <sheetData>
    <row r="1" spans="1:10" s="111" customFormat="1" ht="21.75">
      <c r="A1" s="334" t="s">
        <v>5</v>
      </c>
      <c r="B1" s="334"/>
      <c r="C1" s="128"/>
      <c r="D1" s="239"/>
      <c r="E1" s="128"/>
      <c r="F1" s="128"/>
      <c r="G1" s="128"/>
      <c r="H1" s="128"/>
      <c r="I1" s="128"/>
      <c r="J1" s="214" t="s">
        <v>224</v>
      </c>
    </row>
    <row r="2" spans="1:10" s="111" customFormat="1" ht="21.75">
      <c r="A2" s="335" t="s">
        <v>6</v>
      </c>
      <c r="B2" s="335"/>
      <c r="C2" s="129" t="s">
        <v>276</v>
      </c>
      <c r="D2" s="240"/>
      <c r="E2" s="129"/>
      <c r="F2" s="129"/>
      <c r="G2" s="129"/>
      <c r="H2" s="129"/>
      <c r="I2" s="333">
        <f ca="1">NOW()</f>
        <v>41138.40639537037</v>
      </c>
      <c r="J2" s="333"/>
    </row>
    <row r="3" spans="1:10" s="254" customFormat="1" ht="12.75">
      <c r="A3" s="250"/>
      <c r="B3" s="250"/>
      <c r="C3" s="251"/>
      <c r="D3" s="252"/>
      <c r="E3" s="251"/>
      <c r="F3" s="251"/>
      <c r="G3" s="251"/>
      <c r="H3" s="251"/>
      <c r="I3" s="253"/>
      <c r="J3" s="253"/>
    </row>
    <row r="4" spans="1:10" s="111" customFormat="1" ht="24">
      <c r="A4" s="332" t="s">
        <v>243</v>
      </c>
      <c r="B4" s="332"/>
      <c r="C4" s="332"/>
      <c r="D4" s="332"/>
      <c r="E4" s="332"/>
      <c r="F4" s="332"/>
      <c r="G4" s="332"/>
      <c r="H4" s="332"/>
      <c r="I4" s="332"/>
      <c r="J4" s="332"/>
    </row>
    <row r="5" ht="21.75">
      <c r="A5" s="236" t="s">
        <v>226</v>
      </c>
    </row>
    <row r="6" spans="2:10" ht="24.75">
      <c r="B6" s="112" t="s">
        <v>115</v>
      </c>
      <c r="G6" s="113" t="s">
        <v>13</v>
      </c>
      <c r="H6" s="114" t="s">
        <v>7</v>
      </c>
      <c r="I6" s="249">
        <f>'Design Data'!F5</f>
        <v>2100000</v>
      </c>
      <c r="J6" s="120" t="s">
        <v>12</v>
      </c>
    </row>
    <row r="7" spans="2:10" ht="24.75">
      <c r="B7" s="112" t="s">
        <v>116</v>
      </c>
      <c r="G7" s="113" t="s">
        <v>150</v>
      </c>
      <c r="H7" s="114" t="s">
        <v>7</v>
      </c>
      <c r="I7" s="215">
        <f>'Design Data'!F6</f>
        <v>2310</v>
      </c>
      <c r="J7" s="120" t="s">
        <v>12</v>
      </c>
    </row>
    <row r="8" spans="2:10" ht="24.75">
      <c r="B8" s="112" t="s">
        <v>151</v>
      </c>
      <c r="G8" s="113" t="s">
        <v>152</v>
      </c>
      <c r="H8" s="114" t="s">
        <v>7</v>
      </c>
      <c r="I8" s="215">
        <f>0.6*I7</f>
        <v>1386</v>
      </c>
      <c r="J8" s="120" t="s">
        <v>12</v>
      </c>
    </row>
    <row r="9" spans="7:10" ht="21.75">
      <c r="G9" s="113"/>
      <c r="H9" s="114"/>
      <c r="I9" s="215"/>
      <c r="J9" s="120"/>
    </row>
    <row r="10" spans="1:10" ht="21.75">
      <c r="A10" s="236" t="s">
        <v>229</v>
      </c>
      <c r="F10" s="116" t="s">
        <v>244</v>
      </c>
      <c r="G10" s="113" t="s">
        <v>3</v>
      </c>
      <c r="H10" s="114" t="s">
        <v>7</v>
      </c>
      <c r="I10" s="215">
        <f>ROUNDUP((C13+B13)/COS(RADIANS(C12)),2)</f>
        <v>8.07</v>
      </c>
      <c r="J10" s="120" t="s">
        <v>1</v>
      </c>
    </row>
    <row r="11" spans="3:10" ht="21.75">
      <c r="C11" s="256"/>
      <c r="E11" s="122">
        <f>'Design Data'!L5</f>
        <v>1.4</v>
      </c>
      <c r="F11" s="238" t="s">
        <v>245</v>
      </c>
      <c r="G11" s="113" t="s">
        <v>159</v>
      </c>
      <c r="H11" s="114" t="s">
        <v>7</v>
      </c>
      <c r="I11" s="215">
        <f>'Design Data'!C21</f>
        <v>10</v>
      </c>
      <c r="J11" s="120" t="s">
        <v>8</v>
      </c>
    </row>
    <row r="12" spans="3:6" ht="21.75" customHeight="1">
      <c r="C12" s="255">
        <f>ROUND(DEGREES(ATAN(E11/C13)),1)</f>
        <v>11</v>
      </c>
      <c r="F12" s="236" t="s">
        <v>271</v>
      </c>
    </row>
    <row r="13" spans="2:10" ht="24.75">
      <c r="B13" s="66">
        <f>SQRT(B21^2+B21^2)</f>
        <v>0.7071067811865476</v>
      </c>
      <c r="C13" s="67">
        <f>SQRT(C21^2+C21^2)</f>
        <v>7.212489168102785</v>
      </c>
      <c r="D13" s="123"/>
      <c r="E13" s="152"/>
      <c r="F13" s="120" t="s">
        <v>268</v>
      </c>
      <c r="H13" s="114" t="s">
        <v>7</v>
      </c>
      <c r="I13" s="215">
        <f>SUM(Rafter!I14:I17)</f>
        <v>63</v>
      </c>
      <c r="J13" s="120" t="s">
        <v>10</v>
      </c>
    </row>
    <row r="14" spans="6:10" ht="24.75">
      <c r="F14" s="120" t="s">
        <v>232</v>
      </c>
      <c r="H14" s="114" t="s">
        <v>7</v>
      </c>
      <c r="I14" s="219">
        <f>((ROUNDUP(C21/Rafter!I11,0)+1)*(C21/2)*'Design Data'!L21)/(1/2*C21*C21)</f>
        <v>4.711764705882353</v>
      </c>
      <c r="J14" s="120" t="s">
        <v>10</v>
      </c>
    </row>
    <row r="15" spans="5:6" ht="21.75">
      <c r="E15" s="328">
        <f>C21/2</f>
        <v>2.55</v>
      </c>
      <c r="F15" s="288" t="s">
        <v>14</v>
      </c>
    </row>
    <row r="16" spans="5:10" ht="24.75">
      <c r="E16" s="328"/>
      <c r="F16" s="120" t="s">
        <v>239</v>
      </c>
      <c r="G16" s="113" t="s">
        <v>18</v>
      </c>
      <c r="H16" s="114" t="s">
        <v>7</v>
      </c>
      <c r="I16" s="215">
        <f>'Design Data'!F11</f>
        <v>50</v>
      </c>
      <c r="J16" s="120" t="s">
        <v>10</v>
      </c>
    </row>
    <row r="17" spans="6:9" ht="24.75">
      <c r="F17" s="120" t="s">
        <v>240</v>
      </c>
      <c r="G17" s="3" t="s">
        <v>248</v>
      </c>
      <c r="H17" s="114" t="s">
        <v>7</v>
      </c>
      <c r="I17" s="2" t="s">
        <v>252</v>
      </c>
    </row>
    <row r="18" spans="6:10" ht="24.75">
      <c r="F18" s="120"/>
      <c r="H18" s="114" t="s">
        <v>7</v>
      </c>
      <c r="I18" s="215">
        <f>I16*(2*SIN(RADIANS(C12)))/(1+(SIN(RADIANS(C12)))^2)</f>
        <v>18.41060489584968</v>
      </c>
      <c r="J18" s="120" t="s">
        <v>10</v>
      </c>
    </row>
    <row r="19" spans="6:10" ht="24.75">
      <c r="F19" s="120" t="s">
        <v>247</v>
      </c>
      <c r="G19" s="113" t="s">
        <v>249</v>
      </c>
      <c r="H19" s="114" t="s">
        <v>7</v>
      </c>
      <c r="I19" s="219">
        <f>ROUNDUP(I18/COS(RADIANS(C12)),2)</f>
        <v>18.76</v>
      </c>
      <c r="J19" s="120" t="s">
        <v>10</v>
      </c>
    </row>
    <row r="20" spans="7:10" ht="24.75">
      <c r="G20" s="113" t="s">
        <v>269</v>
      </c>
      <c r="H20" s="114" t="s">
        <v>7</v>
      </c>
      <c r="I20" s="219">
        <f>I13+I14+I19</f>
        <v>86.47176470588236</v>
      </c>
      <c r="J20" s="120" t="s">
        <v>10</v>
      </c>
    </row>
    <row r="21" spans="2:10" ht="21.75">
      <c r="B21" s="66">
        <f>'Design Data'!L7</f>
        <v>0.5</v>
      </c>
      <c r="C21" s="67">
        <f>'Design Data'!L6</f>
        <v>5.1</v>
      </c>
      <c r="G21" s="113" t="s">
        <v>270</v>
      </c>
      <c r="H21" s="114" t="s">
        <v>7</v>
      </c>
      <c r="I21" s="215">
        <f>I20*E15</f>
        <v>220.50300000000001</v>
      </c>
      <c r="J21" s="120" t="s">
        <v>8</v>
      </c>
    </row>
    <row r="22" spans="7:10" ht="21.75">
      <c r="G22" s="113" t="s">
        <v>246</v>
      </c>
      <c r="H22" s="114" t="s">
        <v>7</v>
      </c>
      <c r="I22" s="219">
        <f>ROUNDUP(1/2*(B21+B21+B21)*B21*I21,2)</f>
        <v>82.69000000000001</v>
      </c>
      <c r="J22" s="120" t="s">
        <v>110</v>
      </c>
    </row>
    <row r="23" ht="21.75">
      <c r="A23" s="236" t="s">
        <v>206</v>
      </c>
    </row>
    <row r="24" spans="1:10" ht="21.75">
      <c r="A24" s="236"/>
      <c r="B24" s="217">
        <f>I22</f>
        <v>82.69000000000001</v>
      </c>
      <c r="C24" s="67">
        <f>D24/C26*C31</f>
        <v>128.0982956738402</v>
      </c>
      <c r="D24" s="244">
        <f>I21</f>
        <v>220.50300000000001</v>
      </c>
      <c r="E24" s="245" t="s">
        <v>8</v>
      </c>
      <c r="F24" s="256">
        <f>(-B25+SQRT((B25^2)-(4*D24/2/C26*(-C28))))/(2*D24/2/C26)</f>
        <v>4.185022560132104</v>
      </c>
      <c r="G24" s="113" t="s">
        <v>253</v>
      </c>
      <c r="H24" s="114" t="s">
        <v>7</v>
      </c>
      <c r="I24" s="112">
        <f>ROUNDUP(((B24*(B26+C26))+(B25*(B26+C26)^2/2)+(D24*C26^2/6))/C26,2)</f>
        <v>399.34</v>
      </c>
      <c r="J24" s="120" t="s">
        <v>110</v>
      </c>
    </row>
    <row r="25" spans="2:10" ht="21.75">
      <c r="B25" s="258">
        <f>I11</f>
        <v>10</v>
      </c>
      <c r="D25" s="112"/>
      <c r="E25" s="234"/>
      <c r="F25" s="256">
        <f>(-B25-SQRT((B25^2)-(4*D24/2/C26*(-C28))))/(2*D24/2/C26)</f>
        <v>-4.839207688507027</v>
      </c>
      <c r="G25" s="113" t="s">
        <v>254</v>
      </c>
      <c r="H25" s="1" t="s">
        <v>7</v>
      </c>
      <c r="I25" s="112">
        <f>ROUNDUP((B24+(B25*(B26+C26))+(D24*C26/2)),2)-I24</f>
        <v>557.74</v>
      </c>
      <c r="J25" s="120" t="s">
        <v>110</v>
      </c>
    </row>
    <row r="26" spans="2:10" ht="21.75">
      <c r="B26" s="223">
        <f>B13</f>
        <v>0.7071067811865476</v>
      </c>
      <c r="C26" s="338">
        <f>C13</f>
        <v>7.212489168102785</v>
      </c>
      <c r="D26" s="338"/>
      <c r="G26" s="113" t="s">
        <v>228</v>
      </c>
      <c r="H26" s="1" t="s">
        <v>7</v>
      </c>
      <c r="I26" s="235">
        <f>C32</f>
        <v>773.5699999999999</v>
      </c>
      <c r="J26" s="120" t="s">
        <v>227</v>
      </c>
    </row>
    <row r="27" spans="2:10" ht="24.75">
      <c r="B27" s="67">
        <f>I24</f>
        <v>399.34</v>
      </c>
      <c r="C27" s="123" t="s">
        <v>110</v>
      </c>
      <c r="D27" s="234">
        <f>I25</f>
        <v>557.74</v>
      </c>
      <c r="E27" s="234" t="s">
        <v>110</v>
      </c>
      <c r="G27" s="113" t="s">
        <v>250</v>
      </c>
      <c r="H27" s="1" t="s">
        <v>7</v>
      </c>
      <c r="I27" s="215">
        <f>ROUNDUP(I26*100/I8,2)</f>
        <v>55.82</v>
      </c>
      <c r="J27" s="112" t="s">
        <v>9</v>
      </c>
    </row>
    <row r="28" spans="1:10" ht="21.75">
      <c r="A28" s="222"/>
      <c r="B28" s="244"/>
      <c r="C28" s="225">
        <f>C30+B27</f>
        <v>309.5789321881345</v>
      </c>
      <c r="D28" s="241"/>
      <c r="E28" s="226"/>
      <c r="G28" s="6" t="s">
        <v>197</v>
      </c>
      <c r="H28" s="1" t="s">
        <v>7</v>
      </c>
      <c r="I28" s="215">
        <f>ROUNDDOWN(C26*100/360,2)</f>
        <v>2</v>
      </c>
      <c r="J28" s="112" t="s">
        <v>11</v>
      </c>
    </row>
    <row r="29" spans="1:10" ht="21.75">
      <c r="A29" s="222"/>
      <c r="B29" s="244"/>
      <c r="D29" s="259"/>
      <c r="E29" s="226"/>
      <c r="F29" s="257" t="s">
        <v>251</v>
      </c>
      <c r="G29" s="329" t="str">
        <f>'Design Data'!G22&amp;" - "&amp;'Design Data'!I22&amp;" x "&amp;'Design Data'!J22&amp;" mm x "&amp;'Design Data'!L22&amp;" kg/m"</f>
        <v>C - 150 x 75 x 20 x 4.5 mm x 11 kg/m</v>
      </c>
      <c r="H29" s="330"/>
      <c r="I29" s="330"/>
      <c r="J29" s="331"/>
    </row>
    <row r="30" spans="1:5" ht="21.75">
      <c r="A30" s="222"/>
      <c r="B30" s="225">
        <f>0-B24</f>
        <v>-82.69000000000001</v>
      </c>
      <c r="C30" s="217">
        <f>B30-(B25*B26)</f>
        <v>-89.76106781186549</v>
      </c>
      <c r="E30" s="225">
        <f>C28-(B25*C26)-(D24*C26/2)</f>
        <v>-557.7337090099775</v>
      </c>
    </row>
    <row r="31" spans="1:10" ht="21.75">
      <c r="A31" s="222"/>
      <c r="B31" s="233">
        <f>B26</f>
        <v>0.7071067811865476</v>
      </c>
      <c r="C31" s="247">
        <f>ROUND(MAX(F24,F25),2)</f>
        <v>4.19</v>
      </c>
      <c r="D31" s="248">
        <f>C26-C31</f>
        <v>3.0224891681027843</v>
      </c>
      <c r="E31" s="226"/>
      <c r="F31" s="130" t="s">
        <v>192</v>
      </c>
      <c r="G31" s="130" t="s">
        <v>190</v>
      </c>
      <c r="H31" s="130" t="s">
        <v>193</v>
      </c>
      <c r="I31" s="130" t="s">
        <v>201</v>
      </c>
      <c r="J31" s="144" t="s">
        <v>200</v>
      </c>
    </row>
    <row r="32" spans="1:10" ht="21.75">
      <c r="A32" s="222"/>
      <c r="C32" s="244">
        <f>ROUNDUP((B27*C31)-(B24*(B31+C31))-(B25*(B31+C31)*(B31+C31)/2)-(C24*C31/2*C31/3),2)</f>
        <v>773.5699999999999</v>
      </c>
      <c r="D32" s="224" t="s">
        <v>227</v>
      </c>
      <c r="E32" s="123"/>
      <c r="F32" s="130">
        <f>'Design Data'!M22</f>
        <v>489</v>
      </c>
      <c r="G32" s="130">
        <f>'Design Data'!O22</f>
        <v>65.2</v>
      </c>
      <c r="H32" s="130">
        <f>'Design Data'!P22</f>
        <v>19.8</v>
      </c>
      <c r="I32" s="145">
        <f>ROUNDUP(I26*100/G32,2)</f>
        <v>1186.46</v>
      </c>
      <c r="J32" s="145">
        <f>ROUNDUP(5/384*D24*C26/2*(C26*100)^3/I6/F32,2)</f>
        <v>3.7899999999999996</v>
      </c>
    </row>
    <row r="33" spans="1:10" ht="21.75">
      <c r="A33" s="222"/>
      <c r="E33" s="116"/>
      <c r="F33" s="339" t="str">
        <f>"2 "&amp;G29</f>
        <v>2 C - 150 x 75 x 20 x 4.5 mm x 11 kg/m</v>
      </c>
      <c r="G33" s="340"/>
      <c r="H33" s="340"/>
      <c r="I33" s="340"/>
      <c r="J33" s="341"/>
    </row>
    <row r="34" spans="1:9" ht="21.75">
      <c r="A34" s="222"/>
      <c r="B34" s="67">
        <f>0-((B24*B31)+(B25*B31*B31/2))</f>
        <v>-60.970659736315625</v>
      </c>
      <c r="C34" s="118" t="s">
        <v>227</v>
      </c>
      <c r="F34" s="123"/>
      <c r="H34" s="5"/>
      <c r="I34" s="114"/>
    </row>
  </sheetData>
  <sheetProtection/>
  <mergeCells count="8">
    <mergeCell ref="F33:J33"/>
    <mergeCell ref="C26:D26"/>
    <mergeCell ref="G29:J29"/>
    <mergeCell ref="A1:B1"/>
    <mergeCell ref="A2:B2"/>
    <mergeCell ref="I2:J2"/>
    <mergeCell ref="A4:J4"/>
    <mergeCell ref="E15:E16"/>
  </mergeCells>
  <printOptions/>
  <pageMargins left="0.9448818897637796" right="0.5511811023622047" top="0.7874015748031497" bottom="0.3937007874015748" header="0.5118110236220472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34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.421875" style="112" customWidth="1"/>
    <col min="2" max="3" width="9.7109375" style="112" customWidth="1"/>
    <col min="4" max="4" width="9.7109375" style="114" customWidth="1"/>
    <col min="5" max="5" width="9.7109375" style="112" customWidth="1"/>
    <col min="6" max="6" width="13.57421875" style="112" customWidth="1"/>
    <col min="7" max="8" width="6.7109375" style="112" customWidth="1"/>
    <col min="9" max="9" width="10.57421875" style="112" customWidth="1"/>
    <col min="10" max="10" width="8.7109375" style="112" customWidth="1"/>
    <col min="11" max="16384" width="9.140625" style="112" customWidth="1"/>
  </cols>
  <sheetData>
    <row r="1" spans="1:10" s="111" customFormat="1" ht="21.75">
      <c r="A1" s="334" t="s">
        <v>5</v>
      </c>
      <c r="B1" s="334"/>
      <c r="C1" s="128"/>
      <c r="D1" s="239"/>
      <c r="E1" s="128"/>
      <c r="F1" s="128"/>
      <c r="G1" s="128"/>
      <c r="H1" s="128"/>
      <c r="I1" s="128"/>
      <c r="J1" s="214" t="s">
        <v>224</v>
      </c>
    </row>
    <row r="2" spans="1:10" s="111" customFormat="1" ht="21.75">
      <c r="A2" s="335" t="s">
        <v>6</v>
      </c>
      <c r="B2" s="335"/>
      <c r="C2" s="129" t="s">
        <v>277</v>
      </c>
      <c r="D2" s="240"/>
      <c r="E2" s="129"/>
      <c r="F2" s="129"/>
      <c r="G2" s="129"/>
      <c r="H2" s="129"/>
      <c r="I2" s="333">
        <f ca="1">NOW()</f>
        <v>41138.40639537037</v>
      </c>
      <c r="J2" s="333"/>
    </row>
    <row r="3" spans="1:10" s="254" customFormat="1" ht="12.75">
      <c r="A3" s="250"/>
      <c r="B3" s="250"/>
      <c r="C3" s="251"/>
      <c r="D3" s="252"/>
      <c r="E3" s="251"/>
      <c r="F3" s="251"/>
      <c r="G3" s="251"/>
      <c r="H3" s="251"/>
      <c r="I3" s="253"/>
      <c r="J3" s="253"/>
    </row>
    <row r="4" spans="1:10" s="111" customFormat="1" ht="24">
      <c r="A4" s="332" t="s">
        <v>256</v>
      </c>
      <c r="B4" s="332"/>
      <c r="C4" s="332"/>
      <c r="D4" s="332"/>
      <c r="E4" s="332"/>
      <c r="F4" s="332"/>
      <c r="G4" s="332"/>
      <c r="H4" s="332"/>
      <c r="I4" s="332"/>
      <c r="J4" s="332"/>
    </row>
    <row r="5" ht="21.75">
      <c r="A5" s="236" t="s">
        <v>226</v>
      </c>
    </row>
    <row r="6" spans="2:10" ht="24.75">
      <c r="B6" s="112" t="s">
        <v>115</v>
      </c>
      <c r="G6" s="113" t="s">
        <v>13</v>
      </c>
      <c r="H6" s="114" t="s">
        <v>7</v>
      </c>
      <c r="I6" s="249">
        <f>'Design Data'!F5</f>
        <v>2100000</v>
      </c>
      <c r="J6" s="120" t="s">
        <v>12</v>
      </c>
    </row>
    <row r="7" spans="2:10" ht="24.75">
      <c r="B7" s="112" t="s">
        <v>116</v>
      </c>
      <c r="G7" s="113" t="s">
        <v>150</v>
      </c>
      <c r="H7" s="114" t="s">
        <v>7</v>
      </c>
      <c r="I7" s="215">
        <f>'Design Data'!F6</f>
        <v>2310</v>
      </c>
      <c r="J7" s="120" t="s">
        <v>12</v>
      </c>
    </row>
    <row r="8" spans="2:10" ht="24.75">
      <c r="B8" s="112" t="s">
        <v>151</v>
      </c>
      <c r="G8" s="113" t="s">
        <v>152</v>
      </c>
      <c r="H8" s="114" t="s">
        <v>7</v>
      </c>
      <c r="I8" s="215">
        <f>0.6*I7</f>
        <v>1386</v>
      </c>
      <c r="J8" s="120" t="s">
        <v>12</v>
      </c>
    </row>
    <row r="9" spans="7:10" ht="21.75">
      <c r="G9" s="113"/>
      <c r="H9" s="114"/>
      <c r="I9" s="215"/>
      <c r="J9" s="120"/>
    </row>
    <row r="10" spans="1:10" ht="21.75">
      <c r="A10" s="236" t="s">
        <v>229</v>
      </c>
      <c r="F10" s="116" t="s">
        <v>244</v>
      </c>
      <c r="G10" s="113" t="s">
        <v>3</v>
      </c>
      <c r="H10" s="114" t="s">
        <v>7</v>
      </c>
      <c r="I10" s="215">
        <f>ROUNDUP((C13+B13)/COS(RADIANS(C12)),2)</f>
        <v>8.07</v>
      </c>
      <c r="J10" s="120" t="s">
        <v>1</v>
      </c>
    </row>
    <row r="11" spans="3:10" ht="21.75">
      <c r="C11" s="256"/>
      <c r="E11" s="122">
        <f>'Design Data'!L5</f>
        <v>1.4</v>
      </c>
      <c r="F11" s="238" t="s">
        <v>245</v>
      </c>
      <c r="G11" s="113" t="s">
        <v>159</v>
      </c>
      <c r="H11" s="114" t="s">
        <v>7</v>
      </c>
      <c r="I11" s="215">
        <f>'Design Data'!C21</f>
        <v>10</v>
      </c>
      <c r="J11" s="120" t="s">
        <v>8</v>
      </c>
    </row>
    <row r="12" spans="3:10" ht="21.75" customHeight="1">
      <c r="C12" s="255">
        <f>ROUND(DEGREES(ATAN(E11/C13)),1)</f>
        <v>11</v>
      </c>
      <c r="F12" s="236" t="s">
        <v>272</v>
      </c>
      <c r="H12" s="114"/>
      <c r="I12" s="237"/>
      <c r="J12" s="114"/>
    </row>
    <row r="13" spans="2:10" ht="24.75">
      <c r="B13" s="66">
        <f>SQRT(B21^2+B21^2)</f>
        <v>0.7071067811865476</v>
      </c>
      <c r="C13" s="67">
        <f>SQRT(C21^2+C21^2)</f>
        <v>7.212489168102785</v>
      </c>
      <c r="D13" s="123"/>
      <c r="E13" s="152"/>
      <c r="F13" s="120" t="s">
        <v>268</v>
      </c>
      <c r="H13" s="114" t="s">
        <v>7</v>
      </c>
      <c r="I13" s="215">
        <f>SUM(Rafter!I14:I17)</f>
        <v>63</v>
      </c>
      <c r="J13" s="120" t="s">
        <v>10</v>
      </c>
    </row>
    <row r="14" spans="6:10" ht="24.75">
      <c r="F14" s="120" t="s">
        <v>232</v>
      </c>
      <c r="H14" s="114" t="s">
        <v>7</v>
      </c>
      <c r="I14" s="219">
        <f>((ROUNDUP(C21/Rafter!I11,0)+1)*(C21/2)*'Design Data'!L21)/(1/2*C21*C21)</f>
        <v>4.711764705882353</v>
      </c>
      <c r="J14" s="120" t="s">
        <v>10</v>
      </c>
    </row>
    <row r="15" ht="21.75">
      <c r="F15" s="288" t="s">
        <v>14</v>
      </c>
    </row>
    <row r="16" spans="6:10" ht="24.75">
      <c r="F16" s="120" t="s">
        <v>239</v>
      </c>
      <c r="G16" s="113" t="s">
        <v>18</v>
      </c>
      <c r="H16" s="114" t="s">
        <v>7</v>
      </c>
      <c r="I16" s="215">
        <f>'Design Data'!F11</f>
        <v>50</v>
      </c>
      <c r="J16" s="120" t="s">
        <v>10</v>
      </c>
    </row>
    <row r="17" spans="6:9" ht="24.75">
      <c r="F17" s="120" t="s">
        <v>240</v>
      </c>
      <c r="G17" s="3" t="s">
        <v>248</v>
      </c>
      <c r="H17" s="114" t="s">
        <v>7</v>
      </c>
      <c r="I17" s="2" t="s">
        <v>252</v>
      </c>
    </row>
    <row r="18" spans="6:10" ht="24.75">
      <c r="F18" s="120"/>
      <c r="H18" s="114" t="s">
        <v>7</v>
      </c>
      <c r="I18" s="215">
        <f>I16*(2*SIN(RADIANS(C12)))/(1+(SIN(RADIANS(C12)))^2)</f>
        <v>18.41060489584968</v>
      </c>
      <c r="J18" s="120" t="s">
        <v>10</v>
      </c>
    </row>
    <row r="19" spans="6:10" ht="24.75">
      <c r="F19" s="120" t="s">
        <v>247</v>
      </c>
      <c r="G19" s="113" t="s">
        <v>249</v>
      </c>
      <c r="H19" s="114" t="s">
        <v>7</v>
      </c>
      <c r="I19" s="219">
        <f>ROUNDUP(I18/COS(RADIANS(C12)),2)</f>
        <v>18.76</v>
      </c>
      <c r="J19" s="120" t="s">
        <v>10</v>
      </c>
    </row>
    <row r="20" spans="3:10" ht="24.75">
      <c r="C20" s="260">
        <f>C21/2</f>
        <v>2.55</v>
      </c>
      <c r="G20" s="113" t="s">
        <v>269</v>
      </c>
      <c r="H20" s="114" t="s">
        <v>7</v>
      </c>
      <c r="I20" s="219">
        <f>I13+I14+I19</f>
        <v>86.47176470588236</v>
      </c>
      <c r="J20" s="120" t="s">
        <v>10</v>
      </c>
    </row>
    <row r="21" spans="2:10" ht="21.75">
      <c r="B21" s="66">
        <f>'Design Data'!L7</f>
        <v>0.5</v>
      </c>
      <c r="C21" s="67">
        <f>'Design Data'!L6</f>
        <v>5.1</v>
      </c>
      <c r="G21" s="113" t="s">
        <v>270</v>
      </c>
      <c r="H21" s="114" t="s">
        <v>7</v>
      </c>
      <c r="I21" s="215">
        <f>I20*C20</f>
        <v>220.50300000000001</v>
      </c>
      <c r="J21" s="120" t="s">
        <v>8</v>
      </c>
    </row>
    <row r="22" spans="7:10" ht="21.75">
      <c r="G22" s="113" t="s">
        <v>246</v>
      </c>
      <c r="H22" s="114" t="s">
        <v>7</v>
      </c>
      <c r="I22" s="219">
        <f>ROUNDUP(1/2*B21*B21*I21,2)</f>
        <v>27.57</v>
      </c>
      <c r="J22" s="120" t="s">
        <v>110</v>
      </c>
    </row>
    <row r="23" ht="21.75">
      <c r="A23" s="236" t="s">
        <v>206</v>
      </c>
    </row>
    <row r="24" spans="1:10" ht="21.75">
      <c r="A24" s="236"/>
      <c r="B24" s="217">
        <f>I22</f>
        <v>27.57</v>
      </c>
      <c r="C24" s="245">
        <f>I21</f>
        <v>220.50300000000001</v>
      </c>
      <c r="D24" s="8">
        <f>C24/C26*D31</f>
        <v>125.3467809696288</v>
      </c>
      <c r="E24" s="245"/>
      <c r="F24" s="256">
        <f>(-B25+SQRT((B25^2)-(4*C24/2/C26*(E30))))/(2*C24/2/C26)</f>
        <v>4.100879867089233</v>
      </c>
      <c r="G24" s="113" t="s">
        <v>253</v>
      </c>
      <c r="H24" s="114" t="s">
        <v>7</v>
      </c>
      <c r="I24" s="112">
        <f>ROUNDUP(((B24*(B26+C26))+(B25*(B26+C26)^2/2)+(C24*C26^2/3))/C26,2)</f>
        <v>603.88</v>
      </c>
      <c r="J24" s="120" t="s">
        <v>110</v>
      </c>
    </row>
    <row r="25" spans="2:10" ht="21.75">
      <c r="B25" s="258">
        <f>I11</f>
        <v>10</v>
      </c>
      <c r="D25" s="112"/>
      <c r="E25" s="234"/>
      <c r="F25" s="256">
        <f>(-B25-SQRT((B25^2)-(4*C24/2/C26*(E30))))/(2*C24/2/C26)</f>
        <v>-4.755064995464156</v>
      </c>
      <c r="G25" s="113" t="s">
        <v>254</v>
      </c>
      <c r="H25" s="1" t="s">
        <v>7</v>
      </c>
      <c r="I25" s="112">
        <f>ROUNDUP((B24+(B25*(B26+C26))+(C24*C26/2)),2)-I24</f>
        <v>298.08000000000004</v>
      </c>
      <c r="J25" s="120" t="s">
        <v>110</v>
      </c>
    </row>
    <row r="26" spans="2:10" ht="21.75">
      <c r="B26" s="223">
        <f>B13</f>
        <v>0.7071067811865476</v>
      </c>
      <c r="C26" s="338">
        <f>C13</f>
        <v>7.212489168102785</v>
      </c>
      <c r="D26" s="338"/>
      <c r="G26" s="113" t="s">
        <v>228</v>
      </c>
      <c r="H26" s="1" t="s">
        <v>7</v>
      </c>
      <c r="I26" s="235">
        <f>C32</f>
        <v>786.9</v>
      </c>
      <c r="J26" s="120" t="s">
        <v>227</v>
      </c>
    </row>
    <row r="27" spans="2:10" ht="24.75">
      <c r="B27" s="67">
        <f>I24</f>
        <v>603.88</v>
      </c>
      <c r="C27" s="123" t="s">
        <v>110</v>
      </c>
      <c r="D27" s="234">
        <f>I25</f>
        <v>298.08000000000004</v>
      </c>
      <c r="E27" s="234" t="s">
        <v>110</v>
      </c>
      <c r="G27" s="113" t="s">
        <v>250</v>
      </c>
      <c r="H27" s="1" t="s">
        <v>7</v>
      </c>
      <c r="I27" s="215">
        <f>ROUNDUP(I26*100/I8,2)</f>
        <v>56.78</v>
      </c>
      <c r="J27" s="112" t="s">
        <v>9</v>
      </c>
    </row>
    <row r="28" spans="1:10" ht="21.75">
      <c r="A28" s="222"/>
      <c r="B28" s="262">
        <f>C30+B27</f>
        <v>569.2389321881345</v>
      </c>
      <c r="D28" s="241"/>
      <c r="E28" s="226"/>
      <c r="G28" s="6" t="s">
        <v>197</v>
      </c>
      <c r="H28" s="1" t="s">
        <v>7</v>
      </c>
      <c r="I28" s="215">
        <f>ROUNDDOWN(C26*100/360,2)</f>
        <v>2</v>
      </c>
      <c r="J28" s="112" t="s">
        <v>11</v>
      </c>
    </row>
    <row r="29" spans="1:10" ht="21.75">
      <c r="A29" s="222"/>
      <c r="B29" s="244"/>
      <c r="D29" s="259"/>
      <c r="E29" s="226"/>
      <c r="F29" s="257" t="s">
        <v>251</v>
      </c>
      <c r="G29" s="329" t="str">
        <f>'Design Data'!G23&amp;" - "&amp;'Design Data'!I23&amp;" x "&amp;'Design Data'!J23&amp;" mm x "&amp;'Design Data'!L23&amp;" kg/m"</f>
        <v>C - 150 x 75 x 20 x 4.5 mm x 11 kg/m</v>
      </c>
      <c r="H29" s="330"/>
      <c r="I29" s="330"/>
      <c r="J29" s="331"/>
    </row>
    <row r="30" spans="1:10" ht="21.75">
      <c r="A30" s="222"/>
      <c r="B30" s="225">
        <f>0-B24</f>
        <v>-27.57</v>
      </c>
      <c r="C30" s="217">
        <f>B30-(B25*B26)</f>
        <v>-34.641067811865476</v>
      </c>
      <c r="E30" s="225">
        <f>ROUNDUP(B28-(B25*C26)-(C24*C26/2),2)</f>
        <v>-298.08</v>
      </c>
      <c r="G30" s="113"/>
      <c r="H30" s="1"/>
      <c r="I30" s="235"/>
      <c r="J30" s="120"/>
    </row>
    <row r="31" spans="1:10" ht="21.75">
      <c r="A31" s="222"/>
      <c r="B31" s="233">
        <f>B26</f>
        <v>0.7071067811865476</v>
      </c>
      <c r="C31" s="264">
        <f>C26-D31</f>
        <v>3.112489168102785</v>
      </c>
      <c r="D31" s="263">
        <f>ROUND(MAX(F24,F25),2)</f>
        <v>4.1</v>
      </c>
      <c r="E31" s="226"/>
      <c r="F31" s="130" t="s">
        <v>192</v>
      </c>
      <c r="G31" s="130" t="s">
        <v>190</v>
      </c>
      <c r="H31" s="130" t="s">
        <v>193</v>
      </c>
      <c r="I31" s="130" t="s">
        <v>201</v>
      </c>
      <c r="J31" s="144" t="s">
        <v>200</v>
      </c>
    </row>
    <row r="32" spans="1:10" ht="21.75">
      <c r="A32" s="222"/>
      <c r="C32" s="244">
        <f>ROUNDUP((D27*D31)-(B25*D31*D31/2)-(D24*D31/2*D31/3),2)</f>
        <v>786.9</v>
      </c>
      <c r="D32" s="224" t="s">
        <v>227</v>
      </c>
      <c r="E32" s="123"/>
      <c r="F32" s="130">
        <f>'Design Data'!M23</f>
        <v>489</v>
      </c>
      <c r="G32" s="130">
        <f>'Design Data'!O23</f>
        <v>65.2</v>
      </c>
      <c r="H32" s="130">
        <f>'Design Data'!P23</f>
        <v>19.8</v>
      </c>
      <c r="I32" s="145">
        <f>ROUNDUP(I26*100/G32,2)</f>
        <v>1206.91</v>
      </c>
      <c r="J32" s="145">
        <f>ROUNDUP(5/384*C24*C26/2*(C26*100)^3/I6/F32,2)</f>
        <v>3.7899999999999996</v>
      </c>
    </row>
    <row r="33" spans="1:10" ht="21.75">
      <c r="A33" s="222"/>
      <c r="E33" s="116"/>
      <c r="F33" s="339" t="str">
        <f>"2 "&amp;G29</f>
        <v>2 C - 150 x 75 x 20 x 4.5 mm x 11 kg/m</v>
      </c>
      <c r="G33" s="340"/>
      <c r="H33" s="340"/>
      <c r="I33" s="340"/>
      <c r="J33" s="341"/>
    </row>
    <row r="34" spans="1:9" ht="21.75">
      <c r="A34" s="222"/>
      <c r="B34" s="67">
        <f>0-((B24*B31)+(B25*B31*B31/2))</f>
        <v>-21.994933957313116</v>
      </c>
      <c r="C34" s="118" t="s">
        <v>227</v>
      </c>
      <c r="F34" s="123"/>
      <c r="H34" s="5"/>
      <c r="I34" s="114"/>
    </row>
  </sheetData>
  <sheetProtection/>
  <mergeCells count="7">
    <mergeCell ref="C26:D26"/>
    <mergeCell ref="G29:J29"/>
    <mergeCell ref="F33:J33"/>
    <mergeCell ref="A1:B1"/>
    <mergeCell ref="A2:B2"/>
    <mergeCell ref="I2:J2"/>
    <mergeCell ref="A4:J4"/>
  </mergeCells>
  <printOptions/>
  <pageMargins left="0.9448818897637796" right="0.5511811023622047" top="0.7874015748031497" bottom="0.3937007874015748" header="0.5118110236220472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.7109375" style="112" customWidth="1"/>
    <col min="2" max="2" width="9.7109375" style="112" customWidth="1"/>
    <col min="3" max="4" width="5.28125" style="112" customWidth="1"/>
    <col min="5" max="5" width="9.7109375" style="114" customWidth="1"/>
    <col min="6" max="6" width="8.7109375" style="112" customWidth="1"/>
    <col min="7" max="7" width="13.57421875" style="112" customWidth="1"/>
    <col min="8" max="9" width="6.7109375" style="112" customWidth="1"/>
    <col min="10" max="10" width="10.57421875" style="112" customWidth="1"/>
    <col min="11" max="11" width="9.00390625" style="112" customWidth="1"/>
    <col min="12" max="16384" width="9.140625" style="112" customWidth="1"/>
  </cols>
  <sheetData>
    <row r="1" spans="1:11" s="111" customFormat="1" ht="21.75">
      <c r="A1" s="334" t="s">
        <v>5</v>
      </c>
      <c r="B1" s="334"/>
      <c r="C1" s="128"/>
      <c r="D1" s="128"/>
      <c r="E1" s="239"/>
      <c r="F1" s="128"/>
      <c r="G1" s="128"/>
      <c r="H1" s="128"/>
      <c r="I1" s="128"/>
      <c r="J1" s="128"/>
      <c r="K1" s="214" t="s">
        <v>224</v>
      </c>
    </row>
    <row r="2" spans="1:11" s="111" customFormat="1" ht="21.75">
      <c r="A2" s="335" t="s">
        <v>6</v>
      </c>
      <c r="B2" s="335"/>
      <c r="C2" s="129"/>
      <c r="D2" s="129"/>
      <c r="E2" s="240"/>
      <c r="F2" s="129"/>
      <c r="G2" s="129"/>
      <c r="H2" s="129"/>
      <c r="I2" s="129"/>
      <c r="J2" s="333">
        <f ca="1">NOW()</f>
        <v>41138.40639537037</v>
      </c>
      <c r="K2" s="333"/>
    </row>
    <row r="3" spans="1:11" s="254" customFormat="1" ht="12.75">
      <c r="A3" s="250"/>
      <c r="B3" s="250"/>
      <c r="C3" s="251"/>
      <c r="D3" s="251"/>
      <c r="E3" s="252"/>
      <c r="F3" s="251"/>
      <c r="G3" s="251"/>
      <c r="H3" s="251"/>
      <c r="I3" s="251"/>
      <c r="J3" s="253"/>
      <c r="K3" s="253"/>
    </row>
    <row r="4" spans="1:11" s="111" customFormat="1" ht="24">
      <c r="A4" s="332" t="s">
        <v>257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ht="21.75">
      <c r="A5" s="236" t="s">
        <v>261</v>
      </c>
    </row>
    <row r="6" spans="2:11" ht="24.75">
      <c r="B6" s="112" t="s">
        <v>115</v>
      </c>
      <c r="H6" s="113" t="s">
        <v>13</v>
      </c>
      <c r="I6" s="114" t="s">
        <v>7</v>
      </c>
      <c r="J6" s="249">
        <f>'Design Data'!F5</f>
        <v>2100000</v>
      </c>
      <c r="K6" s="120" t="s">
        <v>12</v>
      </c>
    </row>
    <row r="7" spans="2:11" ht="24.75">
      <c r="B7" s="112" t="s">
        <v>116</v>
      </c>
      <c r="H7" s="113" t="s">
        <v>150</v>
      </c>
      <c r="I7" s="114" t="s">
        <v>7</v>
      </c>
      <c r="J7" s="215">
        <f>'Design Data'!F6</f>
        <v>2310</v>
      </c>
      <c r="K7" s="120" t="s">
        <v>12</v>
      </c>
    </row>
    <row r="8" spans="2:11" ht="24.75">
      <c r="B8" s="112" t="s">
        <v>151</v>
      </c>
      <c r="H8" s="113" t="s">
        <v>152</v>
      </c>
      <c r="I8" s="114" t="s">
        <v>7</v>
      </c>
      <c r="J8" s="215">
        <f>0.6*J7</f>
        <v>1386</v>
      </c>
      <c r="K8" s="120" t="s">
        <v>12</v>
      </c>
    </row>
    <row r="9" spans="5:11" s="228" customFormat="1" ht="8.25">
      <c r="E9" s="230"/>
      <c r="H9" s="229"/>
      <c r="I9" s="230"/>
      <c r="J9" s="231"/>
      <c r="K9" s="232"/>
    </row>
    <row r="10" spans="1:11" ht="21.75">
      <c r="A10" s="236" t="s">
        <v>260</v>
      </c>
      <c r="G10" s="116" t="s">
        <v>258</v>
      </c>
      <c r="H10" s="113" t="s">
        <v>3</v>
      </c>
      <c r="I10" s="114" t="s">
        <v>7</v>
      </c>
      <c r="J10" s="215">
        <f>'Design Data'!D24</f>
        <v>5</v>
      </c>
      <c r="K10" s="120" t="s">
        <v>1</v>
      </c>
    </row>
    <row r="11" spans="7:11" ht="21.75">
      <c r="G11" s="238" t="s">
        <v>259</v>
      </c>
      <c r="H11" s="113" t="s">
        <v>159</v>
      </c>
      <c r="I11" s="114" t="s">
        <v>7</v>
      </c>
      <c r="J11" s="215">
        <f>'Design Data'!C21</f>
        <v>10</v>
      </c>
      <c r="K11" s="120" t="s">
        <v>8</v>
      </c>
    </row>
    <row r="12" spans="1:6" ht="21.75" customHeight="1">
      <c r="A12" s="236" t="s">
        <v>265</v>
      </c>
      <c r="F12" s="8"/>
    </row>
    <row r="13" spans="3:11" ht="24.75">
      <c r="C13" s="275">
        <f>J16</f>
        <v>333</v>
      </c>
      <c r="D13" s="118" t="s">
        <v>8</v>
      </c>
      <c r="G13" s="112" t="s">
        <v>263</v>
      </c>
      <c r="I13" s="114" t="s">
        <v>7</v>
      </c>
      <c r="J13" s="219">
        <f>SUM(Rafter!I14:I17)</f>
        <v>63</v>
      </c>
      <c r="K13" s="120" t="s">
        <v>10</v>
      </c>
    </row>
    <row r="14" spans="2:11" ht="24.75">
      <c r="B14" s="8">
        <f>Rafter!B15</f>
        <v>0.5</v>
      </c>
      <c r="C14" s="336">
        <f>Rafter!C15</f>
        <v>5.1</v>
      </c>
      <c r="D14" s="336"/>
      <c r="E14" s="336"/>
      <c r="G14" s="116" t="s">
        <v>232</v>
      </c>
      <c r="I14" s="114" t="s">
        <v>7</v>
      </c>
      <c r="J14" s="219">
        <f>((J10/Rafter!I11)+1)*Rafter!I10*'Design Data'!L21/(J10*(B14+C14))</f>
        <v>3.5088249999999994</v>
      </c>
      <c r="K14" s="120" t="s">
        <v>10</v>
      </c>
    </row>
    <row r="15" spans="2:11" ht="24.75">
      <c r="B15" s="276">
        <f>J17</f>
        <v>1024</v>
      </c>
      <c r="C15" s="123" t="s">
        <v>110</v>
      </c>
      <c r="D15" s="123"/>
      <c r="E15" s="276">
        <f>J18</f>
        <v>841</v>
      </c>
      <c r="F15" s="123" t="s">
        <v>110</v>
      </c>
      <c r="G15" s="112" t="s">
        <v>267</v>
      </c>
      <c r="I15" s="114" t="s">
        <v>7</v>
      </c>
      <c r="K15" s="120" t="s">
        <v>10</v>
      </c>
    </row>
    <row r="16" spans="2:11" ht="21.75">
      <c r="B16" s="275"/>
      <c r="C16" s="123"/>
      <c r="D16" s="123"/>
      <c r="E16" s="275"/>
      <c r="F16" s="123"/>
      <c r="G16" s="113" t="s">
        <v>264</v>
      </c>
      <c r="H16" s="113" t="s">
        <v>262</v>
      </c>
      <c r="I16" s="114" t="s">
        <v>7</v>
      </c>
      <c r="J16" s="274">
        <f>ROUNDUP(SUM(J13:J14)*J10*1,0)</f>
        <v>333</v>
      </c>
      <c r="K16" s="114" t="s">
        <v>8</v>
      </c>
    </row>
    <row r="17" spans="2:11" ht="21.75">
      <c r="B17" s="275"/>
      <c r="C17" s="123"/>
      <c r="D17" s="123"/>
      <c r="E17" s="275"/>
      <c r="F17" s="123"/>
      <c r="G17" s="120"/>
      <c r="H17" s="113" t="s">
        <v>253</v>
      </c>
      <c r="I17" s="114" t="s">
        <v>7</v>
      </c>
      <c r="J17" s="215">
        <f>ROUNDUP(C13*(B14+C14)^2/2/C14,0)</f>
        <v>1024</v>
      </c>
      <c r="K17" s="120" t="s">
        <v>110</v>
      </c>
    </row>
    <row r="18" spans="2:11" ht="21.75">
      <c r="B18" s="275"/>
      <c r="C18" s="123"/>
      <c r="D18" s="123"/>
      <c r="E18" s="275"/>
      <c r="F18" s="123"/>
      <c r="G18" s="120"/>
      <c r="H18" s="113" t="s">
        <v>254</v>
      </c>
      <c r="I18" s="114" t="s">
        <v>7</v>
      </c>
      <c r="J18" s="215">
        <f>ROUNDUP((C13*(B14+C14))-J17,0)</f>
        <v>841</v>
      </c>
      <c r="K18" s="120" t="s">
        <v>110</v>
      </c>
    </row>
    <row r="19" ht="21.75">
      <c r="A19" s="236" t="s">
        <v>206</v>
      </c>
    </row>
    <row r="20" spans="1:11" ht="21.75">
      <c r="A20" s="236"/>
      <c r="H20" s="113" t="s">
        <v>266</v>
      </c>
      <c r="I20" s="1" t="s">
        <v>7</v>
      </c>
      <c r="J20" s="219">
        <f>ROUNDUP((J18/J10),0)+J11</f>
        <v>179</v>
      </c>
      <c r="K20" s="120" t="s">
        <v>8</v>
      </c>
    </row>
    <row r="21" spans="2:11" ht="21.75">
      <c r="B21" s="343">
        <f>J20</f>
        <v>179</v>
      </c>
      <c r="C21" s="343"/>
      <c r="D21" s="245" t="s">
        <v>8</v>
      </c>
      <c r="F21" s="234"/>
      <c r="H21" s="113" t="s">
        <v>253</v>
      </c>
      <c r="I21" s="1" t="s">
        <v>7</v>
      </c>
      <c r="J21" s="219">
        <f>ROUNDUP(B21*C22/2,2)</f>
        <v>447.5</v>
      </c>
      <c r="K21" s="120" t="s">
        <v>110</v>
      </c>
    </row>
    <row r="22" spans="2:11" ht="21.75">
      <c r="B22" s="223"/>
      <c r="C22" s="338">
        <f>J10</f>
        <v>5</v>
      </c>
      <c r="D22" s="338"/>
      <c r="E22" s="234"/>
      <c r="H22" s="113" t="s">
        <v>254</v>
      </c>
      <c r="I22" s="1" t="s">
        <v>7</v>
      </c>
      <c r="J22" s="219">
        <f>J21</f>
        <v>447.5</v>
      </c>
      <c r="K22" s="120" t="s">
        <v>110</v>
      </c>
    </row>
    <row r="23" spans="2:11" ht="21.75">
      <c r="B23" s="217">
        <f>J21</f>
        <v>447.5</v>
      </c>
      <c r="C23" s="123"/>
      <c r="D23" s="123"/>
      <c r="E23" s="234">
        <f>J22</f>
        <v>447.5</v>
      </c>
      <c r="F23" s="234"/>
      <c r="H23" s="113" t="s">
        <v>228</v>
      </c>
      <c r="I23" s="1" t="s">
        <v>7</v>
      </c>
      <c r="J23" s="235">
        <f>B30</f>
        <v>559.38</v>
      </c>
      <c r="K23" s="120" t="s">
        <v>227</v>
      </c>
    </row>
    <row r="24" spans="1:11" ht="24.75">
      <c r="A24" s="222"/>
      <c r="B24" s="225">
        <f>B23</f>
        <v>447.5</v>
      </c>
      <c r="C24" s="227"/>
      <c r="D24" s="227"/>
      <c r="E24" s="241"/>
      <c r="F24" s="226"/>
      <c r="H24" s="113" t="s">
        <v>250</v>
      </c>
      <c r="I24" s="1" t="s">
        <v>7</v>
      </c>
      <c r="J24" s="215">
        <f>ROUNDUP(J23*100/J8,2)</f>
        <v>40.36</v>
      </c>
      <c r="K24" s="120" t="s">
        <v>9</v>
      </c>
    </row>
    <row r="25" spans="1:11" ht="21.75">
      <c r="A25" s="222"/>
      <c r="B25" s="279"/>
      <c r="C25" s="245"/>
      <c r="D25" s="285"/>
      <c r="E25" s="285"/>
      <c r="F25" s="123"/>
      <c r="H25" s="6" t="s">
        <v>197</v>
      </c>
      <c r="I25" s="1" t="s">
        <v>7</v>
      </c>
      <c r="J25" s="215">
        <f>ROUNDDOWN(C22*100/360,2)</f>
        <v>1.38</v>
      </c>
      <c r="K25" s="112" t="s">
        <v>11</v>
      </c>
    </row>
    <row r="26" spans="1:5" ht="12" customHeight="1">
      <c r="A26" s="222"/>
      <c r="B26" s="280"/>
      <c r="C26" s="278"/>
      <c r="D26" s="284"/>
      <c r="E26" s="284"/>
    </row>
    <row r="27" spans="1:5" ht="12" customHeight="1">
      <c r="A27" s="222"/>
      <c r="C27" s="244"/>
      <c r="D27" s="277"/>
      <c r="E27" s="281"/>
    </row>
    <row r="28" spans="2:11" ht="21.75">
      <c r="B28" s="113"/>
      <c r="C28" s="118"/>
      <c r="D28" s="118"/>
      <c r="E28" s="282"/>
      <c r="G28" s="257" t="s">
        <v>251</v>
      </c>
      <c r="H28" s="329" t="str">
        <f>'Design Data'!G24&amp;" - "&amp;'Design Data'!I24&amp;" x "&amp;'Design Data'!J24&amp;" mm x "&amp;'Design Data'!L24&amp;" kg/m"</f>
        <v>C - 200 x 75 x 25 x 4.5 mm x 13.1 kg/m</v>
      </c>
      <c r="I28" s="330"/>
      <c r="J28" s="330"/>
      <c r="K28" s="331"/>
    </row>
    <row r="29" spans="2:5" ht="21.75">
      <c r="B29" s="123"/>
      <c r="C29" s="118"/>
      <c r="D29" s="118"/>
      <c r="E29" s="283">
        <f>B24-B21*C22</f>
        <v>-447.5</v>
      </c>
    </row>
    <row r="30" spans="2:11" ht="21.75">
      <c r="B30" s="342">
        <f>ROUNDUP((B23*C22/2)-(B21*C22/2*C22/2/2),2)</f>
        <v>559.38</v>
      </c>
      <c r="C30" s="342"/>
      <c r="D30" s="123" t="s">
        <v>185</v>
      </c>
      <c r="G30" s="130" t="s">
        <v>192</v>
      </c>
      <c r="H30" s="130" t="s">
        <v>190</v>
      </c>
      <c r="I30" s="130" t="s">
        <v>193</v>
      </c>
      <c r="J30" s="130" t="s">
        <v>201</v>
      </c>
      <c r="K30" s="144" t="s">
        <v>200</v>
      </c>
    </row>
    <row r="31" spans="7:11" ht="21.75">
      <c r="G31" s="130">
        <f>'Design Data'!M24</f>
        <v>990</v>
      </c>
      <c r="H31" s="130">
        <f>'Design Data'!O24</f>
        <v>99</v>
      </c>
      <c r="I31" s="130">
        <f>'Design Data'!P24</f>
        <v>23.3</v>
      </c>
      <c r="J31" s="145">
        <f>ROUNDUP(J23*100/H31,2)</f>
        <v>565.04</v>
      </c>
      <c r="K31" s="145">
        <f>ROUNDUP(5/384*J20*C22*(C22*100)^3/J6/G31,2)</f>
        <v>0.71</v>
      </c>
    </row>
    <row r="32" spans="2:11" ht="21.75">
      <c r="B32" s="286"/>
      <c r="C32" s="286"/>
      <c r="D32" s="286"/>
      <c r="E32" s="287"/>
      <c r="G32" s="329" t="str">
        <f>"2 "&amp;H28</f>
        <v>2 C - 200 x 75 x 25 x 4.5 mm x 13.1 kg/m</v>
      </c>
      <c r="H32" s="330"/>
      <c r="I32" s="330"/>
      <c r="J32" s="330"/>
      <c r="K32" s="331"/>
    </row>
    <row r="33" ht="21.75"/>
    <row r="34" ht="21.75"/>
    <row r="35" ht="21.75"/>
    <row r="36" ht="21.75"/>
  </sheetData>
  <sheetProtection/>
  <mergeCells count="10">
    <mergeCell ref="A1:B1"/>
    <mergeCell ref="A2:B2"/>
    <mergeCell ref="B30:C30"/>
    <mergeCell ref="G32:K32"/>
    <mergeCell ref="B21:C21"/>
    <mergeCell ref="H28:K28"/>
    <mergeCell ref="J2:K2"/>
    <mergeCell ref="A4:K4"/>
    <mergeCell ref="C14:E14"/>
    <mergeCell ref="C22:D22"/>
  </mergeCells>
  <printOptions/>
  <pageMargins left="0.9448818897637796" right="0.5511811023622047" top="0.7874015748031497" bottom="0.3937007874015748" header="0.5118110236220472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1"/>
  <sheetViews>
    <sheetView tabSelected="1" zoomScalePageLayoutView="0" workbookViewId="0" topLeftCell="A19">
      <selection activeCell="M7" sqref="M7"/>
    </sheetView>
  </sheetViews>
  <sheetFormatPr defaultColWidth="9.140625" defaultRowHeight="12.75"/>
  <cols>
    <col min="1" max="1" width="4.421875" style="112" customWidth="1"/>
    <col min="2" max="2" width="12.28125" style="112" customWidth="1"/>
    <col min="3" max="6" width="9.140625" style="112" customWidth="1"/>
    <col min="7" max="8" width="6.28125" style="112" customWidth="1"/>
    <col min="9" max="9" width="10.140625" style="112" customWidth="1"/>
    <col min="10" max="10" width="11.57421875" style="112" customWidth="1"/>
    <col min="11" max="16384" width="9.140625" style="112" customWidth="1"/>
  </cols>
  <sheetData>
    <row r="1" spans="1:10" s="111" customFormat="1" ht="30" customHeight="1">
      <c r="A1" s="334" t="s">
        <v>5</v>
      </c>
      <c r="B1" s="334"/>
      <c r="C1" s="128"/>
      <c r="D1" s="128"/>
      <c r="E1" s="128"/>
      <c r="F1" s="128"/>
      <c r="G1" s="128"/>
      <c r="H1" s="128"/>
      <c r="I1" s="128"/>
      <c r="J1" s="128"/>
    </row>
    <row r="2" spans="1:10" s="111" customFormat="1" ht="30" customHeight="1">
      <c r="A2" s="335" t="s">
        <v>278</v>
      </c>
      <c r="B2" s="335"/>
      <c r="C2" s="129"/>
      <c r="D2" s="129"/>
      <c r="E2" s="129"/>
      <c r="F2" s="129"/>
      <c r="G2" s="129"/>
      <c r="H2" s="129"/>
      <c r="I2" s="333">
        <f ca="1">NOW()</f>
        <v>41138.40639537037</v>
      </c>
      <c r="J2" s="333"/>
    </row>
    <row r="3" spans="1:10" s="111" customFormat="1" ht="30" customHeight="1">
      <c r="A3" s="332" t="s">
        <v>210</v>
      </c>
      <c r="B3" s="332"/>
      <c r="C3" s="332"/>
      <c r="D3" s="332"/>
      <c r="E3" s="332"/>
      <c r="F3" s="332"/>
      <c r="G3" s="332"/>
      <c r="H3" s="332"/>
      <c r="I3" s="332"/>
      <c r="J3" s="332"/>
    </row>
    <row r="4" ht="21.75">
      <c r="A4" s="112" t="s">
        <v>114</v>
      </c>
    </row>
    <row r="5" spans="2:10" ht="24.75">
      <c r="B5" s="112" t="s">
        <v>115</v>
      </c>
      <c r="G5" s="113" t="s">
        <v>13</v>
      </c>
      <c r="H5" s="114" t="s">
        <v>7</v>
      </c>
      <c r="I5" s="4">
        <f>'Design Data'!F5</f>
        <v>2100000</v>
      </c>
      <c r="J5" s="112" t="s">
        <v>12</v>
      </c>
    </row>
    <row r="6" spans="2:10" ht="24.75">
      <c r="B6" s="112" t="s">
        <v>116</v>
      </c>
      <c r="G6" s="113" t="s">
        <v>150</v>
      </c>
      <c r="H6" s="114" t="s">
        <v>7</v>
      </c>
      <c r="I6" s="4">
        <f>'Design Data'!F6</f>
        <v>2310</v>
      </c>
      <c r="J6" s="112" t="s">
        <v>12</v>
      </c>
    </row>
    <row r="7" spans="2:10" ht="24.75">
      <c r="B7" s="112" t="s">
        <v>151</v>
      </c>
      <c r="G7" s="113" t="s">
        <v>152</v>
      </c>
      <c r="H7" s="114" t="s">
        <v>7</v>
      </c>
      <c r="I7" s="4">
        <f>0.6*I6</f>
        <v>1386</v>
      </c>
      <c r="J7" s="112" t="s">
        <v>12</v>
      </c>
    </row>
    <row r="8" spans="1:10" ht="21.75">
      <c r="A8" s="112" t="s">
        <v>211</v>
      </c>
      <c r="E8" s="112" t="s">
        <v>212</v>
      </c>
      <c r="G8" s="113" t="s">
        <v>3</v>
      </c>
      <c r="H8" s="114" t="s">
        <v>7</v>
      </c>
      <c r="I8" s="5">
        <f>'Design Data'!Q6</f>
        <v>1.5</v>
      </c>
      <c r="J8" s="112" t="s">
        <v>1</v>
      </c>
    </row>
    <row r="9" spans="5:10" ht="21.75">
      <c r="E9" s="112" t="s">
        <v>213</v>
      </c>
      <c r="G9" s="113" t="s">
        <v>159</v>
      </c>
      <c r="H9" s="114" t="s">
        <v>7</v>
      </c>
      <c r="I9" s="124">
        <f>'Design Data'!Q7</f>
        <v>10</v>
      </c>
      <c r="J9" s="112" t="s">
        <v>8</v>
      </c>
    </row>
    <row r="10" spans="2:5" ht="21.75" customHeight="1">
      <c r="B10" s="163"/>
      <c r="E10" s="112" t="s">
        <v>214</v>
      </c>
    </row>
    <row r="11" spans="2:10" ht="21.75">
      <c r="B11" s="163"/>
      <c r="D11" s="170">
        <f>I19</f>
        <v>10</v>
      </c>
      <c r="E11" s="121"/>
      <c r="F11" s="112" t="s">
        <v>215</v>
      </c>
      <c r="H11" s="114" t="s">
        <v>7</v>
      </c>
      <c r="I11" s="114">
        <v>460</v>
      </c>
      <c r="J11" s="112" t="s">
        <v>110</v>
      </c>
    </row>
    <row r="12" spans="2:10" ht="21.75">
      <c r="B12" s="151"/>
      <c r="C12" s="150"/>
      <c r="E12" s="121"/>
      <c r="F12" s="112" t="s">
        <v>216</v>
      </c>
      <c r="H12" s="114" t="s">
        <v>7</v>
      </c>
      <c r="I12" s="114">
        <v>460</v>
      </c>
      <c r="J12" s="112" t="s">
        <v>110</v>
      </c>
    </row>
    <row r="13" spans="2:10" ht="21.75">
      <c r="B13" s="336"/>
      <c r="C13" s="336"/>
      <c r="F13" s="112" t="s">
        <v>217</v>
      </c>
      <c r="H13" s="114" t="s">
        <v>7</v>
      </c>
      <c r="I13" s="114"/>
      <c r="J13" s="112" t="s">
        <v>110</v>
      </c>
    </row>
    <row r="14" spans="5:10" ht="21.75">
      <c r="E14" s="8">
        <f>I8</f>
        <v>1.5</v>
      </c>
      <c r="F14" s="112" t="s">
        <v>218</v>
      </c>
      <c r="H14" s="114" t="s">
        <v>7</v>
      </c>
      <c r="I14" s="114"/>
      <c r="J14" s="112" t="s">
        <v>110</v>
      </c>
    </row>
    <row r="15" spans="4:10" ht="21.75">
      <c r="D15" s="164"/>
      <c r="F15" s="112" t="s">
        <v>219</v>
      </c>
      <c r="H15" s="114" t="s">
        <v>7</v>
      </c>
      <c r="I15" s="114"/>
      <c r="J15" s="112" t="s">
        <v>110</v>
      </c>
    </row>
    <row r="16" spans="4:10" ht="21.75">
      <c r="D16" s="157"/>
      <c r="F16" s="112" t="s">
        <v>220</v>
      </c>
      <c r="H16" s="114" t="s">
        <v>7</v>
      </c>
      <c r="J16" s="112" t="s">
        <v>110</v>
      </c>
    </row>
    <row r="17" spans="4:10" ht="21.75">
      <c r="D17" s="125"/>
      <c r="F17" s="112" t="s">
        <v>221</v>
      </c>
      <c r="H17" s="114" t="s">
        <v>7</v>
      </c>
      <c r="J17" s="112" t="s">
        <v>110</v>
      </c>
    </row>
    <row r="18" spans="2:10" ht="21.75">
      <c r="B18" s="67"/>
      <c r="C18" s="67"/>
      <c r="E18" s="116"/>
      <c r="G18" s="113" t="s">
        <v>170</v>
      </c>
      <c r="H18" s="114" t="s">
        <v>7</v>
      </c>
      <c r="I18" s="114"/>
      <c r="J18" s="112" t="s">
        <v>8</v>
      </c>
    </row>
    <row r="19" spans="2:10" ht="21.75">
      <c r="B19" s="345"/>
      <c r="C19" s="345"/>
      <c r="E19" s="116"/>
      <c r="F19" s="113" t="s">
        <v>169</v>
      </c>
      <c r="G19" s="113" t="s">
        <v>163</v>
      </c>
      <c r="H19" s="114" t="s">
        <v>7</v>
      </c>
      <c r="I19" s="124">
        <f>I9+I18</f>
        <v>10</v>
      </c>
      <c r="J19" s="112" t="s">
        <v>8</v>
      </c>
    </row>
    <row r="20" spans="1:8" ht="21.75">
      <c r="A20" s="112" t="s">
        <v>206</v>
      </c>
      <c r="H20" s="1"/>
    </row>
    <row r="21" spans="2:10" ht="21.75">
      <c r="B21" s="123"/>
      <c r="E21" s="2" t="s">
        <v>209</v>
      </c>
      <c r="G21" s="113" t="s">
        <v>102</v>
      </c>
      <c r="H21" s="1" t="s">
        <v>7</v>
      </c>
      <c r="I21" s="124">
        <f>I19</f>
        <v>10</v>
      </c>
      <c r="J21" s="112" t="s">
        <v>8</v>
      </c>
    </row>
    <row r="22" spans="2:10" ht="24.75">
      <c r="B22" s="336"/>
      <c r="C22" s="337"/>
      <c r="E22" s="112" t="s">
        <v>207</v>
      </c>
      <c r="G22" s="113" t="s">
        <v>208</v>
      </c>
      <c r="H22" s="1" t="s">
        <v>7</v>
      </c>
      <c r="I22" s="114">
        <f>ROUNDUP(I21*B22^2/8,2)</f>
        <v>0</v>
      </c>
      <c r="J22" s="112" t="s">
        <v>185</v>
      </c>
    </row>
    <row r="23" spans="2:3" ht="21.75">
      <c r="B23" s="118"/>
      <c r="C23" s="119"/>
    </row>
    <row r="24" ht="21.75">
      <c r="A24" s="112" t="s">
        <v>186</v>
      </c>
    </row>
    <row r="25" spans="2:10" ht="24.75">
      <c r="B25" s="112" t="s">
        <v>15</v>
      </c>
      <c r="E25" s="112" t="s">
        <v>188</v>
      </c>
      <c r="G25" s="113" t="s">
        <v>152</v>
      </c>
      <c r="H25" s="114" t="s">
        <v>7</v>
      </c>
      <c r="I25" s="4">
        <f>0.6*I6</f>
        <v>1386</v>
      </c>
      <c r="J25" s="112" t="s">
        <v>12</v>
      </c>
    </row>
    <row r="26" spans="2:10" ht="21.75">
      <c r="B26" s="112" t="s">
        <v>194</v>
      </c>
      <c r="E26" s="7" t="s">
        <v>197</v>
      </c>
      <c r="G26" s="6" t="s">
        <v>198</v>
      </c>
      <c r="H26" s="114" t="s">
        <v>7</v>
      </c>
      <c r="I26" s="114">
        <f>ROUNDDOWN(I8*100/360,2)</f>
        <v>0.41</v>
      </c>
      <c r="J26" s="112" t="s">
        <v>11</v>
      </c>
    </row>
    <row r="27" spans="2:10" ht="24.75">
      <c r="B27" s="112" t="s">
        <v>187</v>
      </c>
      <c r="E27" s="112" t="s">
        <v>189</v>
      </c>
      <c r="G27" s="113" t="s">
        <v>190</v>
      </c>
      <c r="H27" s="114" t="s">
        <v>7</v>
      </c>
      <c r="I27" s="114">
        <f>ROUNDUP(I22*100/I25,2)</f>
        <v>0</v>
      </c>
      <c r="J27" s="112" t="s">
        <v>9</v>
      </c>
    </row>
    <row r="28" spans="2:9" ht="24.75">
      <c r="B28" s="112" t="s">
        <v>195</v>
      </c>
      <c r="E28" s="7" t="s">
        <v>199</v>
      </c>
      <c r="G28" s="6"/>
      <c r="H28" s="114"/>
      <c r="I28" s="114"/>
    </row>
    <row r="29" spans="1:10" ht="21.75">
      <c r="A29" s="344" t="s">
        <v>71</v>
      </c>
      <c r="B29" s="344"/>
      <c r="C29" s="344"/>
      <c r="D29" s="344"/>
      <c r="E29" s="344"/>
      <c r="F29" s="130" t="s">
        <v>192</v>
      </c>
      <c r="G29" s="130" t="s">
        <v>190</v>
      </c>
      <c r="H29" s="130" t="s">
        <v>193</v>
      </c>
      <c r="I29" s="130" t="s">
        <v>201</v>
      </c>
      <c r="J29" s="144" t="s">
        <v>200</v>
      </c>
    </row>
    <row r="30" spans="1:10" ht="21.75">
      <c r="A30" s="344" t="str">
        <f>'Design Data'!G24&amp;" - "&amp;'Design Data'!I24&amp;" x "&amp;'Design Data'!J24&amp;" mm x "&amp;'Design Data'!L24&amp;" kg/m"</f>
        <v>C - 200 x 75 x 25 x 4.5 mm x 13.1 kg/m</v>
      </c>
      <c r="B30" s="344"/>
      <c r="C30" s="344"/>
      <c r="D30" s="344"/>
      <c r="E30" s="344"/>
      <c r="F30" s="130">
        <f>'Design Data'!M24</f>
        <v>990</v>
      </c>
      <c r="G30" s="130">
        <f>'Design Data'!O24</f>
        <v>99</v>
      </c>
      <c r="H30" s="130">
        <f>'Design Data'!P24</f>
        <v>23.3</v>
      </c>
      <c r="I30" s="145">
        <f>ROUNDUP(I22*100/G30,2)</f>
        <v>0</v>
      </c>
      <c r="J30" s="145">
        <f>ROUNDUP(5/384*I21*I8*(I8*100)^3/I5/F30,2)</f>
        <v>0.01</v>
      </c>
    </row>
    <row r="31" spans="1:10" ht="21.75">
      <c r="A31" s="344" t="str">
        <f>"จันทันเหล็ก  "&amp;A30</f>
        <v>จันทันเหล็ก  C - 200 x 75 x 25 x 4.5 mm x 13.1 kg/m</v>
      </c>
      <c r="B31" s="344"/>
      <c r="C31" s="344"/>
      <c r="D31" s="344"/>
      <c r="E31" s="344"/>
      <c r="F31" s="344"/>
      <c r="G31" s="344"/>
      <c r="H31" s="344"/>
      <c r="I31" s="344"/>
      <c r="J31" s="344"/>
    </row>
  </sheetData>
  <sheetProtection/>
  <mergeCells count="10">
    <mergeCell ref="A1:B1"/>
    <mergeCell ref="A2:B2"/>
    <mergeCell ref="I2:J2"/>
    <mergeCell ref="A3:J3"/>
    <mergeCell ref="A30:E30"/>
    <mergeCell ref="A31:J31"/>
    <mergeCell ref="B13:C13"/>
    <mergeCell ref="B19:C19"/>
    <mergeCell ref="B22:C22"/>
    <mergeCell ref="A29:E29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B2:Q44"/>
  <sheetViews>
    <sheetView zoomScalePageLayoutView="0" workbookViewId="0" topLeftCell="A7">
      <selection activeCell="S12" sqref="S12"/>
    </sheetView>
  </sheetViews>
  <sheetFormatPr defaultColWidth="9.140625" defaultRowHeight="12.75"/>
  <cols>
    <col min="1" max="1" width="2.8515625" style="10" customWidth="1"/>
    <col min="2" max="2" width="5.7109375" style="11" customWidth="1"/>
    <col min="3" max="3" width="11.00390625" style="10" customWidth="1"/>
    <col min="4" max="4" width="6.00390625" style="10" customWidth="1"/>
    <col min="5" max="5" width="8.57421875" style="10" customWidth="1"/>
    <col min="6" max="6" width="6.421875" style="10" customWidth="1"/>
    <col min="7" max="8" width="5.7109375" style="10" customWidth="1"/>
    <col min="9" max="10" width="6.421875" style="10" customWidth="1"/>
    <col min="11" max="12" width="6.7109375" style="10" customWidth="1"/>
    <col min="13" max="14" width="6.8515625" style="10" customWidth="1"/>
    <col min="15" max="16" width="6.7109375" style="10" customWidth="1"/>
    <col min="17" max="16384" width="9.140625" style="10" customWidth="1"/>
  </cols>
  <sheetData>
    <row r="1" ht="9.75" customHeight="1" thickBot="1"/>
    <row r="2" spans="2:17" s="9" customFormat="1" ht="31.5" thickBot="1">
      <c r="B2" s="358" t="s">
        <v>22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60"/>
      <c r="Q2" s="346"/>
    </row>
    <row r="3" spans="2:17" ht="12.75" customHeight="1">
      <c r="B3" s="356" t="s">
        <v>65</v>
      </c>
      <c r="C3" s="365" t="s">
        <v>23</v>
      </c>
      <c r="D3" s="352"/>
      <c r="E3" s="21" t="s">
        <v>64</v>
      </c>
      <c r="F3" s="21" t="s">
        <v>27</v>
      </c>
      <c r="G3" s="361" t="s">
        <v>29</v>
      </c>
      <c r="H3" s="367"/>
      <c r="I3" s="351" t="s">
        <v>32</v>
      </c>
      <c r="J3" s="352"/>
      <c r="K3" s="351" t="s">
        <v>34</v>
      </c>
      <c r="L3" s="352"/>
      <c r="M3" s="351" t="s">
        <v>36</v>
      </c>
      <c r="N3" s="352"/>
      <c r="O3" s="361" t="s">
        <v>38</v>
      </c>
      <c r="P3" s="362"/>
      <c r="Q3" s="346"/>
    </row>
    <row r="4" spans="2:17" ht="12.75" customHeight="1">
      <c r="B4" s="357"/>
      <c r="C4" s="355"/>
      <c r="D4" s="350"/>
      <c r="E4" s="23" t="s">
        <v>25</v>
      </c>
      <c r="F4" s="24"/>
      <c r="G4" s="349" t="s">
        <v>30</v>
      </c>
      <c r="H4" s="350"/>
      <c r="I4" s="349"/>
      <c r="J4" s="350"/>
      <c r="K4" s="349"/>
      <c r="L4" s="350"/>
      <c r="M4" s="349"/>
      <c r="N4" s="350"/>
      <c r="O4" s="349"/>
      <c r="P4" s="363"/>
      <c r="Q4" s="346"/>
    </row>
    <row r="5" spans="2:17" ht="12.75" customHeight="1">
      <c r="B5" s="357"/>
      <c r="C5" s="366" t="s">
        <v>24</v>
      </c>
      <c r="D5" s="348"/>
      <c r="E5" s="23" t="s">
        <v>26</v>
      </c>
      <c r="F5" s="23" t="s">
        <v>28</v>
      </c>
      <c r="G5" s="353" t="s">
        <v>31</v>
      </c>
      <c r="H5" s="354"/>
      <c r="I5" s="347" t="s">
        <v>33</v>
      </c>
      <c r="J5" s="348"/>
      <c r="K5" s="347" t="s">
        <v>35</v>
      </c>
      <c r="L5" s="348"/>
      <c r="M5" s="347" t="s">
        <v>37</v>
      </c>
      <c r="N5" s="348"/>
      <c r="O5" s="353" t="s">
        <v>31</v>
      </c>
      <c r="P5" s="364"/>
      <c r="Q5" s="346"/>
    </row>
    <row r="6" spans="2:17" ht="15" customHeight="1">
      <c r="B6" s="357"/>
      <c r="C6" s="31" t="s">
        <v>39</v>
      </c>
      <c r="D6" s="32" t="s">
        <v>40</v>
      </c>
      <c r="E6" s="33"/>
      <c r="F6" s="33"/>
      <c r="G6" s="34" t="s">
        <v>41</v>
      </c>
      <c r="H6" s="34" t="s">
        <v>42</v>
      </c>
      <c r="I6" s="32" t="s">
        <v>43</v>
      </c>
      <c r="J6" s="32" t="s">
        <v>21</v>
      </c>
      <c r="K6" s="32" t="s">
        <v>44</v>
      </c>
      <c r="L6" s="32" t="s">
        <v>45</v>
      </c>
      <c r="M6" s="32" t="s">
        <v>46</v>
      </c>
      <c r="N6" s="32" t="s">
        <v>47</v>
      </c>
      <c r="O6" s="34" t="s">
        <v>0</v>
      </c>
      <c r="P6" s="35" t="s">
        <v>20</v>
      </c>
      <c r="Q6" s="346"/>
    </row>
    <row r="7" spans="2:17" ht="10.5">
      <c r="B7" s="29">
        <v>1</v>
      </c>
      <c r="C7" s="26" t="s">
        <v>48</v>
      </c>
      <c r="D7" s="42">
        <v>2.3</v>
      </c>
      <c r="E7" s="27">
        <v>2.872</v>
      </c>
      <c r="F7" s="68">
        <v>2.25</v>
      </c>
      <c r="G7" s="27">
        <v>0</v>
      </c>
      <c r="H7" s="27">
        <v>1.06</v>
      </c>
      <c r="I7" s="39">
        <v>15.6</v>
      </c>
      <c r="J7" s="39">
        <v>3.32</v>
      </c>
      <c r="K7" s="27">
        <v>2.33</v>
      </c>
      <c r="L7" s="27">
        <v>1.07</v>
      </c>
      <c r="M7" s="36">
        <v>5.2</v>
      </c>
      <c r="N7" s="36">
        <v>1.71</v>
      </c>
      <c r="O7" s="27">
        <v>2.5</v>
      </c>
      <c r="P7" s="28">
        <v>0</v>
      </c>
      <c r="Q7" s="346"/>
    </row>
    <row r="8" spans="2:17" ht="10.5">
      <c r="B8" s="22">
        <f>B7+1</f>
        <v>2</v>
      </c>
      <c r="C8" s="14" t="s">
        <v>49</v>
      </c>
      <c r="D8" s="43">
        <v>2.3</v>
      </c>
      <c r="E8" s="12">
        <v>3.677</v>
      </c>
      <c r="F8" s="69">
        <v>2.89</v>
      </c>
      <c r="G8" s="12">
        <v>0</v>
      </c>
      <c r="H8" s="12">
        <v>1.29</v>
      </c>
      <c r="I8" s="40">
        <v>31</v>
      </c>
      <c r="J8" s="40">
        <v>6.58</v>
      </c>
      <c r="K8" s="12">
        <v>2.91</v>
      </c>
      <c r="L8" s="12">
        <v>1.34</v>
      </c>
      <c r="M8" s="37">
        <v>8.28</v>
      </c>
      <c r="N8" s="37">
        <v>2.98</v>
      </c>
      <c r="O8" s="12">
        <v>3.1</v>
      </c>
      <c r="P8" s="13">
        <v>0</v>
      </c>
      <c r="Q8" s="346"/>
    </row>
    <row r="9" spans="2:17" ht="10.5">
      <c r="B9" s="22">
        <f aca="true" t="shared" si="0" ref="B9:B38">B8+1</f>
        <v>3</v>
      </c>
      <c r="C9" s="14" t="s">
        <v>50</v>
      </c>
      <c r="D9" s="43">
        <v>2.3</v>
      </c>
      <c r="E9" s="12">
        <v>4.137</v>
      </c>
      <c r="F9" s="69">
        <v>3.25</v>
      </c>
      <c r="G9" s="12">
        <v>0</v>
      </c>
      <c r="H9" s="12">
        <v>1.72</v>
      </c>
      <c r="I9" s="40">
        <v>37.1</v>
      </c>
      <c r="J9" s="40">
        <v>11.8</v>
      </c>
      <c r="K9" s="12">
        <v>3</v>
      </c>
      <c r="L9" s="12">
        <v>1.69</v>
      </c>
      <c r="M9" s="37">
        <v>9.9</v>
      </c>
      <c r="N9" s="37">
        <v>4.24</v>
      </c>
      <c r="O9" s="12">
        <v>4</v>
      </c>
      <c r="P9" s="13">
        <v>0</v>
      </c>
      <c r="Q9" s="346"/>
    </row>
    <row r="10" spans="2:17" ht="10.5">
      <c r="B10" s="22">
        <f t="shared" si="0"/>
        <v>4</v>
      </c>
      <c r="C10" s="14" t="s">
        <v>51</v>
      </c>
      <c r="D10" s="43">
        <v>2.3</v>
      </c>
      <c r="E10" s="12">
        <v>4.712</v>
      </c>
      <c r="F10" s="69">
        <v>3.7</v>
      </c>
      <c r="G10" s="12">
        <v>0</v>
      </c>
      <c r="H10" s="12">
        <v>1.73</v>
      </c>
      <c r="I10" s="40">
        <v>58.6</v>
      </c>
      <c r="J10" s="40">
        <v>14.2</v>
      </c>
      <c r="K10" s="12">
        <v>3.53</v>
      </c>
      <c r="L10" s="12">
        <v>1.74</v>
      </c>
      <c r="M10" s="37">
        <v>13</v>
      </c>
      <c r="N10" s="37">
        <v>5.11</v>
      </c>
      <c r="O10" s="12">
        <v>4.1</v>
      </c>
      <c r="P10" s="13">
        <v>0</v>
      </c>
      <c r="Q10" s="346"/>
    </row>
    <row r="11" spans="2:17" ht="10.5">
      <c r="B11" s="22">
        <f t="shared" si="0"/>
        <v>5</v>
      </c>
      <c r="C11" s="14" t="s">
        <v>52</v>
      </c>
      <c r="D11" s="43">
        <v>2.3</v>
      </c>
      <c r="E11" s="12">
        <v>5.172</v>
      </c>
      <c r="F11" s="69">
        <v>4.06</v>
      </c>
      <c r="G11" s="12">
        <v>0</v>
      </c>
      <c r="H11" s="12">
        <v>1.86</v>
      </c>
      <c r="I11" s="40">
        <v>80.7</v>
      </c>
      <c r="J11" s="40">
        <v>19</v>
      </c>
      <c r="K11" s="12">
        <v>3.95</v>
      </c>
      <c r="L11" s="12">
        <v>1.92</v>
      </c>
      <c r="M11" s="37">
        <v>16.1</v>
      </c>
      <c r="N11" s="37">
        <v>6.06</v>
      </c>
      <c r="O11" s="12">
        <v>4.4</v>
      </c>
      <c r="P11" s="13">
        <v>0</v>
      </c>
      <c r="Q11" s="346"/>
    </row>
    <row r="12" spans="2:17" ht="10.5">
      <c r="B12" s="22">
        <f t="shared" si="0"/>
        <v>6</v>
      </c>
      <c r="C12" s="14" t="s">
        <v>51</v>
      </c>
      <c r="D12" s="43">
        <v>3.2</v>
      </c>
      <c r="E12" s="12">
        <v>6.367</v>
      </c>
      <c r="F12" s="69">
        <v>5</v>
      </c>
      <c r="G12" s="12">
        <v>0</v>
      </c>
      <c r="H12" s="12">
        <v>1.72</v>
      </c>
      <c r="I12" s="40">
        <v>76.9</v>
      </c>
      <c r="J12" s="40">
        <v>13.3</v>
      </c>
      <c r="K12" s="12">
        <v>3.48</v>
      </c>
      <c r="L12" s="12">
        <v>1.69</v>
      </c>
      <c r="M12" s="37">
        <v>17.1</v>
      </c>
      <c r="N12" s="37">
        <v>6.57</v>
      </c>
      <c r="O12" s="12">
        <v>4.1</v>
      </c>
      <c r="P12" s="13">
        <v>0</v>
      </c>
      <c r="Q12" s="346"/>
    </row>
    <row r="13" spans="2:17" ht="10.5">
      <c r="B13" s="22">
        <f t="shared" si="0"/>
        <v>7</v>
      </c>
      <c r="C13" s="14" t="s">
        <v>52</v>
      </c>
      <c r="D13" s="43">
        <v>3.2</v>
      </c>
      <c r="E13" s="12">
        <v>7.007</v>
      </c>
      <c r="F13" s="69">
        <v>5.5</v>
      </c>
      <c r="G13" s="12">
        <v>0</v>
      </c>
      <c r="H13" s="12">
        <v>1.86</v>
      </c>
      <c r="I13" s="40">
        <v>107</v>
      </c>
      <c r="J13" s="40">
        <v>24.5</v>
      </c>
      <c r="K13" s="12">
        <v>3.9</v>
      </c>
      <c r="L13" s="12">
        <v>1.87</v>
      </c>
      <c r="M13" s="37">
        <v>21.3</v>
      </c>
      <c r="N13" s="37">
        <v>7.81</v>
      </c>
      <c r="O13" s="12">
        <v>4.4</v>
      </c>
      <c r="P13" s="13">
        <v>0</v>
      </c>
      <c r="Q13" s="346"/>
    </row>
    <row r="14" spans="2:17" ht="10.5">
      <c r="B14" s="22">
        <f t="shared" si="0"/>
        <v>8</v>
      </c>
      <c r="C14" s="14" t="s">
        <v>53</v>
      </c>
      <c r="D14" s="43">
        <v>3.2</v>
      </c>
      <c r="E14" s="12">
        <v>7.007</v>
      </c>
      <c r="F14" s="69">
        <v>5.5</v>
      </c>
      <c r="G14" s="12">
        <v>0</v>
      </c>
      <c r="H14" s="12">
        <v>1.32</v>
      </c>
      <c r="I14" s="40">
        <v>144</v>
      </c>
      <c r="J14" s="40">
        <v>15.3</v>
      </c>
      <c r="K14" s="12">
        <v>4.53</v>
      </c>
      <c r="L14" s="12">
        <v>1.48</v>
      </c>
      <c r="M14" s="37">
        <v>24</v>
      </c>
      <c r="N14" s="37">
        <v>5.71</v>
      </c>
      <c r="O14" s="12">
        <v>3.4</v>
      </c>
      <c r="P14" s="13">
        <v>0</v>
      </c>
      <c r="Q14" s="346"/>
    </row>
    <row r="15" spans="2:17" ht="10.5">
      <c r="B15" s="22">
        <f t="shared" si="0"/>
        <v>9</v>
      </c>
      <c r="C15" s="14" t="s">
        <v>52</v>
      </c>
      <c r="D15" s="43">
        <v>4</v>
      </c>
      <c r="E15" s="12">
        <v>8.548</v>
      </c>
      <c r="F15" s="69">
        <v>6.71</v>
      </c>
      <c r="G15" s="12">
        <v>0</v>
      </c>
      <c r="H15" s="12">
        <v>1.86</v>
      </c>
      <c r="I15" s="40">
        <v>127</v>
      </c>
      <c r="J15" s="40">
        <v>28.7</v>
      </c>
      <c r="K15" s="12">
        <v>3.85</v>
      </c>
      <c r="L15" s="12">
        <v>1.83</v>
      </c>
      <c r="M15" s="37">
        <v>25.4</v>
      </c>
      <c r="N15" s="37">
        <v>9.13</v>
      </c>
      <c r="O15" s="12">
        <v>4.3</v>
      </c>
      <c r="P15" s="13">
        <v>0</v>
      </c>
      <c r="Q15" s="346"/>
    </row>
    <row r="16" spans="2:17" ht="10.5">
      <c r="B16" s="22">
        <f t="shared" si="0"/>
        <v>10</v>
      </c>
      <c r="C16" s="14" t="s">
        <v>52</v>
      </c>
      <c r="D16" s="43">
        <v>4.5</v>
      </c>
      <c r="E16" s="12">
        <v>9.469</v>
      </c>
      <c r="F16" s="69">
        <v>7.43</v>
      </c>
      <c r="G16" s="12">
        <v>0</v>
      </c>
      <c r="H16" s="12">
        <v>1.86</v>
      </c>
      <c r="I16" s="40">
        <v>139</v>
      </c>
      <c r="J16" s="40">
        <v>30.9</v>
      </c>
      <c r="K16" s="12">
        <v>3.82</v>
      </c>
      <c r="L16" s="12">
        <v>1.81</v>
      </c>
      <c r="M16" s="37">
        <v>27.7</v>
      </c>
      <c r="N16" s="37">
        <v>9.82</v>
      </c>
      <c r="O16" s="12">
        <v>4.3</v>
      </c>
      <c r="P16" s="13">
        <v>0</v>
      </c>
      <c r="Q16" s="346"/>
    </row>
    <row r="17" spans="2:17" ht="10.5">
      <c r="B17" s="22">
        <f t="shared" si="0"/>
        <v>11</v>
      </c>
      <c r="C17" s="14" t="s">
        <v>56</v>
      </c>
      <c r="D17" s="43">
        <v>3.2</v>
      </c>
      <c r="E17" s="12">
        <v>7.807</v>
      </c>
      <c r="F17" s="69">
        <v>6.13</v>
      </c>
      <c r="G17" s="12">
        <v>0</v>
      </c>
      <c r="H17" s="12">
        <v>1.68</v>
      </c>
      <c r="I17" s="40">
        <v>181</v>
      </c>
      <c r="J17" s="40">
        <v>26.6</v>
      </c>
      <c r="K17" s="12">
        <v>4.82</v>
      </c>
      <c r="L17" s="12">
        <v>1.85</v>
      </c>
      <c r="M17" s="37">
        <v>29</v>
      </c>
      <c r="N17" s="37">
        <v>8.02</v>
      </c>
      <c r="O17" s="12">
        <v>4</v>
      </c>
      <c r="P17" s="13">
        <v>0</v>
      </c>
      <c r="Q17" s="346"/>
    </row>
    <row r="18" spans="2:17" ht="10.5">
      <c r="B18" s="22">
        <f t="shared" si="0"/>
        <v>12</v>
      </c>
      <c r="C18" s="14" t="s">
        <v>54</v>
      </c>
      <c r="D18" s="43">
        <v>3.2</v>
      </c>
      <c r="E18" s="12">
        <v>8.287</v>
      </c>
      <c r="F18" s="69">
        <v>6.51</v>
      </c>
      <c r="G18" s="12">
        <v>0</v>
      </c>
      <c r="H18" s="12">
        <v>2.12</v>
      </c>
      <c r="I18" s="40">
        <v>186</v>
      </c>
      <c r="J18" s="40">
        <v>40.9</v>
      </c>
      <c r="K18" s="12">
        <v>4.74</v>
      </c>
      <c r="L18" s="12">
        <v>2.22</v>
      </c>
      <c r="M18" s="37">
        <v>31</v>
      </c>
      <c r="N18" s="37">
        <v>10.5</v>
      </c>
      <c r="O18" s="12">
        <v>4.9</v>
      </c>
      <c r="P18" s="13">
        <v>0</v>
      </c>
      <c r="Q18" s="346"/>
    </row>
    <row r="19" spans="2:17" ht="10.5">
      <c r="B19" s="22">
        <f t="shared" si="0"/>
        <v>13</v>
      </c>
      <c r="C19" s="14" t="s">
        <v>56</v>
      </c>
      <c r="D19" s="43">
        <v>4.5</v>
      </c>
      <c r="E19" s="12">
        <v>10.59</v>
      </c>
      <c r="F19" s="69">
        <v>8.32</v>
      </c>
      <c r="G19" s="12">
        <v>0</v>
      </c>
      <c r="H19" s="12">
        <v>1.68</v>
      </c>
      <c r="I19" s="40">
        <v>238</v>
      </c>
      <c r="J19" s="40">
        <v>33.5</v>
      </c>
      <c r="K19" s="12">
        <v>4.74</v>
      </c>
      <c r="L19" s="12">
        <v>1.78</v>
      </c>
      <c r="M19" s="37">
        <v>33</v>
      </c>
      <c r="N19" s="37">
        <v>10</v>
      </c>
      <c r="O19" s="12">
        <v>4</v>
      </c>
      <c r="P19" s="13">
        <v>0</v>
      </c>
      <c r="Q19" s="346"/>
    </row>
    <row r="20" spans="2:17" ht="10.5">
      <c r="B20" s="22">
        <f t="shared" si="0"/>
        <v>14</v>
      </c>
      <c r="C20" s="14" t="s">
        <v>56</v>
      </c>
      <c r="D20" s="43">
        <v>4</v>
      </c>
      <c r="E20" s="12">
        <v>9.548</v>
      </c>
      <c r="F20" s="69">
        <v>7.5</v>
      </c>
      <c r="G20" s="12">
        <v>0</v>
      </c>
      <c r="H20" s="12">
        <v>1.68</v>
      </c>
      <c r="I20" s="40">
        <v>217</v>
      </c>
      <c r="J20" s="40">
        <v>33.1</v>
      </c>
      <c r="K20" s="12">
        <v>4.77</v>
      </c>
      <c r="L20" s="12">
        <v>1.81</v>
      </c>
      <c r="M20" s="37">
        <v>34.7</v>
      </c>
      <c r="N20" s="37">
        <v>9.38</v>
      </c>
      <c r="O20" s="12">
        <v>4</v>
      </c>
      <c r="P20" s="13">
        <v>0</v>
      </c>
      <c r="Q20" s="346"/>
    </row>
    <row r="21" spans="2:17" ht="10.5">
      <c r="B21" s="22">
        <f t="shared" si="0"/>
        <v>15</v>
      </c>
      <c r="C21" s="15" t="s">
        <v>57</v>
      </c>
      <c r="D21" s="43">
        <v>3.2</v>
      </c>
      <c r="E21" s="12">
        <v>8.607</v>
      </c>
      <c r="F21" s="69">
        <v>6.76</v>
      </c>
      <c r="G21" s="12">
        <v>0</v>
      </c>
      <c r="H21" s="12">
        <v>1.54</v>
      </c>
      <c r="I21" s="40">
        <v>280</v>
      </c>
      <c r="J21" s="40">
        <v>28.3</v>
      </c>
      <c r="K21" s="12">
        <v>5.71</v>
      </c>
      <c r="L21" s="12">
        <v>1.81</v>
      </c>
      <c r="M21" s="37">
        <v>37.4</v>
      </c>
      <c r="N21" s="37">
        <v>8.19</v>
      </c>
      <c r="O21" s="12">
        <v>3.8</v>
      </c>
      <c r="P21" s="13">
        <v>0</v>
      </c>
      <c r="Q21" s="346"/>
    </row>
    <row r="22" spans="2:17" ht="10.5">
      <c r="B22" s="22">
        <f t="shared" si="0"/>
        <v>16</v>
      </c>
      <c r="C22" s="14" t="s">
        <v>55</v>
      </c>
      <c r="D22" s="43">
        <v>4.5</v>
      </c>
      <c r="E22" s="12">
        <v>11.72</v>
      </c>
      <c r="F22" s="69">
        <v>9.2</v>
      </c>
      <c r="G22" s="12">
        <v>0</v>
      </c>
      <c r="H22" s="12">
        <v>2.25</v>
      </c>
      <c r="I22" s="40">
        <v>252</v>
      </c>
      <c r="J22" s="40">
        <v>58</v>
      </c>
      <c r="K22" s="12">
        <v>4.63</v>
      </c>
      <c r="L22" s="12">
        <v>2.22</v>
      </c>
      <c r="M22" s="37">
        <v>41.9</v>
      </c>
      <c r="N22" s="37">
        <v>15.5</v>
      </c>
      <c r="O22" s="12">
        <v>5.3</v>
      </c>
      <c r="P22" s="13">
        <v>0</v>
      </c>
      <c r="Q22" s="346"/>
    </row>
    <row r="23" spans="2:17" ht="10.5">
      <c r="B23" s="22">
        <f t="shared" si="0"/>
        <v>17</v>
      </c>
      <c r="C23" s="16" t="s">
        <v>58</v>
      </c>
      <c r="D23" s="44">
        <v>3.2</v>
      </c>
      <c r="E23" s="12">
        <v>9.567</v>
      </c>
      <c r="F23" s="69">
        <v>7.51</v>
      </c>
      <c r="G23" s="12">
        <v>0</v>
      </c>
      <c r="H23" s="12">
        <v>2.11</v>
      </c>
      <c r="I23" s="40">
        <v>332</v>
      </c>
      <c r="J23" s="40">
        <v>53.8</v>
      </c>
      <c r="K23" s="12">
        <v>5.89</v>
      </c>
      <c r="L23" s="12">
        <v>2.37</v>
      </c>
      <c r="M23" s="37">
        <v>44.3</v>
      </c>
      <c r="N23" s="37">
        <v>12.2</v>
      </c>
      <c r="O23" s="12">
        <v>5.1</v>
      </c>
      <c r="P23" s="13">
        <v>0</v>
      </c>
      <c r="Q23" s="346"/>
    </row>
    <row r="24" spans="2:17" ht="10.5">
      <c r="B24" s="22">
        <f t="shared" si="0"/>
        <v>18</v>
      </c>
      <c r="C24" s="17" t="s">
        <v>59</v>
      </c>
      <c r="D24" s="44">
        <v>3.2</v>
      </c>
      <c r="E24" s="12">
        <v>10.21</v>
      </c>
      <c r="F24" s="69">
        <v>8.01</v>
      </c>
      <c r="G24" s="12">
        <v>0</v>
      </c>
      <c r="H24" s="12">
        <v>2.51</v>
      </c>
      <c r="I24" s="40">
        <v>366</v>
      </c>
      <c r="J24" s="40">
        <v>76.4</v>
      </c>
      <c r="K24" s="12">
        <v>5.99</v>
      </c>
      <c r="L24" s="12">
        <v>2.74</v>
      </c>
      <c r="M24" s="37">
        <v>48.9</v>
      </c>
      <c r="N24" s="37">
        <v>15.3</v>
      </c>
      <c r="O24" s="12">
        <v>5.1</v>
      </c>
      <c r="P24" s="13">
        <v>0</v>
      </c>
      <c r="Q24" s="346"/>
    </row>
    <row r="25" spans="2:17" ht="10.5">
      <c r="B25" s="22">
        <f t="shared" si="0"/>
        <v>19</v>
      </c>
      <c r="C25" s="15" t="s">
        <v>57</v>
      </c>
      <c r="D25" s="43">
        <v>4.5</v>
      </c>
      <c r="E25" s="12">
        <v>11.72</v>
      </c>
      <c r="F25" s="69">
        <v>9.2</v>
      </c>
      <c r="G25" s="12">
        <v>0</v>
      </c>
      <c r="H25" s="12">
        <v>1.54</v>
      </c>
      <c r="I25" s="40">
        <v>368</v>
      </c>
      <c r="J25" s="40">
        <v>35.7</v>
      </c>
      <c r="K25" s="12">
        <v>5.6</v>
      </c>
      <c r="L25" s="12">
        <v>1.75</v>
      </c>
      <c r="M25" s="37">
        <v>49</v>
      </c>
      <c r="N25" s="37">
        <v>10.5</v>
      </c>
      <c r="O25" s="12">
        <v>3.7</v>
      </c>
      <c r="P25" s="13">
        <v>0</v>
      </c>
      <c r="Q25" s="346"/>
    </row>
    <row r="26" spans="2:17" ht="10.5">
      <c r="B26" s="22">
        <f t="shared" si="0"/>
        <v>20</v>
      </c>
      <c r="C26" s="17" t="s">
        <v>60</v>
      </c>
      <c r="D26" s="44">
        <v>3.2</v>
      </c>
      <c r="E26" s="12">
        <v>10.53</v>
      </c>
      <c r="F26" s="69">
        <v>8.27</v>
      </c>
      <c r="G26" s="12">
        <v>0</v>
      </c>
      <c r="H26" s="12">
        <v>2.66</v>
      </c>
      <c r="I26" s="40">
        <v>375</v>
      </c>
      <c r="J26" s="40">
        <v>83.6</v>
      </c>
      <c r="K26" s="12">
        <v>5.97</v>
      </c>
      <c r="L26" s="12">
        <v>2.82</v>
      </c>
      <c r="M26" s="37">
        <v>50</v>
      </c>
      <c r="N26" s="37">
        <v>17.3</v>
      </c>
      <c r="O26" s="12">
        <v>6.4</v>
      </c>
      <c r="P26" s="13">
        <v>0</v>
      </c>
      <c r="Q26" s="346"/>
    </row>
    <row r="27" spans="2:17" ht="10.5">
      <c r="B27" s="22">
        <f t="shared" si="0"/>
        <v>21</v>
      </c>
      <c r="C27" s="17" t="s">
        <v>58</v>
      </c>
      <c r="D27" s="44">
        <v>4</v>
      </c>
      <c r="E27" s="12">
        <v>11.75</v>
      </c>
      <c r="F27" s="69">
        <v>9.22</v>
      </c>
      <c r="G27" s="12">
        <v>0</v>
      </c>
      <c r="H27" s="12">
        <v>2.11</v>
      </c>
      <c r="I27" s="40">
        <v>401</v>
      </c>
      <c r="J27" s="40">
        <v>63.7</v>
      </c>
      <c r="K27" s="12">
        <v>5.84</v>
      </c>
      <c r="L27" s="12">
        <v>2.33</v>
      </c>
      <c r="M27" s="37">
        <v>53.5</v>
      </c>
      <c r="N27" s="37">
        <v>14.5</v>
      </c>
      <c r="O27" s="12">
        <v>5</v>
      </c>
      <c r="P27" s="13">
        <v>0</v>
      </c>
      <c r="Q27" s="346"/>
    </row>
    <row r="28" spans="2:17" ht="10.5">
      <c r="B28" s="22">
        <f t="shared" si="0"/>
        <v>22</v>
      </c>
      <c r="C28" s="17" t="s">
        <v>59</v>
      </c>
      <c r="D28" s="44">
        <v>4</v>
      </c>
      <c r="E28" s="12">
        <v>12.55</v>
      </c>
      <c r="F28" s="69">
        <v>9.85</v>
      </c>
      <c r="G28" s="12">
        <v>0</v>
      </c>
      <c r="H28" s="12">
        <v>2.51</v>
      </c>
      <c r="I28" s="40">
        <v>445</v>
      </c>
      <c r="J28" s="40">
        <v>91</v>
      </c>
      <c r="K28" s="12">
        <v>5.95</v>
      </c>
      <c r="L28" s="12">
        <v>2.69</v>
      </c>
      <c r="M28" s="37">
        <v>59.3</v>
      </c>
      <c r="N28" s="37">
        <v>18.2</v>
      </c>
      <c r="O28" s="12">
        <v>5.8</v>
      </c>
      <c r="P28" s="13">
        <v>0</v>
      </c>
      <c r="Q28" s="346"/>
    </row>
    <row r="29" spans="2:17" ht="10.5">
      <c r="B29" s="22">
        <f t="shared" si="0"/>
        <v>23</v>
      </c>
      <c r="C29" s="17" t="s">
        <v>60</v>
      </c>
      <c r="D29" s="44">
        <v>4</v>
      </c>
      <c r="E29" s="12">
        <v>12.95</v>
      </c>
      <c r="F29" s="69">
        <v>10.2</v>
      </c>
      <c r="G29" s="12">
        <v>0</v>
      </c>
      <c r="H29" s="12">
        <v>2.65</v>
      </c>
      <c r="I29" s="40">
        <v>455</v>
      </c>
      <c r="J29" s="40">
        <v>99.8</v>
      </c>
      <c r="K29" s="12">
        <v>5.93</v>
      </c>
      <c r="L29" s="12">
        <v>2.78</v>
      </c>
      <c r="M29" s="37">
        <v>60.6</v>
      </c>
      <c r="N29" s="37">
        <v>20.6</v>
      </c>
      <c r="O29" s="12">
        <v>6.3</v>
      </c>
      <c r="P29" s="13">
        <v>0</v>
      </c>
      <c r="Q29" s="346"/>
    </row>
    <row r="30" spans="2:17" ht="10.5">
      <c r="B30" s="22">
        <f t="shared" si="0"/>
        <v>24</v>
      </c>
      <c r="C30" s="17" t="s">
        <v>59</v>
      </c>
      <c r="D30" s="44">
        <v>4.5</v>
      </c>
      <c r="E30" s="12">
        <v>13.97</v>
      </c>
      <c r="F30" s="69">
        <v>11</v>
      </c>
      <c r="G30" s="12">
        <v>0</v>
      </c>
      <c r="H30" s="12">
        <v>2.5</v>
      </c>
      <c r="I30" s="40">
        <v>489</v>
      </c>
      <c r="J30" s="40">
        <v>99.2</v>
      </c>
      <c r="K30" s="12">
        <v>5.92</v>
      </c>
      <c r="L30" s="12">
        <v>2.66</v>
      </c>
      <c r="M30" s="37">
        <v>65.2</v>
      </c>
      <c r="N30" s="37">
        <v>19.8</v>
      </c>
      <c r="O30" s="12">
        <v>6</v>
      </c>
      <c r="P30" s="13">
        <v>0</v>
      </c>
      <c r="Q30" s="346"/>
    </row>
    <row r="31" spans="2:17" ht="10.5">
      <c r="B31" s="22">
        <f t="shared" si="0"/>
        <v>25</v>
      </c>
      <c r="C31" s="17" t="s">
        <v>60</v>
      </c>
      <c r="D31" s="44">
        <v>4.5</v>
      </c>
      <c r="E31" s="12">
        <v>14.42</v>
      </c>
      <c r="F31" s="69">
        <v>11.3</v>
      </c>
      <c r="G31" s="12">
        <v>0</v>
      </c>
      <c r="H31" s="12">
        <v>2.65</v>
      </c>
      <c r="I31" s="40">
        <v>501</v>
      </c>
      <c r="J31" s="40">
        <v>109</v>
      </c>
      <c r="K31" s="12">
        <v>5.9</v>
      </c>
      <c r="L31" s="12">
        <v>2.75</v>
      </c>
      <c r="M31" s="37">
        <v>66.9</v>
      </c>
      <c r="N31" s="37">
        <v>22.5</v>
      </c>
      <c r="O31" s="12">
        <v>6.3</v>
      </c>
      <c r="P31" s="13">
        <v>0</v>
      </c>
      <c r="Q31" s="346"/>
    </row>
    <row r="32" spans="2:17" ht="10.5">
      <c r="B32" s="22">
        <f t="shared" si="0"/>
        <v>26</v>
      </c>
      <c r="C32" s="17" t="s">
        <v>61</v>
      </c>
      <c r="D32" s="44">
        <v>3.2</v>
      </c>
      <c r="E32" s="12">
        <v>11.81</v>
      </c>
      <c r="F32" s="69">
        <v>9.27</v>
      </c>
      <c r="G32" s="12">
        <v>0</v>
      </c>
      <c r="H32" s="12">
        <v>2.19</v>
      </c>
      <c r="I32" s="40">
        <v>716</v>
      </c>
      <c r="J32" s="40">
        <v>84.1</v>
      </c>
      <c r="K32" s="12">
        <v>7.79</v>
      </c>
      <c r="L32" s="12">
        <v>2.67</v>
      </c>
      <c r="M32" s="37">
        <v>71.6</v>
      </c>
      <c r="N32" s="37">
        <v>15.8</v>
      </c>
      <c r="O32" s="12">
        <v>5.4</v>
      </c>
      <c r="P32" s="13">
        <v>0</v>
      </c>
      <c r="Q32" s="346"/>
    </row>
    <row r="33" spans="2:17" ht="10.5">
      <c r="B33" s="22">
        <f t="shared" si="0"/>
        <v>27</v>
      </c>
      <c r="C33" s="17" t="s">
        <v>62</v>
      </c>
      <c r="D33" s="44">
        <v>3.2</v>
      </c>
      <c r="E33" s="12">
        <v>12.13</v>
      </c>
      <c r="F33" s="69">
        <v>9.52</v>
      </c>
      <c r="G33" s="12">
        <v>0</v>
      </c>
      <c r="H33" s="12">
        <v>2.33</v>
      </c>
      <c r="I33" s="40">
        <v>736</v>
      </c>
      <c r="J33" s="40">
        <v>92.3</v>
      </c>
      <c r="K33" s="12">
        <v>7.7</v>
      </c>
      <c r="L33" s="12">
        <v>2.76</v>
      </c>
      <c r="M33" s="37">
        <v>73.6</v>
      </c>
      <c r="N33" s="37">
        <v>17.8</v>
      </c>
      <c r="O33" s="12">
        <v>5.7</v>
      </c>
      <c r="P33" s="13">
        <v>0</v>
      </c>
      <c r="Q33" s="346"/>
    </row>
    <row r="34" spans="2:17" ht="10.5">
      <c r="B34" s="22">
        <f t="shared" si="0"/>
        <v>28</v>
      </c>
      <c r="C34" s="17" t="s">
        <v>61</v>
      </c>
      <c r="D34" s="44">
        <v>4</v>
      </c>
      <c r="E34" s="12">
        <v>14.55</v>
      </c>
      <c r="F34" s="69">
        <v>11.4</v>
      </c>
      <c r="G34" s="12">
        <v>0</v>
      </c>
      <c r="H34" s="12">
        <v>2.19</v>
      </c>
      <c r="I34" s="40">
        <v>871</v>
      </c>
      <c r="J34" s="40">
        <v>100</v>
      </c>
      <c r="K34" s="12">
        <v>7.74</v>
      </c>
      <c r="L34" s="12">
        <v>2.62</v>
      </c>
      <c r="M34" s="37">
        <v>87.1</v>
      </c>
      <c r="N34" s="37">
        <v>18.9</v>
      </c>
      <c r="O34" s="12">
        <v>5.3</v>
      </c>
      <c r="P34" s="13">
        <v>0</v>
      </c>
      <c r="Q34" s="346"/>
    </row>
    <row r="35" spans="2:17" ht="10.5">
      <c r="B35" s="22">
        <f t="shared" si="0"/>
        <v>29</v>
      </c>
      <c r="C35" s="17" t="s">
        <v>62</v>
      </c>
      <c r="D35" s="44">
        <v>4</v>
      </c>
      <c r="E35" s="12">
        <v>14.95</v>
      </c>
      <c r="F35" s="69">
        <v>11.7</v>
      </c>
      <c r="G35" s="12">
        <v>0</v>
      </c>
      <c r="H35" s="12">
        <v>2.32</v>
      </c>
      <c r="I35" s="40">
        <v>895</v>
      </c>
      <c r="J35" s="40">
        <v>110</v>
      </c>
      <c r="K35" s="12">
        <v>7.74</v>
      </c>
      <c r="L35" s="12">
        <v>2.72</v>
      </c>
      <c r="M35" s="37">
        <v>89.5</v>
      </c>
      <c r="N35" s="37">
        <v>21.3</v>
      </c>
      <c r="O35" s="12">
        <v>5.7</v>
      </c>
      <c r="P35" s="13">
        <v>0</v>
      </c>
      <c r="Q35" s="346"/>
    </row>
    <row r="36" spans="2:17" ht="10.5">
      <c r="B36" s="22">
        <f t="shared" si="0"/>
        <v>30</v>
      </c>
      <c r="C36" s="17" t="s">
        <v>61</v>
      </c>
      <c r="D36" s="44">
        <v>4.5</v>
      </c>
      <c r="E36" s="12">
        <v>16.22</v>
      </c>
      <c r="F36" s="69">
        <v>12.7</v>
      </c>
      <c r="G36" s="12">
        <v>0</v>
      </c>
      <c r="H36" s="12">
        <v>2.19</v>
      </c>
      <c r="I36" s="40">
        <v>963</v>
      </c>
      <c r="J36" s="40">
        <v>109</v>
      </c>
      <c r="K36" s="12">
        <v>7.71</v>
      </c>
      <c r="L36" s="12">
        <v>2.6</v>
      </c>
      <c r="M36" s="37">
        <v>96.3</v>
      </c>
      <c r="N36" s="37">
        <v>20.6</v>
      </c>
      <c r="O36" s="12">
        <v>5.3</v>
      </c>
      <c r="P36" s="13">
        <v>0</v>
      </c>
      <c r="Q36" s="346"/>
    </row>
    <row r="37" spans="2:17" ht="11.25" thickBot="1">
      <c r="B37" s="30">
        <f t="shared" si="0"/>
        <v>31</v>
      </c>
      <c r="C37" s="18" t="s">
        <v>62</v>
      </c>
      <c r="D37" s="45">
        <v>4.5</v>
      </c>
      <c r="E37" s="19">
        <v>16.67</v>
      </c>
      <c r="F37" s="70">
        <v>13.1</v>
      </c>
      <c r="G37" s="19">
        <v>0</v>
      </c>
      <c r="H37" s="19">
        <v>2.32</v>
      </c>
      <c r="I37" s="41">
        <v>990</v>
      </c>
      <c r="J37" s="41">
        <v>121</v>
      </c>
      <c r="K37" s="19">
        <v>7.61</v>
      </c>
      <c r="L37" s="19">
        <v>2.69</v>
      </c>
      <c r="M37" s="38">
        <v>99</v>
      </c>
      <c r="N37" s="38">
        <v>23.3</v>
      </c>
      <c r="O37" s="19">
        <v>5.6</v>
      </c>
      <c r="P37" s="20">
        <v>0</v>
      </c>
      <c r="Q37" s="346"/>
    </row>
    <row r="38" spans="2:17" ht="11.25" thickBot="1">
      <c r="B38" s="29">
        <f t="shared" si="0"/>
        <v>32</v>
      </c>
      <c r="C38" s="59" t="s">
        <v>63</v>
      </c>
      <c r="D38" s="60">
        <v>4.5</v>
      </c>
      <c r="E38" s="61">
        <v>18.92</v>
      </c>
      <c r="F38" s="71">
        <v>14.9</v>
      </c>
      <c r="G38" s="61">
        <v>0</v>
      </c>
      <c r="H38" s="61">
        <v>2.07</v>
      </c>
      <c r="I38" s="62">
        <v>1690</v>
      </c>
      <c r="J38" s="62">
        <v>129</v>
      </c>
      <c r="K38" s="61">
        <v>9.44</v>
      </c>
      <c r="L38" s="61">
        <v>2.62</v>
      </c>
      <c r="M38" s="63">
        <v>135</v>
      </c>
      <c r="N38" s="63">
        <v>23.8</v>
      </c>
      <c r="O38" s="61">
        <v>5.1</v>
      </c>
      <c r="P38" s="64">
        <v>0</v>
      </c>
      <c r="Q38" s="346"/>
    </row>
    <row r="39" spans="2:17" ht="10.5">
      <c r="B39" s="10"/>
      <c r="Q39" s="346"/>
    </row>
    <row r="40" spans="2:17" ht="10.5">
      <c r="B40" s="10"/>
      <c r="Q40" s="346"/>
    </row>
    <row r="41" spans="2:17" ht="10.5">
      <c r="B41" s="10"/>
      <c r="Q41" s="346"/>
    </row>
    <row r="42" spans="2:17" ht="10.5">
      <c r="B42" s="10"/>
      <c r="Q42" s="346"/>
    </row>
    <row r="43" spans="2:17" ht="10.5">
      <c r="B43" s="10"/>
      <c r="Q43" s="346"/>
    </row>
    <row r="44" spans="2:17" ht="10.5">
      <c r="B44" s="10"/>
      <c r="Q44" s="346"/>
    </row>
  </sheetData>
  <sheetProtection/>
  <mergeCells count="21">
    <mergeCell ref="B3:B6"/>
    <mergeCell ref="B2:P2"/>
    <mergeCell ref="O3:P3"/>
    <mergeCell ref="O4:P4"/>
    <mergeCell ref="O5:P5"/>
    <mergeCell ref="C3:D3"/>
    <mergeCell ref="K5:L5"/>
    <mergeCell ref="C5:D5"/>
    <mergeCell ref="G3:H3"/>
    <mergeCell ref="G4:H4"/>
    <mergeCell ref="G5:H5"/>
    <mergeCell ref="C4:D4"/>
    <mergeCell ref="K3:L3"/>
    <mergeCell ref="K4:L4"/>
    <mergeCell ref="I3:J3"/>
    <mergeCell ref="Q2:Q44"/>
    <mergeCell ref="I5:J5"/>
    <mergeCell ref="M4:N4"/>
    <mergeCell ref="M5:N5"/>
    <mergeCell ref="I4:J4"/>
    <mergeCell ref="M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KOBPUK</dc:creator>
  <cp:keywords/>
  <dc:description/>
  <cp:lastModifiedBy>ASUS</cp:lastModifiedBy>
  <cp:lastPrinted>2012-03-17T16:43:24Z</cp:lastPrinted>
  <dcterms:created xsi:type="dcterms:W3CDTF">2006-05-02T09:53:50Z</dcterms:created>
  <dcterms:modified xsi:type="dcterms:W3CDTF">2012-08-17T02:45:22Z</dcterms:modified>
  <cp:category/>
  <cp:version/>
  <cp:contentType/>
  <cp:contentStatus/>
</cp:coreProperties>
</file>