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Column BUILT UP (2)" sheetId="1" r:id="rId1"/>
    <sheet name="Column BUILT UP (3)" sheetId="2" r:id="rId2"/>
  </sheets>
  <definedNames>
    <definedName name="_xlnm.Print_Area" localSheetId="0">'Column BUILT UP (2)'!$A$1:$J$98</definedName>
    <definedName name="_xlnm.Print_Area" localSheetId="1">'Column BUILT UP (3)'!$A$1:$J$98</definedName>
    <definedName name="_xlnm.Print_Titles" localSheetId="0">'Column BUILT UP (2)'!$1:$4</definedName>
    <definedName name="_xlnm.Print_Titles" localSheetId="1">'Column BUILT UP (3)'!$1:$4</definedName>
    <definedName name="Z_B381FCE2_D8C1_4124_915B_856606DE7547_.wvu.PrintArea" localSheetId="0" hidden="1">'Column BUILT UP (2)'!$A$1:$J$97</definedName>
    <definedName name="Z_B381FCE2_D8C1_4124_915B_856606DE7547_.wvu.PrintArea" localSheetId="1" hidden="1">'Column BUILT UP (3)'!$A$1:$J$97</definedName>
    <definedName name="Z_B381FCE2_D8C1_4124_915B_856606DE7547_.wvu.PrintTitles" localSheetId="0" hidden="1">'Column BUILT UP (2)'!$1:$4</definedName>
    <definedName name="Z_B381FCE2_D8C1_4124_915B_856606DE7547_.wvu.PrintTitles" localSheetId="1" hidden="1">'Column BUILT UP (3)'!$1:$4</definedName>
  </definedNames>
  <calcPr fullCalcOnLoad="1"/>
</workbook>
</file>

<file path=xl/sharedStrings.xml><?xml version="1.0" encoding="utf-8"?>
<sst xmlns="http://schemas.openxmlformats.org/spreadsheetml/2006/main" count="458" uniqueCount="127">
  <si>
    <t>m</t>
  </si>
  <si>
    <t>N</t>
  </si>
  <si>
    <t>=</t>
  </si>
  <si>
    <t>t</t>
  </si>
  <si>
    <t>mm</t>
  </si>
  <si>
    <t>1)- APPLIED FORCES :-</t>
  </si>
  <si>
    <t>mt</t>
  </si>
  <si>
    <t>cm</t>
  </si>
  <si>
    <t>Y</t>
  </si>
  <si>
    <t>A</t>
  </si>
  <si>
    <t>&lt; 180</t>
  </si>
  <si>
    <t>a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</si>
  <si>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</si>
  <si>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</si>
  <si>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</si>
  <si>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</si>
  <si>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</si>
  <si>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r>
      <t>f</t>
    </r>
    <r>
      <rPr>
        <vertAlign val="subscript"/>
        <sz val="11"/>
        <rFont val="Times New Roman"/>
        <family val="1"/>
      </rPr>
      <t>ca</t>
    </r>
  </si>
  <si>
    <r>
      <t>L</t>
    </r>
    <r>
      <rPr>
        <vertAlign val="subscript"/>
        <sz val="11"/>
        <rFont val="Times New Roman"/>
        <family val="1"/>
      </rPr>
      <t>bin</t>
    </r>
  </si>
  <si>
    <t>Rt</t>
  </si>
  <si>
    <t>F1</t>
  </si>
  <si>
    <t>Lu/Rt</t>
  </si>
  <si>
    <t>F2</t>
  </si>
  <si>
    <t>F3</t>
  </si>
  <si>
    <t>Fltb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</si>
  <si>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</si>
  <si>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</si>
  <si>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The sec is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</si>
  <si>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</si>
  <si>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</si>
  <si>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>bcx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</si>
  <si>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</si>
  <si>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I</t>
    </r>
    <r>
      <rPr>
        <vertAlign val="subscript"/>
        <sz val="11"/>
        <rFont val="Times New Roman"/>
        <family val="1"/>
      </rPr>
      <t>x</t>
    </r>
  </si>
  <si>
    <r>
      <t>I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</si>
  <si>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</si>
  <si>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</si>
  <si>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</si>
  <si>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t>Fltb1</t>
  </si>
  <si>
    <t>Fltb2</t>
  </si>
  <si>
    <t>Fsec</t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</si>
  <si>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</si>
  <si>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</si>
  <si>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</si>
  <si>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</si>
  <si>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</si>
  <si>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</si>
  <si>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</si>
  <si>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</si>
  <si>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</si>
  <si>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</si>
  <si>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</si>
  <si>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</si>
  <si>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</si>
  <si>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</si>
  <si>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</si>
  <si>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table(2.1c)</t>
  </si>
  <si>
    <t>ECP 16</t>
  </si>
  <si>
    <t>eqn. 2.18</t>
  </si>
  <si>
    <t>table(4.1)</t>
  </si>
  <si>
    <t>ECP</t>
  </si>
  <si>
    <t>eqn. 2.35</t>
  </si>
  <si>
    <t>M.Nour</t>
  </si>
  <si>
    <t>COLUMN ID :-</t>
  </si>
  <si>
    <t>DESIGN CASE :-</t>
  </si>
  <si>
    <t>(D.L+L.L)</t>
  </si>
  <si>
    <t>2)-DIM. OF SECTION :-</t>
  </si>
  <si>
    <t xml:space="preserve">      The section is Bulit up section</t>
  </si>
  <si>
    <t>3)-COLUMN DATA :-</t>
  </si>
  <si>
    <t>Total length of column                     =</t>
  </si>
  <si>
    <t>Lu act.of comp. Flange                   =</t>
  </si>
  <si>
    <t>Length subject to buckling in plan    =</t>
  </si>
  <si>
    <t>Length subject to buckling out plan  =</t>
  </si>
  <si>
    <t>Length of girder                             =</t>
  </si>
  <si>
    <t>Ix (rafter)                                      =</t>
  </si>
  <si>
    <t>4)- PROPERTIES OF SECTION :-</t>
  </si>
  <si>
    <t>(D.L+L.L+W.L)</t>
  </si>
  <si>
    <t>X</t>
  </si>
  <si>
    <t>ψ</t>
  </si>
  <si>
    <t>5)- CHECK COMPACTNESS :-</t>
  </si>
  <si>
    <t>6)- CHECK STRESSES :-</t>
  </si>
  <si>
    <t xml:space="preserve">(Lateral torsional buckling of comp.flange) </t>
  </si>
  <si>
    <t>(according to base type)</t>
  </si>
  <si>
    <t>K</t>
  </si>
  <si>
    <t>E.C.O.P (P.61)</t>
  </si>
  <si>
    <t>APPLYING THE INTERACTION EQUATION :</t>
  </si>
  <si>
    <r>
      <t>Mx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</si>
  <si>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t>Mx</t>
    </r>
    <r>
      <rPr>
        <vertAlign val="subscript"/>
        <sz val="11"/>
        <rFont val="Times New Roman"/>
        <family val="1"/>
      </rPr>
      <t>2</t>
    </r>
  </si>
  <si>
    <r>
      <t>M</t>
    </r>
    <r>
      <rPr>
        <vertAlign val="subscript"/>
        <sz val="11"/>
        <rFont val="Times New Roman"/>
        <family val="1"/>
      </rPr>
      <t>y</t>
    </r>
  </si>
  <si>
    <r>
      <t>b</t>
    </r>
    <r>
      <rPr>
        <vertAlign val="subscript"/>
        <sz val="11"/>
        <rFont val="Times New Roman"/>
        <family val="1"/>
      </rPr>
      <t>FL.U</t>
    </r>
  </si>
  <si>
    <r>
      <t>t</t>
    </r>
    <r>
      <rPr>
        <vertAlign val="subscript"/>
        <sz val="11"/>
        <rFont val="Times New Roman"/>
        <family val="1"/>
      </rPr>
      <t>FL.U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</si>
  <si>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</si>
  <si>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</si>
  <si>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FL.L</t>
    </r>
  </si>
  <si>
    <r>
      <t>t</t>
    </r>
    <r>
      <rPr>
        <vertAlign val="subscript"/>
        <sz val="11"/>
        <rFont val="Times New Roman"/>
        <family val="1"/>
      </rPr>
      <t>FL.L</t>
    </r>
  </si>
  <si>
    <r>
      <t>S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</si>
  <si>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bcy</t>
    </r>
  </si>
  <si>
    <r>
      <t>F</t>
    </r>
    <r>
      <rPr>
        <vertAlign val="subscript"/>
        <sz val="11"/>
        <rFont val="Times New Roman"/>
        <family val="1"/>
      </rPr>
      <t xml:space="preserve">bcy </t>
    </r>
  </si>
  <si>
    <r>
      <t>C</t>
    </r>
    <r>
      <rPr>
        <vertAlign val="subscript"/>
        <sz val="11"/>
        <rFont val="Times New Roman"/>
        <family val="1"/>
      </rPr>
      <t>b</t>
    </r>
  </si>
  <si>
    <r>
      <t>G</t>
    </r>
    <r>
      <rPr>
        <vertAlign val="subscript"/>
        <sz val="11"/>
        <rFont val="Times New Roman"/>
        <family val="1"/>
      </rPr>
      <t>A</t>
    </r>
  </si>
  <si>
    <r>
      <t>G</t>
    </r>
    <r>
      <rPr>
        <vertAlign val="subscript"/>
        <sz val="11"/>
        <rFont val="Times New Roman"/>
        <family val="1"/>
      </rPr>
      <t>B</t>
    </r>
  </si>
  <si>
    <r>
      <t>L</t>
    </r>
    <r>
      <rPr>
        <vertAlign val="subscript"/>
        <sz val="11"/>
        <color indexed="8"/>
        <rFont val="Times New Roman"/>
        <family val="1"/>
      </rPr>
      <t>bout</t>
    </r>
  </si>
  <si>
    <r>
      <t>l</t>
    </r>
    <r>
      <rPr>
        <vertAlign val="subscript"/>
        <sz val="11"/>
        <color indexed="8"/>
        <rFont val="Times New Roman"/>
        <family val="1"/>
      </rPr>
      <t>in</t>
    </r>
  </si>
  <si>
    <r>
      <t>l</t>
    </r>
    <r>
      <rPr>
        <vertAlign val="subscript"/>
        <sz val="11"/>
        <color indexed="8"/>
        <rFont val="Times New Roman"/>
        <family val="1"/>
      </rPr>
      <t>out</t>
    </r>
  </si>
  <si>
    <r>
      <t>l</t>
    </r>
    <r>
      <rPr>
        <vertAlign val="subscript"/>
        <sz val="11"/>
        <color indexed="8"/>
        <rFont val="Times New Roman"/>
        <family val="1"/>
      </rPr>
      <t>max</t>
    </r>
  </si>
  <si>
    <r>
      <t>F</t>
    </r>
    <r>
      <rPr>
        <vertAlign val="subscript"/>
        <sz val="11"/>
        <color indexed="8"/>
        <rFont val="Times New Roman"/>
        <family val="1"/>
      </rPr>
      <t>c</t>
    </r>
  </si>
  <si>
    <r>
      <t>t/cm</t>
    </r>
    <r>
      <rPr>
        <vertAlign val="superscript"/>
        <sz val="11"/>
        <color indexed="8"/>
        <rFont val="Times New Roman"/>
        <family val="1"/>
      </rPr>
      <t>2</t>
    </r>
  </si>
  <si>
    <r>
      <t>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c</t>
    </r>
  </si>
  <si>
    <r>
      <t>C</t>
    </r>
    <r>
      <rPr>
        <vertAlign val="subscript"/>
        <sz val="11"/>
        <color indexed="8"/>
        <rFont val="Times New Roman"/>
        <family val="1"/>
      </rPr>
      <t>mx</t>
    </r>
  </si>
  <si>
    <r>
      <t>A</t>
    </r>
    <r>
      <rPr>
        <vertAlign val="subscript"/>
        <sz val="11"/>
        <color indexed="8"/>
        <rFont val="Times New Roman"/>
        <family val="1"/>
      </rPr>
      <t>1</t>
    </r>
  </si>
  <si>
    <r>
      <t>C</t>
    </r>
    <r>
      <rPr>
        <vertAlign val="subscript"/>
        <sz val="11"/>
        <color indexed="8"/>
        <rFont val="Times New Roman"/>
        <family val="1"/>
      </rPr>
      <t>my</t>
    </r>
  </si>
  <si>
    <r>
      <t>A</t>
    </r>
    <r>
      <rPr>
        <vertAlign val="subscript"/>
        <sz val="11"/>
        <color indexed="8"/>
        <rFont val="Times New Roman"/>
        <family val="1"/>
      </rPr>
      <t>2</t>
    </r>
  </si>
  <si>
    <r>
      <t>( 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 xml:space="preserve">c </t>
    </r>
    <r>
      <rPr>
        <sz val="11"/>
        <color indexed="8"/>
        <rFont val="Times New Roman"/>
        <family val="1"/>
      </rPr>
      <t>) + (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+(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=</t>
    </r>
  </si>
  <si>
    <t>( SC-1 )</t>
  </si>
  <si>
    <t>CHECKING AND PACKING HALL</t>
  </si>
  <si>
    <t>Iflange</t>
  </si>
  <si>
    <t>Aflange</t>
  </si>
  <si>
    <t>Steel grade</t>
  </si>
  <si>
    <t>St.37</t>
  </si>
  <si>
    <t>St.44</t>
  </si>
  <si>
    <t>St.52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</si>
  <si>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</si>
  <si>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</si>
  <si>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if Mx2 at the other side put -ve sign</t>
  </si>
  <si>
    <t>Base type                                      =</t>
  </si>
  <si>
    <t>Hinged</t>
  </si>
  <si>
    <t>Fixed</t>
  </si>
  <si>
    <t>( SC-8 )</t>
  </si>
</sst>
</file>

<file path=xl/styles.xml><?xml version="1.0" encoding="utf-8"?>
<styleSheet xmlns="http://schemas.openxmlformats.org/spreadsheetml/2006/main">
  <numFmts count="6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0"/>
    </font>
    <font>
      <sz val="12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GreekC"/>
      <family val="0"/>
    </font>
    <font>
      <vertAlign val="superscript"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0"/>
      <name val="Times New Roman"/>
      <family val="1"/>
    </font>
    <font>
      <sz val="8"/>
      <name val="Tahoma"/>
      <family val="2"/>
    </font>
    <font>
      <vertAlign val="subscript"/>
      <sz val="10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4">
    <xf numFmtId="201" fontId="0" fillId="0" borderId="0" xfId="0" applyAlignment="1">
      <alignment/>
    </xf>
    <xf numFmtId="201" fontId="36" fillId="0" borderId="10" xfId="0" applyFont="1" applyFill="1" applyBorder="1" applyAlignment="1" applyProtection="1">
      <alignment horizontal="left" vertical="center"/>
      <protection hidden="1"/>
    </xf>
    <xf numFmtId="201" fontId="37" fillId="0" borderId="11" xfId="0" applyFont="1" applyFill="1" applyBorder="1" applyAlignment="1" applyProtection="1">
      <alignment horizontal="left"/>
      <protection hidden="1"/>
    </xf>
    <xf numFmtId="201" fontId="38" fillId="0" borderId="12" xfId="0" applyFont="1" applyFill="1" applyBorder="1" applyAlignment="1" applyProtection="1">
      <alignment horizontal="left"/>
      <protection hidden="1"/>
    </xf>
    <xf numFmtId="201" fontId="39" fillId="0" borderId="12" xfId="0" applyFont="1" applyFill="1" applyBorder="1" applyAlignment="1" applyProtection="1">
      <alignment horizontal="left"/>
      <protection hidden="1"/>
    </xf>
    <xf numFmtId="201" fontId="39" fillId="0" borderId="13" xfId="0" applyFont="1" applyFill="1" applyBorder="1" applyAlignment="1" applyProtection="1">
      <alignment horizontal="left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0" fillId="0" borderId="15" xfId="0" applyFont="1" applyFill="1" applyBorder="1" applyAlignment="1" applyProtection="1">
      <alignment horizontal="center" vertical="center"/>
      <protection hidden="1"/>
    </xf>
    <xf numFmtId="201" fontId="8" fillId="0" borderId="15" xfId="0" applyFont="1" applyBorder="1" applyAlignment="1" applyProtection="1">
      <alignment horizontal="center" vertical="center"/>
      <protection locked="0"/>
    </xf>
    <xf numFmtId="201" fontId="0" fillId="0" borderId="16" xfId="0" applyBorder="1" applyAlignment="1" applyProtection="1">
      <alignment/>
      <protection locked="0"/>
    </xf>
    <xf numFmtId="201" fontId="8" fillId="0" borderId="17" xfId="0" applyFont="1" applyBorder="1" applyAlignment="1" applyProtection="1">
      <alignment horizontal="center" vertical="center"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Border="1" applyAlignment="1" applyProtection="1">
      <alignment/>
      <protection locked="0"/>
    </xf>
    <xf numFmtId="201" fontId="0" fillId="0" borderId="20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14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48" fillId="0" borderId="22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0" fillId="0" borderId="24" xfId="0" applyBorder="1" applyAlignment="1" applyProtection="1">
      <alignment/>
      <protection hidden="1"/>
    </xf>
    <xf numFmtId="201" fontId="4" fillId="0" borderId="12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01" fontId="8" fillId="0" borderId="12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11" fillId="0" borderId="25" xfId="0" applyFont="1" applyBorder="1" applyAlignment="1" applyProtection="1">
      <alignment horizontal="center"/>
      <protection hidden="1"/>
    </xf>
    <xf numFmtId="201" fontId="11" fillId="0" borderId="0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8" fillId="0" borderId="12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8" fillId="0" borderId="25" xfId="0" applyFont="1" applyBorder="1" applyAlignment="1" applyProtection="1">
      <alignment/>
      <protection hidden="1"/>
    </xf>
    <xf numFmtId="201" fontId="4" fillId="0" borderId="12" xfId="0" applyFont="1" applyBorder="1" applyAlignment="1" applyProtection="1">
      <alignment horizontal="left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01" fontId="8" fillId="0" borderId="12" xfId="0" applyFont="1" applyBorder="1" applyAlignment="1" applyProtection="1">
      <alignment horizontal="left"/>
      <protection hidden="1"/>
    </xf>
    <xf numFmtId="201" fontId="19" fillId="0" borderId="0" xfId="0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 horizontal="left"/>
      <protection hidden="1"/>
    </xf>
    <xf numFmtId="201" fontId="8" fillId="0" borderId="0" xfId="0" applyFont="1" applyBorder="1" applyAlignment="1" applyProtection="1">
      <alignment horizontal="right"/>
      <protection hidden="1"/>
    </xf>
    <xf numFmtId="201" fontId="0" fillId="0" borderId="25" xfId="0" applyBorder="1" applyAlignment="1" applyProtection="1">
      <alignment/>
      <protection hidden="1"/>
    </xf>
    <xf numFmtId="201" fontId="7" fillId="0" borderId="0" xfId="0" applyFont="1" applyBorder="1" applyAlignment="1" applyProtection="1">
      <alignment/>
      <protection hidden="1"/>
    </xf>
    <xf numFmtId="201" fontId="7" fillId="0" borderId="25" xfId="0" applyFont="1" applyBorder="1" applyAlignment="1" applyProtection="1">
      <alignment/>
      <protection hidden="1"/>
    </xf>
    <xf numFmtId="201" fontId="8" fillId="0" borderId="12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01" fontId="40" fillId="0" borderId="25" xfId="0" applyFont="1" applyBorder="1" applyAlignment="1" applyProtection="1">
      <alignment horizontal="center"/>
      <protection hidden="1"/>
    </xf>
    <xf numFmtId="201" fontId="5" fillId="0" borderId="12" xfId="0" applyFont="1" applyBorder="1" applyAlignment="1" applyProtection="1">
      <alignment horizontal="center"/>
      <protection hidden="1"/>
    </xf>
    <xf numFmtId="201" fontId="8" fillId="0" borderId="25" xfId="0" applyFont="1" applyBorder="1" applyAlignment="1" applyProtection="1">
      <alignment horizontal="center"/>
      <protection hidden="1"/>
    </xf>
    <xf numFmtId="201" fontId="8" fillId="0" borderId="24" xfId="0" applyFont="1" applyBorder="1" applyAlignment="1" applyProtection="1">
      <alignment/>
      <protection hidden="1"/>
    </xf>
    <xf numFmtId="201" fontId="8" fillId="0" borderId="21" xfId="0" applyFont="1" applyBorder="1" applyAlignment="1" applyProtection="1">
      <alignment/>
      <protection hidden="1"/>
    </xf>
    <xf numFmtId="201" fontId="13" fillId="0" borderId="0" xfId="0" applyFont="1" applyBorder="1" applyAlignment="1" applyProtection="1">
      <alignment horizontal="left"/>
      <protection hidden="1"/>
    </xf>
    <xf numFmtId="201" fontId="11" fillId="0" borderId="0" xfId="0" applyFont="1" applyBorder="1" applyAlignment="1" applyProtection="1">
      <alignment horizontal="left"/>
      <protection hidden="1"/>
    </xf>
    <xf numFmtId="201" fontId="16" fillId="0" borderId="12" xfId="0" applyFont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left"/>
      <protection hidden="1"/>
    </xf>
    <xf numFmtId="201" fontId="8" fillId="0" borderId="0" xfId="0" applyNumberFormat="1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01" fontId="0" fillId="0" borderId="13" xfId="0" applyBorder="1" applyAlignment="1" applyProtection="1">
      <alignment/>
      <protection hidden="1"/>
    </xf>
    <xf numFmtId="201" fontId="0" fillId="0" borderId="26" xfId="0" applyBorder="1" applyAlignment="1" applyProtection="1">
      <alignment/>
      <protection hidden="1"/>
    </xf>
    <xf numFmtId="201" fontId="8" fillId="0" borderId="0" xfId="0" applyFont="1" applyAlignment="1" applyProtection="1">
      <alignment/>
      <protection hidden="1"/>
    </xf>
    <xf numFmtId="201" fontId="8" fillId="0" borderId="0" xfId="0" applyFont="1" applyAlignment="1" applyProtection="1" quotePrefix="1">
      <alignment horizontal="center"/>
      <protection hidden="1"/>
    </xf>
    <xf numFmtId="201" fontId="8" fillId="0" borderId="0" xfId="0" applyFont="1" applyAlignment="1" applyProtection="1">
      <alignment horizontal="center"/>
      <protection hidden="1"/>
    </xf>
    <xf numFmtId="201" fontId="8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/>
      <protection hidden="1"/>
    </xf>
    <xf numFmtId="201" fontId="4" fillId="0" borderId="11" xfId="0" applyFont="1" applyBorder="1" applyAlignment="1" applyProtection="1">
      <alignment/>
      <protection hidden="1"/>
    </xf>
    <xf numFmtId="201" fontId="0" fillId="0" borderId="12" xfId="0" applyFont="1" applyBorder="1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2" xfId="0" applyBorder="1" applyAlignment="1" applyProtection="1">
      <alignment/>
      <protection hidden="1"/>
    </xf>
    <xf numFmtId="201" fontId="0" fillId="0" borderId="21" xfId="0" applyFont="1" applyBorder="1" applyAlignment="1" applyProtection="1">
      <alignment/>
      <protection hidden="1"/>
    </xf>
    <xf numFmtId="201" fontId="5" fillId="0" borderId="21" xfId="0" applyFont="1" applyBorder="1" applyAlignment="1" applyProtection="1">
      <alignment/>
      <protection hidden="1"/>
    </xf>
    <xf numFmtId="201" fontId="15" fillId="0" borderId="21" xfId="0" applyFont="1" applyBorder="1" applyAlignment="1" applyProtection="1">
      <alignment/>
      <protection hidden="1"/>
    </xf>
    <xf numFmtId="201" fontId="6" fillId="0" borderId="21" xfId="0" applyFont="1" applyBorder="1" applyAlignment="1" applyProtection="1">
      <alignment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01" fontId="0" fillId="0" borderId="0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8" fillId="0" borderId="12" xfId="0" applyFont="1" applyFill="1" applyBorder="1" applyAlignment="1" applyProtection="1">
      <alignment horizontal="center"/>
      <protection hidden="1"/>
    </xf>
    <xf numFmtId="201" fontId="41" fillId="0" borderId="0" xfId="0" applyFont="1" applyBorder="1" applyAlignment="1" applyProtection="1">
      <alignment/>
      <protection hidden="1"/>
    </xf>
    <xf numFmtId="201" fontId="8" fillId="0" borderId="0" xfId="0" applyFont="1" applyFill="1" applyBorder="1" applyAlignment="1" applyProtection="1">
      <alignment/>
      <protection hidden="1"/>
    </xf>
    <xf numFmtId="201" fontId="8" fillId="0" borderId="0" xfId="0" applyFont="1" applyBorder="1" applyAlignment="1" applyProtection="1" quotePrefix="1">
      <alignment horizontal="center"/>
      <protection hidden="1"/>
    </xf>
    <xf numFmtId="201" fontId="0" fillId="0" borderId="24" xfId="0" applyFont="1" applyBorder="1" applyAlignment="1" applyProtection="1">
      <alignment/>
      <protection hidden="1"/>
    </xf>
    <xf numFmtId="2" fontId="8" fillId="0" borderId="25" xfId="0" applyNumberFormat="1" applyFont="1" applyBorder="1" applyAlignment="1" applyProtection="1">
      <alignment horizontal="center"/>
      <protection hidden="1"/>
    </xf>
    <xf numFmtId="201" fontId="8" fillId="18" borderId="0" xfId="0" applyFont="1" applyFill="1" applyBorder="1" applyAlignment="1" applyProtection="1">
      <alignment/>
      <protection hidden="1"/>
    </xf>
    <xf numFmtId="2" fontId="8" fillId="0" borderId="0" xfId="0" applyNumberFormat="1" applyFont="1" applyBorder="1" applyAlignment="1" applyProtection="1" quotePrefix="1">
      <alignment horizontal="center"/>
      <protection hidden="1"/>
    </xf>
    <xf numFmtId="201" fontId="7" fillId="0" borderId="12" xfId="0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01" fontId="44" fillId="0" borderId="12" xfId="0" applyFont="1" applyBorder="1" applyAlignment="1" applyProtection="1">
      <alignment horizontal="center"/>
      <protection hidden="1"/>
    </xf>
    <xf numFmtId="201" fontId="44" fillId="0" borderId="0" xfId="0" applyFont="1" applyBorder="1" applyAlignment="1" applyProtection="1">
      <alignment horizontal="center"/>
      <protection hidden="1"/>
    </xf>
    <xf numFmtId="201" fontId="7" fillId="0" borderId="0" xfId="0" applyFont="1" applyBorder="1" applyAlignment="1" applyProtection="1">
      <alignment horizontal="center"/>
      <protection hidden="1"/>
    </xf>
    <xf numFmtId="201" fontId="0" fillId="0" borderId="0" xfId="0" applyFont="1" applyBorder="1" applyAlignment="1" applyProtection="1">
      <alignment/>
      <protection hidden="1"/>
    </xf>
    <xf numFmtId="201" fontId="0" fillId="0" borderId="25" xfId="0" applyFont="1" applyBorder="1" applyAlignment="1" applyProtection="1">
      <alignment/>
      <protection hidden="1"/>
    </xf>
    <xf numFmtId="201" fontId="46" fillId="0" borderId="0" xfId="0" applyFont="1" applyBorder="1" applyAlignment="1" applyProtection="1">
      <alignment/>
      <protection hidden="1"/>
    </xf>
    <xf numFmtId="201" fontId="46" fillId="0" borderId="25" xfId="0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01" fontId="13" fillId="0" borderId="0" xfId="0" applyFont="1" applyBorder="1" applyAlignment="1" applyProtection="1">
      <alignment/>
      <protection hidden="1"/>
    </xf>
    <xf numFmtId="205" fontId="8" fillId="0" borderId="0" xfId="0" applyNumberFormat="1" applyFont="1" applyAlignment="1" applyProtection="1">
      <alignment/>
      <protection hidden="1"/>
    </xf>
    <xf numFmtId="201" fontId="5" fillId="0" borderId="0" xfId="0" applyFont="1" applyBorder="1" applyAlignment="1" applyProtection="1">
      <alignment horizontal="left"/>
      <protection hidden="1"/>
    </xf>
    <xf numFmtId="1" fontId="0" fillId="0" borderId="0" xfId="0" applyNumberFormat="1" applyAlignment="1" applyProtection="1">
      <alignment horizontal="center"/>
      <protection hidden="1"/>
    </xf>
    <xf numFmtId="201" fontId="16" fillId="0" borderId="0" xfId="0" applyFont="1" applyAlignment="1" applyProtection="1">
      <alignment horizontal="center"/>
      <protection hidden="1"/>
    </xf>
    <xf numFmtId="201" fontId="0" fillId="0" borderId="27" xfId="0" applyBorder="1" applyAlignment="1" applyProtection="1">
      <alignment/>
      <protection hidden="1"/>
    </xf>
    <xf numFmtId="201" fontId="42" fillId="0" borderId="0" xfId="0" applyFont="1" applyAlignment="1" applyProtection="1">
      <alignment horizontal="center"/>
      <protection hidden="1"/>
    </xf>
    <xf numFmtId="201" fontId="0" fillId="0" borderId="0" xfId="0" applyBorder="1" applyAlignment="1" applyProtection="1">
      <alignment horizontal="right"/>
      <protection hidden="1"/>
    </xf>
    <xf numFmtId="201" fontId="0" fillId="0" borderId="27" xfId="0" applyBorder="1" applyAlignment="1" applyProtection="1">
      <alignment horizontal="right"/>
      <protection hidden="1"/>
    </xf>
    <xf numFmtId="201" fontId="19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204" fontId="8" fillId="0" borderId="0" xfId="0" applyNumberFormat="1" applyFont="1" applyBorder="1" applyAlignment="1" applyProtection="1">
      <alignment horizontal="center"/>
      <protection hidden="1"/>
    </xf>
    <xf numFmtId="201" fontId="0" fillId="0" borderId="28" xfId="0" applyBorder="1" applyAlignment="1" applyProtection="1">
      <alignment/>
      <protection locked="0"/>
    </xf>
    <xf numFmtId="201" fontId="0" fillId="0" borderId="29" xfId="0" applyBorder="1" applyAlignment="1" applyProtection="1">
      <alignment/>
      <protection locked="0"/>
    </xf>
    <xf numFmtId="201" fontId="0" fillId="0" borderId="30" xfId="0" applyBorder="1" applyAlignment="1" applyProtection="1">
      <alignment/>
      <protection locked="0"/>
    </xf>
    <xf numFmtId="201" fontId="13" fillId="0" borderId="0" xfId="0" applyFont="1" applyAlignment="1" applyProtection="1">
      <alignment/>
      <protection hidden="1"/>
    </xf>
    <xf numFmtId="201" fontId="47" fillId="0" borderId="0" xfId="0" applyFont="1" applyAlignment="1" applyProtection="1">
      <alignment horizontal="center"/>
      <protection hidden="1"/>
    </xf>
    <xf numFmtId="201" fontId="47" fillId="0" borderId="0" xfId="0" applyFont="1" applyFill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4" fontId="8" fillId="0" borderId="0" xfId="0" applyNumberFormat="1" applyFont="1" applyFill="1" applyBorder="1" applyAlignment="1" applyProtection="1">
      <alignment horizontal="center"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11" fontId="8" fillId="0" borderId="0" xfId="0" applyNumberFormat="1" applyFont="1" applyBorder="1" applyAlignment="1" applyProtection="1">
      <alignment horizontal="center"/>
      <protection hidden="1"/>
    </xf>
    <xf numFmtId="201" fontId="41" fillId="0" borderId="0" xfId="0" applyFont="1" applyBorder="1" applyAlignment="1" applyProtection="1">
      <alignment/>
      <protection locked="0"/>
    </xf>
    <xf numFmtId="201" fontId="36" fillId="0" borderId="0" xfId="0" applyFont="1" applyFill="1" applyBorder="1" applyAlignment="1" applyProtection="1">
      <alignment horizontal="left" vertical="center"/>
      <protection hidden="1"/>
    </xf>
    <xf numFmtId="201" fontId="11" fillId="0" borderId="0" xfId="0" applyFont="1" applyBorder="1" applyAlignment="1" applyProtection="1">
      <alignment horizontal="center"/>
      <protection hidden="1"/>
    </xf>
    <xf numFmtId="201" fontId="40" fillId="0" borderId="0" xfId="0" applyFont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locked="0"/>
    </xf>
    <xf numFmtId="201" fontId="50" fillId="0" borderId="0" xfId="0" applyFont="1" applyBorder="1" applyAlignment="1" applyProtection="1">
      <alignment horizontal="left"/>
      <protection hidden="1"/>
    </xf>
    <xf numFmtId="201" fontId="50" fillId="0" borderId="0" xfId="0" applyFont="1" applyBorder="1" applyAlignment="1" applyProtection="1" quotePrefix="1">
      <alignment horizontal="center"/>
      <protection hidden="1"/>
    </xf>
    <xf numFmtId="201" fontId="50" fillId="0" borderId="0" xfId="0" applyFont="1" applyBorder="1" applyAlignment="1" applyProtection="1">
      <alignment/>
      <protection hidden="1"/>
    </xf>
    <xf numFmtId="201" fontId="51" fillId="0" borderId="0" xfId="0" applyFont="1" applyBorder="1" applyAlignment="1" applyProtection="1">
      <alignment horizontal="left"/>
      <protection hidden="1"/>
    </xf>
    <xf numFmtId="201" fontId="0" fillId="0" borderId="0" xfId="0" applyBorder="1" applyAlignment="1" applyProtection="1">
      <alignment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201" fontId="7" fillId="0" borderId="12" xfId="0" applyFont="1" applyBorder="1" applyAlignment="1" applyProtection="1">
      <alignment/>
      <protection hidden="1"/>
    </xf>
    <xf numFmtId="201" fontId="8" fillId="0" borderId="13" xfId="0" applyFont="1" applyBorder="1" applyAlignment="1" applyProtection="1">
      <alignment horizontal="center"/>
      <protection hidden="1"/>
    </xf>
    <xf numFmtId="2" fontId="8" fillId="0" borderId="24" xfId="0" applyNumberFormat="1" applyFont="1" applyBorder="1" applyAlignment="1" applyProtection="1">
      <alignment horizontal="center"/>
      <protection hidden="1"/>
    </xf>
    <xf numFmtId="201" fontId="8" fillId="0" borderId="24" xfId="0" applyFont="1" applyBorder="1" applyAlignment="1" applyProtection="1">
      <alignment horizontal="center"/>
      <protection hidden="1"/>
    </xf>
    <xf numFmtId="2" fontId="8" fillId="0" borderId="26" xfId="0" applyNumberFormat="1" applyFont="1" applyBorder="1" applyAlignment="1" applyProtection="1">
      <alignment horizontal="center"/>
      <protection hidden="1"/>
    </xf>
    <xf numFmtId="201" fontId="4" fillId="0" borderId="11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201" fontId="5" fillId="0" borderId="28" xfId="0" applyFont="1" applyBorder="1" applyAlignment="1" applyProtection="1">
      <alignment horizontal="center"/>
      <protection locked="0"/>
    </xf>
    <xf numFmtId="201" fontId="38" fillId="0" borderId="11" xfId="0" applyFont="1" applyBorder="1" applyAlignment="1" applyProtection="1">
      <alignment horizontal="center" vertical="center"/>
      <protection hidden="1"/>
    </xf>
    <xf numFmtId="201" fontId="38" fillId="0" borderId="28" xfId="0" applyFont="1" applyBorder="1" applyAlignment="1" applyProtection="1">
      <alignment horizontal="center" vertical="center"/>
      <protection hidden="1"/>
    </xf>
    <xf numFmtId="201" fontId="38" fillId="0" borderId="13" xfId="0" applyFont="1" applyBorder="1" applyAlignment="1" applyProtection="1">
      <alignment horizontal="center" vertical="center"/>
      <protection hidden="1"/>
    </xf>
    <xf numFmtId="201" fontId="38" fillId="0" borderId="30" xfId="0" applyFont="1" applyBorder="1" applyAlignment="1" applyProtection="1">
      <alignment horizontal="center" vertical="center"/>
      <protection hidden="1"/>
    </xf>
    <xf numFmtId="0" fontId="49" fillId="0" borderId="13" xfId="57" applyFont="1" applyBorder="1" applyAlignment="1" applyProtection="1">
      <alignment horizontal="center"/>
      <protection locked="0"/>
    </xf>
    <xf numFmtId="0" fontId="48" fillId="0" borderId="24" xfId="57" applyFont="1" applyBorder="1" applyAlignment="1" applyProtection="1">
      <alignment horizontal="center"/>
      <protection locked="0"/>
    </xf>
    <xf numFmtId="0" fontId="48" fillId="0" borderId="30" xfId="57" applyFont="1" applyBorder="1" applyAlignment="1" applyProtection="1">
      <alignment horizontal="center"/>
      <protection locked="0"/>
    </xf>
    <xf numFmtId="201" fontId="8" fillId="0" borderId="0" xfId="0" applyFont="1" applyBorder="1" applyAlignment="1" applyProtection="1">
      <alignment horizontal="center" vertical="center"/>
      <protection hidden="1"/>
    </xf>
    <xf numFmtId="201" fontId="13" fillId="0" borderId="0" xfId="0" applyFont="1" applyBorder="1" applyAlignment="1" applyProtection="1">
      <alignment horizontal="center"/>
      <protection hidden="1"/>
    </xf>
    <xf numFmtId="201" fontId="8" fillId="0" borderId="12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color indexed="50"/>
      </font>
    </dxf>
    <dxf>
      <font>
        <color indexed="50"/>
      </font>
    </dxf>
    <dxf>
      <font>
        <color indexed="50"/>
      </font>
    </dxf>
    <dxf>
      <font>
        <color indexed="50"/>
      </font>
    </dxf>
    <dxf>
      <font>
        <color indexed="10"/>
      </font>
    </dxf>
    <dxf>
      <font>
        <color indexed="50"/>
      </font>
    </dxf>
    <dxf>
      <font>
        <color indexed="50"/>
      </font>
    </dxf>
    <dxf>
      <font>
        <color indexed="10"/>
      </font>
    </dxf>
    <dxf>
      <font>
        <color indexed="50"/>
      </font>
    </dxf>
    <dxf>
      <font>
        <color indexed="50"/>
      </font>
    </dxf>
    <dxf>
      <font>
        <color indexed="50"/>
      </font>
    </dxf>
    <dxf>
      <font>
        <color indexed="50"/>
      </font>
    </dxf>
    <dxf>
      <font>
        <color indexed="10"/>
      </font>
    </dxf>
    <dxf>
      <font>
        <color indexed="50"/>
      </font>
    </dxf>
    <dxf>
      <font>
        <color indexed="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25</xdr:row>
      <xdr:rowOff>66675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1719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523875</xdr:colOff>
      <xdr:row>37</xdr:row>
      <xdr:rowOff>47625</xdr:rowOff>
    </xdr:from>
    <xdr:to>
      <xdr:col>0</xdr:col>
      <xdr:colOff>638175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>
          <a:off x="523875" y="7705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26</xdr:row>
      <xdr:rowOff>95250</xdr:rowOff>
    </xdr:from>
    <xdr:to>
      <xdr:col>5</xdr:col>
      <xdr:colOff>666750</xdr:colOff>
      <xdr:row>27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72025" y="55435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628650</xdr:colOff>
      <xdr:row>14</xdr:row>
      <xdr:rowOff>95250</xdr:rowOff>
    </xdr:from>
    <xdr:to>
      <xdr:col>5</xdr:col>
      <xdr:colOff>666750</xdr:colOff>
      <xdr:row>15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33925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772025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990600"/>
          <a:ext cx="2143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36</xdr:row>
      <xdr:rowOff>38100</xdr:rowOff>
    </xdr:from>
    <xdr:to>
      <xdr:col>0</xdr:col>
      <xdr:colOff>638175</xdr:colOff>
      <xdr:row>36</xdr:row>
      <xdr:rowOff>38100</xdr:rowOff>
    </xdr:to>
    <xdr:sp>
      <xdr:nvSpPr>
        <xdr:cNvPr id="7" name="Line 7"/>
        <xdr:cNvSpPr>
          <a:spLocks/>
        </xdr:cNvSpPr>
      </xdr:nvSpPr>
      <xdr:spPr>
        <a:xfrm>
          <a:off x="523875" y="7467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0</xdr:rowOff>
    </xdr:from>
    <xdr:to>
      <xdr:col>8</xdr:col>
      <xdr:colOff>495300</xdr:colOff>
      <xdr:row>32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010275" y="662940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  <xdr:oneCellAnchor>
    <xdr:from>
      <xdr:col>5</xdr:col>
      <xdr:colOff>66675</xdr:colOff>
      <xdr:row>13</xdr:row>
      <xdr:rowOff>66675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41719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666750</xdr:colOff>
      <xdr:row>14</xdr:row>
      <xdr:rowOff>95250</xdr:rowOff>
    </xdr:from>
    <xdr:to>
      <xdr:col>5</xdr:col>
      <xdr:colOff>666750</xdr:colOff>
      <xdr:row>15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772025" y="3143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46</xdr:row>
      <xdr:rowOff>66675</xdr:rowOff>
    </xdr:from>
    <xdr:ext cx="76200" cy="200025"/>
    <xdr:sp>
      <xdr:nvSpPr>
        <xdr:cNvPr id="11" name="Text Box 12"/>
        <xdr:cNvSpPr txBox="1">
          <a:spLocks noChangeArrowheads="1"/>
        </xdr:cNvSpPr>
      </xdr:nvSpPr>
      <xdr:spPr>
        <a:xfrm>
          <a:off x="4171950" y="972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628650</xdr:colOff>
      <xdr:row>35</xdr:row>
      <xdr:rowOff>95250</xdr:rowOff>
    </xdr:from>
    <xdr:to>
      <xdr:col>5</xdr:col>
      <xdr:colOff>666750</xdr:colOff>
      <xdr:row>36</xdr:row>
      <xdr:rowOff>95250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33925" y="72961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666750</xdr:colOff>
      <xdr:row>37</xdr:row>
      <xdr:rowOff>66675</xdr:rowOff>
    </xdr:from>
    <xdr:to>
      <xdr:col>6</xdr:col>
      <xdr:colOff>57150</xdr:colOff>
      <xdr:row>38</xdr:row>
      <xdr:rowOff>114300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4772025" y="77247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oneCellAnchor>
    <xdr:from>
      <xdr:col>5</xdr:col>
      <xdr:colOff>66675</xdr:colOff>
      <xdr:row>34</xdr:row>
      <xdr:rowOff>66675</xdr:rowOff>
    </xdr:from>
    <xdr:ext cx="76200" cy="200025"/>
    <xdr:sp>
      <xdr:nvSpPr>
        <xdr:cNvPr id="14" name="Text Box 15"/>
        <xdr:cNvSpPr txBox="1">
          <a:spLocks noChangeArrowheads="1"/>
        </xdr:cNvSpPr>
      </xdr:nvSpPr>
      <xdr:spPr>
        <a:xfrm>
          <a:off x="417195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666750</xdr:colOff>
      <xdr:row>35</xdr:row>
      <xdr:rowOff>95250</xdr:rowOff>
    </xdr:from>
    <xdr:to>
      <xdr:col>5</xdr:col>
      <xdr:colOff>666750</xdr:colOff>
      <xdr:row>36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4772025" y="7296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36</xdr:row>
      <xdr:rowOff>66675</xdr:rowOff>
    </xdr:from>
    <xdr:ext cx="76200" cy="200025"/>
    <xdr:sp>
      <xdr:nvSpPr>
        <xdr:cNvPr id="16" name="Text Box 17"/>
        <xdr:cNvSpPr txBox="1">
          <a:spLocks noChangeArrowheads="1"/>
        </xdr:cNvSpPr>
      </xdr:nvSpPr>
      <xdr:spPr>
        <a:xfrm>
          <a:off x="4171950" y="749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628650</xdr:colOff>
      <xdr:row>25</xdr:row>
      <xdr:rowOff>95250</xdr:rowOff>
    </xdr:from>
    <xdr:to>
      <xdr:col>5</xdr:col>
      <xdr:colOff>666750</xdr:colOff>
      <xdr:row>26</xdr:row>
      <xdr:rowOff>95250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4733925" y="5353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666750</xdr:colOff>
      <xdr:row>27</xdr:row>
      <xdr:rowOff>66675</xdr:rowOff>
    </xdr:from>
    <xdr:to>
      <xdr:col>6</xdr:col>
      <xdr:colOff>57150</xdr:colOff>
      <xdr:row>28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4772025" y="57054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666750</xdr:colOff>
      <xdr:row>29</xdr:row>
      <xdr:rowOff>0</xdr:rowOff>
    </xdr:from>
    <xdr:to>
      <xdr:col>6</xdr:col>
      <xdr:colOff>19050</xdr:colOff>
      <xdr:row>29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4772025" y="6019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24</xdr:row>
      <xdr:rowOff>66675</xdr:rowOff>
    </xdr:from>
    <xdr:ext cx="76200" cy="200025"/>
    <xdr:sp>
      <xdr:nvSpPr>
        <xdr:cNvPr id="20" name="Text Box 21"/>
        <xdr:cNvSpPr txBox="1">
          <a:spLocks noChangeArrowheads="1"/>
        </xdr:cNvSpPr>
      </xdr:nvSpPr>
      <xdr:spPr>
        <a:xfrm>
          <a:off x="4171950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466725</xdr:colOff>
      <xdr:row>33</xdr:row>
      <xdr:rowOff>161925</xdr:rowOff>
    </xdr:from>
    <xdr:to>
      <xdr:col>7</xdr:col>
      <xdr:colOff>0</xdr:colOff>
      <xdr:row>34</xdr:row>
      <xdr:rowOff>38100</xdr:rowOff>
    </xdr:to>
    <xdr:sp>
      <xdr:nvSpPr>
        <xdr:cNvPr id="21" name="Rectangle 22"/>
        <xdr:cNvSpPr>
          <a:spLocks/>
        </xdr:cNvSpPr>
      </xdr:nvSpPr>
      <xdr:spPr>
        <a:xfrm>
          <a:off x="4572000" y="6981825"/>
          <a:ext cx="809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180975</xdr:rowOff>
    </xdr:from>
    <xdr:to>
      <xdr:col>5</xdr:col>
      <xdr:colOff>209550</xdr:colOff>
      <xdr:row>32</xdr:row>
      <xdr:rowOff>38100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962400" y="63912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8</xdr:col>
      <xdr:colOff>200025</xdr:colOff>
      <xdr:row>29</xdr:row>
      <xdr:rowOff>180975</xdr:rowOff>
    </xdr:from>
    <xdr:to>
      <xdr:col>8</xdr:col>
      <xdr:colOff>400050</xdr:colOff>
      <xdr:row>30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6191250" y="62007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24</xdr:row>
      <xdr:rowOff>142875</xdr:rowOff>
    </xdr:from>
    <xdr:to>
      <xdr:col>6</xdr:col>
      <xdr:colOff>323850</xdr:colOff>
      <xdr:row>25</xdr:row>
      <xdr:rowOff>123825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4829175" y="52101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666750</xdr:colOff>
      <xdr:row>25</xdr:row>
      <xdr:rowOff>95250</xdr:rowOff>
    </xdr:from>
    <xdr:to>
      <xdr:col>5</xdr:col>
      <xdr:colOff>666750</xdr:colOff>
      <xdr:row>26</xdr:row>
      <xdr:rowOff>38100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4772025" y="5353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24</xdr:row>
      <xdr:rowOff>142875</xdr:rowOff>
    </xdr:from>
    <xdr:to>
      <xdr:col>6</xdr:col>
      <xdr:colOff>228600</xdr:colOff>
      <xdr:row>25</xdr:row>
      <xdr:rowOff>9525</xdr:rowOff>
    </xdr:to>
    <xdr:sp>
      <xdr:nvSpPr>
        <xdr:cNvPr id="26" name="Line 27"/>
        <xdr:cNvSpPr>
          <a:spLocks/>
        </xdr:cNvSpPr>
      </xdr:nvSpPr>
      <xdr:spPr>
        <a:xfrm flipV="1">
          <a:off x="5000625" y="5210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76200</xdr:rowOff>
    </xdr:from>
    <xdr:to>
      <xdr:col>5</xdr:col>
      <xdr:colOff>466725</xdr:colOff>
      <xdr:row>27</xdr:row>
      <xdr:rowOff>171450</xdr:rowOff>
    </xdr:to>
    <xdr:sp>
      <xdr:nvSpPr>
        <xdr:cNvPr id="27" name="Line 28"/>
        <xdr:cNvSpPr>
          <a:spLocks/>
        </xdr:cNvSpPr>
      </xdr:nvSpPr>
      <xdr:spPr>
        <a:xfrm flipV="1">
          <a:off x="4572000" y="571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123825</xdr:rowOff>
    </xdr:from>
    <xdr:to>
      <xdr:col>6</xdr:col>
      <xdr:colOff>600075</xdr:colOff>
      <xdr:row>27</xdr:row>
      <xdr:rowOff>123825</xdr:rowOff>
    </xdr:to>
    <xdr:sp>
      <xdr:nvSpPr>
        <xdr:cNvPr id="28" name="Line 29"/>
        <xdr:cNvSpPr>
          <a:spLocks/>
        </xdr:cNvSpPr>
      </xdr:nvSpPr>
      <xdr:spPr>
        <a:xfrm>
          <a:off x="4572000" y="57626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34</xdr:row>
      <xdr:rowOff>57150</xdr:rowOff>
    </xdr:from>
    <xdr:to>
      <xdr:col>5</xdr:col>
      <xdr:colOff>476250</xdr:colOff>
      <xdr:row>34</xdr:row>
      <xdr:rowOff>152400</xdr:rowOff>
    </xdr:to>
    <xdr:sp>
      <xdr:nvSpPr>
        <xdr:cNvPr id="29" name="Line 30"/>
        <xdr:cNvSpPr>
          <a:spLocks/>
        </xdr:cNvSpPr>
      </xdr:nvSpPr>
      <xdr:spPr>
        <a:xfrm flipV="1">
          <a:off x="4581525" y="7067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57150</xdr:rowOff>
    </xdr:from>
    <xdr:to>
      <xdr:col>7</xdr:col>
      <xdr:colOff>0</xdr:colOff>
      <xdr:row>34</xdr:row>
      <xdr:rowOff>152400</xdr:rowOff>
    </xdr:to>
    <xdr:sp>
      <xdr:nvSpPr>
        <xdr:cNvPr id="30" name="Line 31"/>
        <xdr:cNvSpPr>
          <a:spLocks/>
        </xdr:cNvSpPr>
      </xdr:nvSpPr>
      <xdr:spPr>
        <a:xfrm flipV="1">
          <a:off x="5381625" y="7067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34</xdr:row>
      <xdr:rowOff>142875</xdr:rowOff>
    </xdr:from>
    <xdr:to>
      <xdr:col>7</xdr:col>
      <xdr:colOff>9525</xdr:colOff>
      <xdr:row>34</xdr:row>
      <xdr:rowOff>142875</xdr:rowOff>
    </xdr:to>
    <xdr:sp>
      <xdr:nvSpPr>
        <xdr:cNvPr id="31" name="Line 32"/>
        <xdr:cNvSpPr>
          <a:spLocks/>
        </xdr:cNvSpPr>
      </xdr:nvSpPr>
      <xdr:spPr>
        <a:xfrm>
          <a:off x="4581525" y="71532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38100</xdr:rowOff>
    </xdr:from>
    <xdr:to>
      <xdr:col>5</xdr:col>
      <xdr:colOff>419100</xdr:colOff>
      <xdr:row>28</xdr:row>
      <xdr:rowOff>38100</xdr:rowOff>
    </xdr:to>
    <xdr:sp>
      <xdr:nvSpPr>
        <xdr:cNvPr id="32" name="Line 33"/>
        <xdr:cNvSpPr>
          <a:spLocks/>
        </xdr:cNvSpPr>
      </xdr:nvSpPr>
      <xdr:spPr>
        <a:xfrm flipH="1">
          <a:off x="4267200" y="5867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104775</xdr:rowOff>
    </xdr:from>
    <xdr:to>
      <xdr:col>5</xdr:col>
      <xdr:colOff>419100</xdr:colOff>
      <xdr:row>28</xdr:row>
      <xdr:rowOff>104775</xdr:rowOff>
    </xdr:to>
    <xdr:sp>
      <xdr:nvSpPr>
        <xdr:cNvPr id="33" name="Line 34"/>
        <xdr:cNvSpPr>
          <a:spLocks/>
        </xdr:cNvSpPr>
      </xdr:nvSpPr>
      <xdr:spPr>
        <a:xfrm flipH="1">
          <a:off x="4267200" y="5934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161925</xdr:rowOff>
    </xdr:from>
    <xdr:to>
      <xdr:col>5</xdr:col>
      <xdr:colOff>419100</xdr:colOff>
      <xdr:row>33</xdr:row>
      <xdr:rowOff>161925</xdr:rowOff>
    </xdr:to>
    <xdr:sp>
      <xdr:nvSpPr>
        <xdr:cNvPr id="34" name="Line 35"/>
        <xdr:cNvSpPr>
          <a:spLocks/>
        </xdr:cNvSpPr>
      </xdr:nvSpPr>
      <xdr:spPr>
        <a:xfrm flipH="1">
          <a:off x="4267200" y="6981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34</xdr:row>
      <xdr:rowOff>38100</xdr:rowOff>
    </xdr:from>
    <xdr:to>
      <xdr:col>5</xdr:col>
      <xdr:colOff>428625</xdr:colOff>
      <xdr:row>34</xdr:row>
      <xdr:rowOff>38100</xdr:rowOff>
    </xdr:to>
    <xdr:sp>
      <xdr:nvSpPr>
        <xdr:cNvPr id="35" name="Line 36"/>
        <xdr:cNvSpPr>
          <a:spLocks/>
        </xdr:cNvSpPr>
      </xdr:nvSpPr>
      <xdr:spPr>
        <a:xfrm flipH="1">
          <a:off x="4276725" y="7048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28</xdr:row>
      <xdr:rowOff>95250</xdr:rowOff>
    </xdr:from>
    <xdr:to>
      <xdr:col>5</xdr:col>
      <xdr:colOff>180975</xdr:colOff>
      <xdr:row>33</xdr:row>
      <xdr:rowOff>171450</xdr:rowOff>
    </xdr:to>
    <xdr:sp>
      <xdr:nvSpPr>
        <xdr:cNvPr id="36" name="Line 37"/>
        <xdr:cNvSpPr>
          <a:spLocks/>
        </xdr:cNvSpPr>
      </xdr:nvSpPr>
      <xdr:spPr>
        <a:xfrm flipV="1">
          <a:off x="4286250" y="59245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27</xdr:row>
      <xdr:rowOff>95250</xdr:rowOff>
    </xdr:from>
    <xdr:to>
      <xdr:col>5</xdr:col>
      <xdr:colOff>257175</xdr:colOff>
      <xdr:row>28</xdr:row>
      <xdr:rowOff>47625</xdr:rowOff>
    </xdr:to>
    <xdr:sp>
      <xdr:nvSpPr>
        <xdr:cNvPr id="37" name="Line 38"/>
        <xdr:cNvSpPr>
          <a:spLocks/>
        </xdr:cNvSpPr>
      </xdr:nvSpPr>
      <xdr:spPr>
        <a:xfrm flipV="1">
          <a:off x="4362450" y="5734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190500</xdr:rowOff>
    </xdr:from>
    <xdr:to>
      <xdr:col>5</xdr:col>
      <xdr:colOff>257175</xdr:colOff>
      <xdr:row>34</xdr:row>
      <xdr:rowOff>95250</xdr:rowOff>
    </xdr:to>
    <xdr:sp>
      <xdr:nvSpPr>
        <xdr:cNvPr id="38" name="Line 39"/>
        <xdr:cNvSpPr>
          <a:spLocks/>
        </xdr:cNvSpPr>
      </xdr:nvSpPr>
      <xdr:spPr>
        <a:xfrm flipV="1">
          <a:off x="4362450" y="7010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34</xdr:row>
      <xdr:rowOff>76200</xdr:rowOff>
    </xdr:from>
    <xdr:to>
      <xdr:col>5</xdr:col>
      <xdr:colOff>257175</xdr:colOff>
      <xdr:row>35</xdr:row>
      <xdr:rowOff>19050</xdr:rowOff>
    </xdr:to>
    <xdr:sp>
      <xdr:nvSpPr>
        <xdr:cNvPr id="39" name="Line 40"/>
        <xdr:cNvSpPr>
          <a:spLocks/>
        </xdr:cNvSpPr>
      </xdr:nvSpPr>
      <xdr:spPr>
        <a:xfrm>
          <a:off x="4362450" y="7086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27</xdr:row>
      <xdr:rowOff>152400</xdr:rowOff>
    </xdr:from>
    <xdr:to>
      <xdr:col>5</xdr:col>
      <xdr:colOff>171450</xdr:colOff>
      <xdr:row>29</xdr:row>
      <xdr:rowOff>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3981450" y="579120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438150</xdr:colOff>
      <xdr:row>33</xdr:row>
      <xdr:rowOff>76200</xdr:rowOff>
    </xdr:from>
    <xdr:to>
      <xdr:col>5</xdr:col>
      <xdr:colOff>266700</xdr:colOff>
      <xdr:row>34</xdr:row>
      <xdr:rowOff>104775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3933825" y="689610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30</xdr:row>
      <xdr:rowOff>161925</xdr:rowOff>
    </xdr:from>
    <xdr:to>
      <xdr:col>8</xdr:col>
      <xdr:colOff>9525</xdr:colOff>
      <xdr:row>30</xdr:row>
      <xdr:rowOff>161925</xdr:rowOff>
    </xdr:to>
    <xdr:sp>
      <xdr:nvSpPr>
        <xdr:cNvPr id="42" name="Line 43"/>
        <xdr:cNvSpPr>
          <a:spLocks/>
        </xdr:cNvSpPr>
      </xdr:nvSpPr>
      <xdr:spPr>
        <a:xfrm>
          <a:off x="3600450" y="6372225"/>
          <a:ext cx="24003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4</xdr:col>
      <xdr:colOff>209550</xdr:colOff>
      <xdr:row>31</xdr:row>
      <xdr:rowOff>57150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3505200" y="6267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25</xdr:row>
      <xdr:rowOff>0</xdr:rowOff>
    </xdr:from>
    <xdr:to>
      <xdr:col>6</xdr:col>
      <xdr:colOff>228600</xdr:colOff>
      <xdr:row>35</xdr:row>
      <xdr:rowOff>190500</xdr:rowOff>
    </xdr:to>
    <xdr:sp>
      <xdr:nvSpPr>
        <xdr:cNvPr id="44" name="Line 45"/>
        <xdr:cNvSpPr>
          <a:spLocks/>
        </xdr:cNvSpPr>
      </xdr:nvSpPr>
      <xdr:spPr>
        <a:xfrm>
          <a:off x="5000625" y="5257800"/>
          <a:ext cx="0" cy="213360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25</xdr:row>
      <xdr:rowOff>85725</xdr:rowOff>
    </xdr:from>
    <xdr:to>
      <xdr:col>6</xdr:col>
      <xdr:colOff>228600</xdr:colOff>
      <xdr:row>25</xdr:row>
      <xdr:rowOff>114300</xdr:rowOff>
    </xdr:to>
    <xdr:sp>
      <xdr:nvSpPr>
        <xdr:cNvPr id="45" name="Line 46"/>
        <xdr:cNvSpPr>
          <a:spLocks/>
        </xdr:cNvSpPr>
      </xdr:nvSpPr>
      <xdr:spPr>
        <a:xfrm flipV="1">
          <a:off x="5000625" y="534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95250</xdr:rowOff>
    </xdr:from>
    <xdr:to>
      <xdr:col>6</xdr:col>
      <xdr:colOff>457200</xdr:colOff>
      <xdr:row>27</xdr:row>
      <xdr:rowOff>171450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4857750" y="5543550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285750</xdr:colOff>
      <xdr:row>24</xdr:row>
      <xdr:rowOff>85725</xdr:rowOff>
    </xdr:from>
    <xdr:to>
      <xdr:col>6</xdr:col>
      <xdr:colOff>552450</xdr:colOff>
      <xdr:row>25</xdr:row>
      <xdr:rowOff>66675</xdr:rowOff>
    </xdr:to>
    <xdr:sp>
      <xdr:nvSpPr>
        <xdr:cNvPr id="47" name="Text Box 48"/>
        <xdr:cNvSpPr txBox="1">
          <a:spLocks noChangeArrowheads="1"/>
        </xdr:cNvSpPr>
      </xdr:nvSpPr>
      <xdr:spPr>
        <a:xfrm>
          <a:off x="5057775" y="5153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190500</xdr:colOff>
      <xdr:row>28</xdr:row>
      <xdr:rowOff>114300</xdr:rowOff>
    </xdr:from>
    <xdr:to>
      <xdr:col>6</xdr:col>
      <xdr:colOff>266700</xdr:colOff>
      <xdr:row>33</xdr:row>
      <xdr:rowOff>161925</xdr:rowOff>
    </xdr:to>
    <xdr:sp>
      <xdr:nvSpPr>
        <xdr:cNvPr id="48" name="Rectangle 49"/>
        <xdr:cNvSpPr>
          <a:spLocks/>
        </xdr:cNvSpPr>
      </xdr:nvSpPr>
      <xdr:spPr>
        <a:xfrm>
          <a:off x="4962525" y="5943600"/>
          <a:ext cx="76200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85725</xdr:rowOff>
    </xdr:from>
    <xdr:to>
      <xdr:col>7</xdr:col>
      <xdr:colOff>0</xdr:colOff>
      <xdr:row>27</xdr:row>
      <xdr:rowOff>180975</xdr:rowOff>
    </xdr:to>
    <xdr:sp>
      <xdr:nvSpPr>
        <xdr:cNvPr id="49" name="Line 50"/>
        <xdr:cNvSpPr>
          <a:spLocks/>
        </xdr:cNvSpPr>
      </xdr:nvSpPr>
      <xdr:spPr>
        <a:xfrm flipV="1">
          <a:off x="5381625" y="57245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28</xdr:row>
      <xdr:rowOff>38100</xdr:rowOff>
    </xdr:from>
    <xdr:to>
      <xdr:col>7</xdr:col>
      <xdr:colOff>19050</xdr:colOff>
      <xdr:row>28</xdr:row>
      <xdr:rowOff>104775</xdr:rowOff>
    </xdr:to>
    <xdr:sp>
      <xdr:nvSpPr>
        <xdr:cNvPr id="50" name="Rectangle 51"/>
        <xdr:cNvSpPr>
          <a:spLocks/>
        </xdr:cNvSpPr>
      </xdr:nvSpPr>
      <xdr:spPr>
        <a:xfrm>
          <a:off x="4591050" y="5867400"/>
          <a:ext cx="809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30</xdr:row>
      <xdr:rowOff>161925</xdr:rowOff>
    </xdr:from>
    <xdr:to>
      <xdr:col>8</xdr:col>
      <xdr:colOff>276225</xdr:colOff>
      <xdr:row>30</xdr:row>
      <xdr:rowOff>161925</xdr:rowOff>
    </xdr:to>
    <xdr:sp>
      <xdr:nvSpPr>
        <xdr:cNvPr id="51" name="Line 52"/>
        <xdr:cNvSpPr>
          <a:spLocks/>
        </xdr:cNvSpPr>
      </xdr:nvSpPr>
      <xdr:spPr>
        <a:xfrm>
          <a:off x="5962650" y="63722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31</xdr:row>
      <xdr:rowOff>57150</xdr:rowOff>
    </xdr:from>
    <xdr:to>
      <xdr:col>8</xdr:col>
      <xdr:colOff>495300</xdr:colOff>
      <xdr:row>32</xdr:row>
      <xdr:rowOff>76200</xdr:rowOff>
    </xdr:to>
    <xdr:sp>
      <xdr:nvSpPr>
        <xdr:cNvPr id="52" name="Text Box 53"/>
        <xdr:cNvSpPr txBox="1">
          <a:spLocks noChangeArrowheads="1"/>
        </xdr:cNvSpPr>
      </xdr:nvSpPr>
      <xdr:spPr>
        <a:xfrm>
          <a:off x="6010275" y="6496050"/>
          <a:ext cx="476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25</xdr:row>
      <xdr:rowOff>66675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1719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523875</xdr:colOff>
      <xdr:row>37</xdr:row>
      <xdr:rowOff>47625</xdr:rowOff>
    </xdr:from>
    <xdr:to>
      <xdr:col>0</xdr:col>
      <xdr:colOff>638175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>
          <a:off x="523875" y="7705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26</xdr:row>
      <xdr:rowOff>95250</xdr:rowOff>
    </xdr:from>
    <xdr:to>
      <xdr:col>5</xdr:col>
      <xdr:colOff>666750</xdr:colOff>
      <xdr:row>27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72025" y="55435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628650</xdr:colOff>
      <xdr:row>14</xdr:row>
      <xdr:rowOff>95250</xdr:rowOff>
    </xdr:from>
    <xdr:to>
      <xdr:col>5</xdr:col>
      <xdr:colOff>666750</xdr:colOff>
      <xdr:row>15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33925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772025" y="3848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990600"/>
          <a:ext cx="2143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36</xdr:row>
      <xdr:rowOff>38100</xdr:rowOff>
    </xdr:from>
    <xdr:to>
      <xdr:col>0</xdr:col>
      <xdr:colOff>638175</xdr:colOff>
      <xdr:row>36</xdr:row>
      <xdr:rowOff>38100</xdr:rowOff>
    </xdr:to>
    <xdr:sp>
      <xdr:nvSpPr>
        <xdr:cNvPr id="7" name="Line 7"/>
        <xdr:cNvSpPr>
          <a:spLocks/>
        </xdr:cNvSpPr>
      </xdr:nvSpPr>
      <xdr:spPr>
        <a:xfrm>
          <a:off x="523875" y="7467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0</xdr:rowOff>
    </xdr:from>
    <xdr:to>
      <xdr:col>8</xdr:col>
      <xdr:colOff>495300</xdr:colOff>
      <xdr:row>32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010275" y="662940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  <xdr:oneCellAnchor>
    <xdr:from>
      <xdr:col>5</xdr:col>
      <xdr:colOff>66675</xdr:colOff>
      <xdr:row>13</xdr:row>
      <xdr:rowOff>66675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41719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666750</xdr:colOff>
      <xdr:row>14</xdr:row>
      <xdr:rowOff>95250</xdr:rowOff>
    </xdr:from>
    <xdr:to>
      <xdr:col>5</xdr:col>
      <xdr:colOff>666750</xdr:colOff>
      <xdr:row>15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772025" y="3143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46</xdr:row>
      <xdr:rowOff>66675</xdr:rowOff>
    </xdr:from>
    <xdr:ext cx="76200" cy="200025"/>
    <xdr:sp>
      <xdr:nvSpPr>
        <xdr:cNvPr id="11" name="Text Box 12"/>
        <xdr:cNvSpPr txBox="1">
          <a:spLocks noChangeArrowheads="1"/>
        </xdr:cNvSpPr>
      </xdr:nvSpPr>
      <xdr:spPr>
        <a:xfrm>
          <a:off x="4171950" y="972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628650</xdr:colOff>
      <xdr:row>35</xdr:row>
      <xdr:rowOff>95250</xdr:rowOff>
    </xdr:from>
    <xdr:to>
      <xdr:col>5</xdr:col>
      <xdr:colOff>666750</xdr:colOff>
      <xdr:row>36</xdr:row>
      <xdr:rowOff>95250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33925" y="72961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666750</xdr:colOff>
      <xdr:row>37</xdr:row>
      <xdr:rowOff>66675</xdr:rowOff>
    </xdr:from>
    <xdr:to>
      <xdr:col>6</xdr:col>
      <xdr:colOff>57150</xdr:colOff>
      <xdr:row>38</xdr:row>
      <xdr:rowOff>114300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4772025" y="77247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oneCellAnchor>
    <xdr:from>
      <xdr:col>5</xdr:col>
      <xdr:colOff>66675</xdr:colOff>
      <xdr:row>34</xdr:row>
      <xdr:rowOff>66675</xdr:rowOff>
    </xdr:from>
    <xdr:ext cx="76200" cy="200025"/>
    <xdr:sp>
      <xdr:nvSpPr>
        <xdr:cNvPr id="14" name="Text Box 15"/>
        <xdr:cNvSpPr txBox="1">
          <a:spLocks noChangeArrowheads="1"/>
        </xdr:cNvSpPr>
      </xdr:nvSpPr>
      <xdr:spPr>
        <a:xfrm>
          <a:off x="4171950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666750</xdr:colOff>
      <xdr:row>35</xdr:row>
      <xdr:rowOff>95250</xdr:rowOff>
    </xdr:from>
    <xdr:to>
      <xdr:col>5</xdr:col>
      <xdr:colOff>666750</xdr:colOff>
      <xdr:row>36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4772025" y="7296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36</xdr:row>
      <xdr:rowOff>66675</xdr:rowOff>
    </xdr:from>
    <xdr:ext cx="76200" cy="200025"/>
    <xdr:sp>
      <xdr:nvSpPr>
        <xdr:cNvPr id="16" name="Text Box 17"/>
        <xdr:cNvSpPr txBox="1">
          <a:spLocks noChangeArrowheads="1"/>
        </xdr:cNvSpPr>
      </xdr:nvSpPr>
      <xdr:spPr>
        <a:xfrm>
          <a:off x="4171950" y="749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628650</xdr:colOff>
      <xdr:row>25</xdr:row>
      <xdr:rowOff>95250</xdr:rowOff>
    </xdr:from>
    <xdr:to>
      <xdr:col>5</xdr:col>
      <xdr:colOff>666750</xdr:colOff>
      <xdr:row>26</xdr:row>
      <xdr:rowOff>95250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4733925" y="5353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666750</xdr:colOff>
      <xdr:row>27</xdr:row>
      <xdr:rowOff>66675</xdr:rowOff>
    </xdr:from>
    <xdr:to>
      <xdr:col>6</xdr:col>
      <xdr:colOff>57150</xdr:colOff>
      <xdr:row>28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4772025" y="5705475"/>
          <a:ext cx="57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666750</xdr:colOff>
      <xdr:row>29</xdr:row>
      <xdr:rowOff>0</xdr:rowOff>
    </xdr:from>
    <xdr:to>
      <xdr:col>6</xdr:col>
      <xdr:colOff>19050</xdr:colOff>
      <xdr:row>29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4772025" y="6019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24</xdr:row>
      <xdr:rowOff>66675</xdr:rowOff>
    </xdr:from>
    <xdr:ext cx="76200" cy="200025"/>
    <xdr:sp>
      <xdr:nvSpPr>
        <xdr:cNvPr id="20" name="Text Box 21"/>
        <xdr:cNvSpPr txBox="1">
          <a:spLocks noChangeArrowheads="1"/>
        </xdr:cNvSpPr>
      </xdr:nvSpPr>
      <xdr:spPr>
        <a:xfrm>
          <a:off x="4171950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466725</xdr:colOff>
      <xdr:row>33</xdr:row>
      <xdr:rowOff>161925</xdr:rowOff>
    </xdr:from>
    <xdr:to>
      <xdr:col>7</xdr:col>
      <xdr:colOff>0</xdr:colOff>
      <xdr:row>34</xdr:row>
      <xdr:rowOff>38100</xdr:rowOff>
    </xdr:to>
    <xdr:sp>
      <xdr:nvSpPr>
        <xdr:cNvPr id="21" name="Rectangle 22"/>
        <xdr:cNvSpPr>
          <a:spLocks/>
        </xdr:cNvSpPr>
      </xdr:nvSpPr>
      <xdr:spPr>
        <a:xfrm>
          <a:off x="4572000" y="6981825"/>
          <a:ext cx="809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180975</xdr:rowOff>
    </xdr:from>
    <xdr:to>
      <xdr:col>5</xdr:col>
      <xdr:colOff>209550</xdr:colOff>
      <xdr:row>32</xdr:row>
      <xdr:rowOff>38100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962400" y="63912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8</xdr:col>
      <xdr:colOff>200025</xdr:colOff>
      <xdr:row>29</xdr:row>
      <xdr:rowOff>180975</xdr:rowOff>
    </xdr:from>
    <xdr:to>
      <xdr:col>8</xdr:col>
      <xdr:colOff>400050</xdr:colOff>
      <xdr:row>30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6191250" y="62007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57150</xdr:colOff>
      <xdr:row>24</xdr:row>
      <xdr:rowOff>142875</xdr:rowOff>
    </xdr:from>
    <xdr:to>
      <xdr:col>6</xdr:col>
      <xdr:colOff>323850</xdr:colOff>
      <xdr:row>25</xdr:row>
      <xdr:rowOff>123825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4829175" y="52101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666750</xdr:colOff>
      <xdr:row>25</xdr:row>
      <xdr:rowOff>95250</xdr:rowOff>
    </xdr:from>
    <xdr:to>
      <xdr:col>5</xdr:col>
      <xdr:colOff>666750</xdr:colOff>
      <xdr:row>26</xdr:row>
      <xdr:rowOff>38100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4772025" y="5353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228600</xdr:colOff>
      <xdr:row>24</xdr:row>
      <xdr:rowOff>142875</xdr:rowOff>
    </xdr:from>
    <xdr:to>
      <xdr:col>6</xdr:col>
      <xdr:colOff>228600</xdr:colOff>
      <xdr:row>25</xdr:row>
      <xdr:rowOff>9525</xdr:rowOff>
    </xdr:to>
    <xdr:sp>
      <xdr:nvSpPr>
        <xdr:cNvPr id="26" name="Line 27"/>
        <xdr:cNvSpPr>
          <a:spLocks/>
        </xdr:cNvSpPr>
      </xdr:nvSpPr>
      <xdr:spPr>
        <a:xfrm flipV="1">
          <a:off x="5000625" y="5210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76200</xdr:rowOff>
    </xdr:from>
    <xdr:to>
      <xdr:col>5</xdr:col>
      <xdr:colOff>466725</xdr:colOff>
      <xdr:row>27</xdr:row>
      <xdr:rowOff>171450</xdr:rowOff>
    </xdr:to>
    <xdr:sp>
      <xdr:nvSpPr>
        <xdr:cNvPr id="27" name="Line 28"/>
        <xdr:cNvSpPr>
          <a:spLocks/>
        </xdr:cNvSpPr>
      </xdr:nvSpPr>
      <xdr:spPr>
        <a:xfrm flipV="1">
          <a:off x="4572000" y="571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123825</xdr:rowOff>
    </xdr:from>
    <xdr:to>
      <xdr:col>6</xdr:col>
      <xdr:colOff>600075</xdr:colOff>
      <xdr:row>27</xdr:row>
      <xdr:rowOff>123825</xdr:rowOff>
    </xdr:to>
    <xdr:sp>
      <xdr:nvSpPr>
        <xdr:cNvPr id="28" name="Line 29"/>
        <xdr:cNvSpPr>
          <a:spLocks/>
        </xdr:cNvSpPr>
      </xdr:nvSpPr>
      <xdr:spPr>
        <a:xfrm>
          <a:off x="4572000" y="57626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34</xdr:row>
      <xdr:rowOff>57150</xdr:rowOff>
    </xdr:from>
    <xdr:to>
      <xdr:col>5</xdr:col>
      <xdr:colOff>476250</xdr:colOff>
      <xdr:row>34</xdr:row>
      <xdr:rowOff>152400</xdr:rowOff>
    </xdr:to>
    <xdr:sp>
      <xdr:nvSpPr>
        <xdr:cNvPr id="29" name="Line 30"/>
        <xdr:cNvSpPr>
          <a:spLocks/>
        </xdr:cNvSpPr>
      </xdr:nvSpPr>
      <xdr:spPr>
        <a:xfrm flipV="1">
          <a:off x="4581525" y="7067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57150</xdr:rowOff>
    </xdr:from>
    <xdr:to>
      <xdr:col>7</xdr:col>
      <xdr:colOff>0</xdr:colOff>
      <xdr:row>34</xdr:row>
      <xdr:rowOff>152400</xdr:rowOff>
    </xdr:to>
    <xdr:sp>
      <xdr:nvSpPr>
        <xdr:cNvPr id="30" name="Line 31"/>
        <xdr:cNvSpPr>
          <a:spLocks/>
        </xdr:cNvSpPr>
      </xdr:nvSpPr>
      <xdr:spPr>
        <a:xfrm flipV="1">
          <a:off x="5381625" y="7067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34</xdr:row>
      <xdr:rowOff>142875</xdr:rowOff>
    </xdr:from>
    <xdr:to>
      <xdr:col>7</xdr:col>
      <xdr:colOff>9525</xdr:colOff>
      <xdr:row>34</xdr:row>
      <xdr:rowOff>142875</xdr:rowOff>
    </xdr:to>
    <xdr:sp>
      <xdr:nvSpPr>
        <xdr:cNvPr id="31" name="Line 32"/>
        <xdr:cNvSpPr>
          <a:spLocks/>
        </xdr:cNvSpPr>
      </xdr:nvSpPr>
      <xdr:spPr>
        <a:xfrm>
          <a:off x="4581525" y="71532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38100</xdr:rowOff>
    </xdr:from>
    <xdr:to>
      <xdr:col>5</xdr:col>
      <xdr:colOff>419100</xdr:colOff>
      <xdr:row>28</xdr:row>
      <xdr:rowOff>38100</xdr:rowOff>
    </xdr:to>
    <xdr:sp>
      <xdr:nvSpPr>
        <xdr:cNvPr id="32" name="Line 33"/>
        <xdr:cNvSpPr>
          <a:spLocks/>
        </xdr:cNvSpPr>
      </xdr:nvSpPr>
      <xdr:spPr>
        <a:xfrm flipH="1">
          <a:off x="4267200" y="5867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104775</xdr:rowOff>
    </xdr:from>
    <xdr:to>
      <xdr:col>5</xdr:col>
      <xdr:colOff>419100</xdr:colOff>
      <xdr:row>28</xdr:row>
      <xdr:rowOff>104775</xdr:rowOff>
    </xdr:to>
    <xdr:sp>
      <xdr:nvSpPr>
        <xdr:cNvPr id="33" name="Line 34"/>
        <xdr:cNvSpPr>
          <a:spLocks/>
        </xdr:cNvSpPr>
      </xdr:nvSpPr>
      <xdr:spPr>
        <a:xfrm flipH="1">
          <a:off x="4267200" y="5934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161925</xdr:rowOff>
    </xdr:from>
    <xdr:to>
      <xdr:col>5</xdr:col>
      <xdr:colOff>419100</xdr:colOff>
      <xdr:row>33</xdr:row>
      <xdr:rowOff>161925</xdr:rowOff>
    </xdr:to>
    <xdr:sp>
      <xdr:nvSpPr>
        <xdr:cNvPr id="34" name="Line 35"/>
        <xdr:cNvSpPr>
          <a:spLocks/>
        </xdr:cNvSpPr>
      </xdr:nvSpPr>
      <xdr:spPr>
        <a:xfrm flipH="1">
          <a:off x="4267200" y="6981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34</xdr:row>
      <xdr:rowOff>38100</xdr:rowOff>
    </xdr:from>
    <xdr:to>
      <xdr:col>5</xdr:col>
      <xdr:colOff>428625</xdr:colOff>
      <xdr:row>34</xdr:row>
      <xdr:rowOff>38100</xdr:rowOff>
    </xdr:to>
    <xdr:sp>
      <xdr:nvSpPr>
        <xdr:cNvPr id="35" name="Line 36"/>
        <xdr:cNvSpPr>
          <a:spLocks/>
        </xdr:cNvSpPr>
      </xdr:nvSpPr>
      <xdr:spPr>
        <a:xfrm flipH="1">
          <a:off x="4276725" y="7048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28</xdr:row>
      <xdr:rowOff>95250</xdr:rowOff>
    </xdr:from>
    <xdr:to>
      <xdr:col>5</xdr:col>
      <xdr:colOff>180975</xdr:colOff>
      <xdr:row>33</xdr:row>
      <xdr:rowOff>171450</xdr:rowOff>
    </xdr:to>
    <xdr:sp>
      <xdr:nvSpPr>
        <xdr:cNvPr id="36" name="Line 37"/>
        <xdr:cNvSpPr>
          <a:spLocks/>
        </xdr:cNvSpPr>
      </xdr:nvSpPr>
      <xdr:spPr>
        <a:xfrm flipV="1">
          <a:off x="4286250" y="59245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27</xdr:row>
      <xdr:rowOff>95250</xdr:rowOff>
    </xdr:from>
    <xdr:to>
      <xdr:col>5</xdr:col>
      <xdr:colOff>257175</xdr:colOff>
      <xdr:row>28</xdr:row>
      <xdr:rowOff>47625</xdr:rowOff>
    </xdr:to>
    <xdr:sp>
      <xdr:nvSpPr>
        <xdr:cNvPr id="37" name="Line 38"/>
        <xdr:cNvSpPr>
          <a:spLocks/>
        </xdr:cNvSpPr>
      </xdr:nvSpPr>
      <xdr:spPr>
        <a:xfrm flipV="1">
          <a:off x="4362450" y="5734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190500</xdr:rowOff>
    </xdr:from>
    <xdr:to>
      <xdr:col>5</xdr:col>
      <xdr:colOff>257175</xdr:colOff>
      <xdr:row>34</xdr:row>
      <xdr:rowOff>95250</xdr:rowOff>
    </xdr:to>
    <xdr:sp>
      <xdr:nvSpPr>
        <xdr:cNvPr id="38" name="Line 39"/>
        <xdr:cNvSpPr>
          <a:spLocks/>
        </xdr:cNvSpPr>
      </xdr:nvSpPr>
      <xdr:spPr>
        <a:xfrm flipV="1">
          <a:off x="4362450" y="7010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34</xdr:row>
      <xdr:rowOff>76200</xdr:rowOff>
    </xdr:from>
    <xdr:to>
      <xdr:col>5</xdr:col>
      <xdr:colOff>257175</xdr:colOff>
      <xdr:row>35</xdr:row>
      <xdr:rowOff>19050</xdr:rowOff>
    </xdr:to>
    <xdr:sp>
      <xdr:nvSpPr>
        <xdr:cNvPr id="39" name="Line 40"/>
        <xdr:cNvSpPr>
          <a:spLocks/>
        </xdr:cNvSpPr>
      </xdr:nvSpPr>
      <xdr:spPr>
        <a:xfrm>
          <a:off x="4362450" y="7086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27</xdr:row>
      <xdr:rowOff>152400</xdr:rowOff>
    </xdr:from>
    <xdr:to>
      <xdr:col>5</xdr:col>
      <xdr:colOff>171450</xdr:colOff>
      <xdr:row>29</xdr:row>
      <xdr:rowOff>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3981450" y="579120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438150</xdr:colOff>
      <xdr:row>33</xdr:row>
      <xdr:rowOff>76200</xdr:rowOff>
    </xdr:from>
    <xdr:to>
      <xdr:col>5</xdr:col>
      <xdr:colOff>266700</xdr:colOff>
      <xdr:row>34</xdr:row>
      <xdr:rowOff>104775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3933825" y="689610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30</xdr:row>
      <xdr:rowOff>161925</xdr:rowOff>
    </xdr:from>
    <xdr:to>
      <xdr:col>8</xdr:col>
      <xdr:colOff>9525</xdr:colOff>
      <xdr:row>30</xdr:row>
      <xdr:rowOff>161925</xdr:rowOff>
    </xdr:to>
    <xdr:sp>
      <xdr:nvSpPr>
        <xdr:cNvPr id="42" name="Line 43"/>
        <xdr:cNvSpPr>
          <a:spLocks/>
        </xdr:cNvSpPr>
      </xdr:nvSpPr>
      <xdr:spPr>
        <a:xfrm>
          <a:off x="3600450" y="6372225"/>
          <a:ext cx="240030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4</xdr:col>
      <xdr:colOff>209550</xdr:colOff>
      <xdr:row>31</xdr:row>
      <xdr:rowOff>57150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3505200" y="6267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228600</xdr:colOff>
      <xdr:row>25</xdr:row>
      <xdr:rowOff>0</xdr:rowOff>
    </xdr:from>
    <xdr:to>
      <xdr:col>6</xdr:col>
      <xdr:colOff>228600</xdr:colOff>
      <xdr:row>35</xdr:row>
      <xdr:rowOff>190500</xdr:rowOff>
    </xdr:to>
    <xdr:sp>
      <xdr:nvSpPr>
        <xdr:cNvPr id="44" name="Line 45"/>
        <xdr:cNvSpPr>
          <a:spLocks/>
        </xdr:cNvSpPr>
      </xdr:nvSpPr>
      <xdr:spPr>
        <a:xfrm>
          <a:off x="5000625" y="5257800"/>
          <a:ext cx="0" cy="213360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25</xdr:row>
      <xdr:rowOff>85725</xdr:rowOff>
    </xdr:from>
    <xdr:to>
      <xdr:col>6</xdr:col>
      <xdr:colOff>228600</xdr:colOff>
      <xdr:row>25</xdr:row>
      <xdr:rowOff>114300</xdr:rowOff>
    </xdr:to>
    <xdr:sp>
      <xdr:nvSpPr>
        <xdr:cNvPr id="45" name="Line 46"/>
        <xdr:cNvSpPr>
          <a:spLocks/>
        </xdr:cNvSpPr>
      </xdr:nvSpPr>
      <xdr:spPr>
        <a:xfrm flipV="1">
          <a:off x="5000625" y="53435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95250</xdr:rowOff>
    </xdr:from>
    <xdr:to>
      <xdr:col>6</xdr:col>
      <xdr:colOff>457200</xdr:colOff>
      <xdr:row>27</xdr:row>
      <xdr:rowOff>171450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4857750" y="5543550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285750</xdr:colOff>
      <xdr:row>24</xdr:row>
      <xdr:rowOff>85725</xdr:rowOff>
    </xdr:from>
    <xdr:to>
      <xdr:col>6</xdr:col>
      <xdr:colOff>552450</xdr:colOff>
      <xdr:row>25</xdr:row>
      <xdr:rowOff>66675</xdr:rowOff>
    </xdr:to>
    <xdr:sp>
      <xdr:nvSpPr>
        <xdr:cNvPr id="47" name="Text Box 48"/>
        <xdr:cNvSpPr txBox="1">
          <a:spLocks noChangeArrowheads="1"/>
        </xdr:cNvSpPr>
      </xdr:nvSpPr>
      <xdr:spPr>
        <a:xfrm>
          <a:off x="5057775" y="5153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190500</xdr:colOff>
      <xdr:row>28</xdr:row>
      <xdr:rowOff>114300</xdr:rowOff>
    </xdr:from>
    <xdr:to>
      <xdr:col>6</xdr:col>
      <xdr:colOff>266700</xdr:colOff>
      <xdr:row>33</xdr:row>
      <xdr:rowOff>161925</xdr:rowOff>
    </xdr:to>
    <xdr:sp>
      <xdr:nvSpPr>
        <xdr:cNvPr id="48" name="Rectangle 49"/>
        <xdr:cNvSpPr>
          <a:spLocks/>
        </xdr:cNvSpPr>
      </xdr:nvSpPr>
      <xdr:spPr>
        <a:xfrm>
          <a:off x="4962525" y="5943600"/>
          <a:ext cx="76200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85725</xdr:rowOff>
    </xdr:from>
    <xdr:to>
      <xdr:col>7</xdr:col>
      <xdr:colOff>0</xdr:colOff>
      <xdr:row>27</xdr:row>
      <xdr:rowOff>180975</xdr:rowOff>
    </xdr:to>
    <xdr:sp>
      <xdr:nvSpPr>
        <xdr:cNvPr id="49" name="Line 50"/>
        <xdr:cNvSpPr>
          <a:spLocks/>
        </xdr:cNvSpPr>
      </xdr:nvSpPr>
      <xdr:spPr>
        <a:xfrm flipV="1">
          <a:off x="5381625" y="57245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28</xdr:row>
      <xdr:rowOff>38100</xdr:rowOff>
    </xdr:from>
    <xdr:to>
      <xdr:col>7</xdr:col>
      <xdr:colOff>19050</xdr:colOff>
      <xdr:row>28</xdr:row>
      <xdr:rowOff>104775</xdr:rowOff>
    </xdr:to>
    <xdr:sp>
      <xdr:nvSpPr>
        <xdr:cNvPr id="50" name="Rectangle 51"/>
        <xdr:cNvSpPr>
          <a:spLocks/>
        </xdr:cNvSpPr>
      </xdr:nvSpPr>
      <xdr:spPr>
        <a:xfrm>
          <a:off x="4591050" y="5867400"/>
          <a:ext cx="809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30</xdr:row>
      <xdr:rowOff>161925</xdr:rowOff>
    </xdr:from>
    <xdr:to>
      <xdr:col>8</xdr:col>
      <xdr:colOff>276225</xdr:colOff>
      <xdr:row>30</xdr:row>
      <xdr:rowOff>161925</xdr:rowOff>
    </xdr:to>
    <xdr:sp>
      <xdr:nvSpPr>
        <xdr:cNvPr id="51" name="Line 52"/>
        <xdr:cNvSpPr>
          <a:spLocks/>
        </xdr:cNvSpPr>
      </xdr:nvSpPr>
      <xdr:spPr>
        <a:xfrm>
          <a:off x="5962650" y="63722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31</xdr:row>
      <xdr:rowOff>57150</xdr:rowOff>
    </xdr:from>
    <xdr:to>
      <xdr:col>8</xdr:col>
      <xdr:colOff>495300</xdr:colOff>
      <xdr:row>32</xdr:row>
      <xdr:rowOff>76200</xdr:rowOff>
    </xdr:to>
    <xdr:sp>
      <xdr:nvSpPr>
        <xdr:cNvPr id="52" name="Text Box 53"/>
        <xdr:cNvSpPr txBox="1">
          <a:spLocks noChangeArrowheads="1"/>
        </xdr:cNvSpPr>
      </xdr:nvSpPr>
      <xdr:spPr>
        <a:xfrm>
          <a:off x="6010275" y="6496050"/>
          <a:ext cx="476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17.140625" style="66" customWidth="1"/>
    <col min="2" max="2" width="15.00390625" style="66" customWidth="1"/>
    <col min="3" max="3" width="11.140625" style="66" customWidth="1"/>
    <col min="4" max="5" width="9.140625" style="66" customWidth="1"/>
    <col min="6" max="6" width="10.00390625" style="66" customWidth="1"/>
    <col min="7" max="17" width="9.140625" style="66" customWidth="1"/>
    <col min="18" max="18" width="11.8515625" style="66" bestFit="1" customWidth="1"/>
    <col min="19" max="20" width="9.140625" style="66" customWidth="1"/>
    <col min="21" max="21" width="9.28125" style="66" bestFit="1" customWidth="1"/>
    <col min="22" max="22" width="13.28125" style="66" bestFit="1" customWidth="1"/>
    <col min="23" max="23" width="10.57421875" style="66" bestFit="1" customWidth="1"/>
    <col min="24" max="16384" width="9.140625" style="66" customWidth="1"/>
  </cols>
  <sheetData>
    <row r="1" spans="1:14" ht="19.5" customHeight="1">
      <c r="A1" s="2" t="s">
        <v>44</v>
      </c>
      <c r="B1" s="15"/>
      <c r="C1" s="15"/>
      <c r="D1" s="140" t="s">
        <v>50</v>
      </c>
      <c r="E1" s="141"/>
      <c r="F1" s="141"/>
      <c r="G1" s="142"/>
      <c r="H1" s="143" t="s">
        <v>51</v>
      </c>
      <c r="I1" s="144"/>
      <c r="J1" s="112"/>
      <c r="K1" s="16"/>
      <c r="L1" s="16"/>
      <c r="M1" s="16"/>
      <c r="N1" s="16"/>
    </row>
    <row r="2" spans="1:15" ht="19.5" customHeight="1" thickBot="1">
      <c r="A2" s="3" t="s">
        <v>45</v>
      </c>
      <c r="B2" s="16"/>
      <c r="C2" s="16"/>
      <c r="D2" s="147" t="s">
        <v>113</v>
      </c>
      <c r="E2" s="148"/>
      <c r="F2" s="148"/>
      <c r="G2" s="149"/>
      <c r="H2" s="145"/>
      <c r="I2" s="146"/>
      <c r="J2" s="113"/>
      <c r="K2" s="16"/>
      <c r="L2" s="16"/>
      <c r="M2" s="16"/>
      <c r="N2" s="16"/>
      <c r="O2" s="66" t="s">
        <v>117</v>
      </c>
    </row>
    <row r="3" spans="1:15" ht="19.5" customHeight="1">
      <c r="A3" s="4" t="s">
        <v>46</v>
      </c>
      <c r="B3" s="16"/>
      <c r="C3" s="16"/>
      <c r="D3" s="17" t="s">
        <v>43</v>
      </c>
      <c r="E3" s="18" t="s">
        <v>48</v>
      </c>
      <c r="F3" s="19" t="s">
        <v>49</v>
      </c>
      <c r="G3" s="20" t="s">
        <v>48</v>
      </c>
      <c r="H3" s="6" t="s">
        <v>52</v>
      </c>
      <c r="I3" s="13"/>
      <c r="J3" s="113"/>
      <c r="K3" s="16"/>
      <c r="L3" s="16"/>
      <c r="M3" s="16"/>
      <c r="N3" s="16"/>
      <c r="O3" s="66" t="s">
        <v>118</v>
      </c>
    </row>
    <row r="4" spans="1:15" ht="19.5" customHeight="1" thickBot="1">
      <c r="A4" s="5" t="s">
        <v>47</v>
      </c>
      <c r="B4" s="21"/>
      <c r="C4" s="21"/>
      <c r="D4" s="8" t="s">
        <v>61</v>
      </c>
      <c r="E4" s="9"/>
      <c r="F4" s="10"/>
      <c r="G4" s="11"/>
      <c r="H4" s="7" t="s">
        <v>53</v>
      </c>
      <c r="I4" s="12"/>
      <c r="J4" s="114"/>
      <c r="K4" s="16"/>
      <c r="L4" s="16"/>
      <c r="M4" s="16"/>
      <c r="N4" s="16"/>
      <c r="O4" s="66" t="s">
        <v>119</v>
      </c>
    </row>
    <row r="5" spans="1:28" ht="15">
      <c r="A5" s="67" t="s">
        <v>62</v>
      </c>
      <c r="B5" s="134" t="s">
        <v>126</v>
      </c>
      <c r="C5" s="71"/>
      <c r="D5" s="72"/>
      <c r="E5" s="52"/>
      <c r="F5" s="52"/>
      <c r="G5" s="73"/>
      <c r="H5" s="74"/>
      <c r="I5" s="52"/>
      <c r="J5" s="1" t="s">
        <v>42</v>
      </c>
      <c r="K5" s="125"/>
      <c r="L5" s="125"/>
      <c r="M5" s="125"/>
      <c r="N5" s="125"/>
      <c r="O5" s="122">
        <f>IF(G7="St.37",1.4,IF(G7="St.44",1.6,2.1))</f>
        <v>1.4</v>
      </c>
      <c r="P5" s="123">
        <f>IF(G7="St.37",0.000065,IF(G7="St.44",0.000085,0.000135))</f>
        <v>6.5E-05</v>
      </c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8" ht="15">
      <c r="A6" s="26"/>
      <c r="B6" s="27"/>
      <c r="C6" s="27"/>
      <c r="D6" s="27"/>
      <c r="E6" s="27"/>
      <c r="F6" s="27"/>
      <c r="G6" s="27"/>
      <c r="H6" s="27"/>
      <c r="I6" s="44"/>
      <c r="J6" s="28" t="s">
        <v>59</v>
      </c>
      <c r="K6" s="126"/>
      <c r="L6" s="126"/>
      <c r="M6" s="126"/>
      <c r="N6" s="126"/>
      <c r="O6" s="110"/>
      <c r="P6" s="37"/>
      <c r="Q6" s="110"/>
      <c r="R6" s="106"/>
      <c r="S6" s="111"/>
      <c r="T6" s="111"/>
      <c r="U6" s="106"/>
      <c r="V6" s="111"/>
      <c r="W6" s="106"/>
      <c r="X6" s="111"/>
      <c r="Y6" s="37"/>
      <c r="Z6" s="111"/>
      <c r="AA6" s="111"/>
      <c r="AB6" s="37"/>
    </row>
    <row r="7" spans="1:28" ht="15">
      <c r="A7" s="22" t="s">
        <v>63</v>
      </c>
      <c r="B7" s="105" t="s">
        <v>75</v>
      </c>
      <c r="C7" s="75" t="str">
        <f>IF(B7="(D.L+L.L)","a","b")</f>
        <v>b</v>
      </c>
      <c r="D7" s="76"/>
      <c r="E7" s="76"/>
      <c r="F7" s="76" t="s">
        <v>116</v>
      </c>
      <c r="G7" s="124" t="s">
        <v>117</v>
      </c>
      <c r="H7" s="76"/>
      <c r="I7" s="16"/>
      <c r="J7" s="43"/>
      <c r="K7" s="16"/>
      <c r="L7" s="16"/>
      <c r="M7" s="16"/>
      <c r="N7" s="16"/>
      <c r="O7" s="110" t="s">
        <v>124</v>
      </c>
      <c r="P7" s="37"/>
      <c r="Q7" s="110"/>
      <c r="R7" s="106"/>
      <c r="S7" s="111"/>
      <c r="T7" s="111"/>
      <c r="U7" s="106"/>
      <c r="V7" s="111"/>
      <c r="W7" s="106"/>
      <c r="X7" s="111"/>
      <c r="Y7" s="37"/>
      <c r="Z7" s="111"/>
      <c r="AA7" s="111"/>
      <c r="AB7" s="37"/>
    </row>
    <row r="8" spans="1:28" ht="18.75">
      <c r="A8" s="68"/>
      <c r="B8" s="76"/>
      <c r="C8" s="76"/>
      <c r="D8" s="76"/>
      <c r="E8" s="76"/>
      <c r="F8" s="42" t="s">
        <v>120</v>
      </c>
      <c r="G8" s="120" t="s">
        <v>2</v>
      </c>
      <c r="H8" s="121">
        <f>IF(G7="St.37",2.4,IF(G7="St.44",2.8,3.6))</f>
        <v>2.4</v>
      </c>
      <c r="I8" s="27" t="s">
        <v>15</v>
      </c>
      <c r="J8" s="43"/>
      <c r="K8" s="16"/>
      <c r="L8" s="16"/>
      <c r="M8" s="16"/>
      <c r="N8" s="16"/>
      <c r="O8" s="110" t="s">
        <v>125</v>
      </c>
      <c r="P8" s="37"/>
      <c r="Q8" s="110"/>
      <c r="R8" s="106"/>
      <c r="S8" s="111"/>
      <c r="T8" s="111"/>
      <c r="U8" s="106"/>
      <c r="V8" s="111"/>
      <c r="W8" s="106"/>
      <c r="X8" s="111"/>
      <c r="Y8" s="37"/>
      <c r="Z8" s="111"/>
      <c r="AA8" s="111"/>
      <c r="AB8" s="37"/>
    </row>
    <row r="9" spans="1:28" ht="18.75">
      <c r="A9" s="22" t="s">
        <v>5</v>
      </c>
      <c r="B9" s="29"/>
      <c r="C9" s="27"/>
      <c r="D9" s="27"/>
      <c r="E9" s="30"/>
      <c r="F9" s="42" t="s">
        <v>121</v>
      </c>
      <c r="G9" s="120" t="s">
        <v>2</v>
      </c>
      <c r="H9" s="37">
        <f>IF(G7="St.37",3.6,IF(G7="St.44",4.4,5.2))</f>
        <v>3.6</v>
      </c>
      <c r="I9" s="27" t="s">
        <v>15</v>
      </c>
      <c r="J9" s="45"/>
      <c r="K9" s="44"/>
      <c r="L9" s="44"/>
      <c r="M9" s="44"/>
      <c r="N9" s="44"/>
      <c r="O9" s="110"/>
      <c r="P9" s="37"/>
      <c r="Q9" s="110"/>
      <c r="R9" s="106"/>
      <c r="S9" s="111"/>
      <c r="T9" s="111"/>
      <c r="U9" s="106"/>
      <c r="V9" s="111"/>
      <c r="W9" s="106"/>
      <c r="X9" s="111"/>
      <c r="Y9" s="37"/>
      <c r="Z9" s="111"/>
      <c r="AA9" s="111"/>
      <c r="AB9" s="37"/>
    </row>
    <row r="10" spans="1:28" ht="16.5">
      <c r="A10" s="31" t="s">
        <v>85</v>
      </c>
      <c r="B10" s="32" t="s">
        <v>2</v>
      </c>
      <c r="C10" s="14">
        <v>22.299</v>
      </c>
      <c r="D10" s="27" t="s">
        <v>6</v>
      </c>
      <c r="E10" s="30"/>
      <c r="F10" s="30"/>
      <c r="G10" s="30"/>
      <c r="H10" s="30"/>
      <c r="I10" s="44"/>
      <c r="J10" s="45"/>
      <c r="K10" s="44"/>
      <c r="L10" s="44"/>
      <c r="M10" s="44"/>
      <c r="N10" s="44"/>
      <c r="O10" s="110"/>
      <c r="P10" s="37"/>
      <c r="Q10" s="110"/>
      <c r="R10" s="106"/>
      <c r="S10" s="111"/>
      <c r="T10" s="111"/>
      <c r="U10" s="106"/>
      <c r="V10" s="111"/>
      <c r="W10" s="106"/>
      <c r="X10" s="111"/>
      <c r="Y10" s="37"/>
      <c r="Z10" s="111"/>
      <c r="AA10" s="111"/>
      <c r="AB10" s="37"/>
    </row>
    <row r="11" spans="1:28" ht="16.5">
      <c r="A11" s="31" t="s">
        <v>86</v>
      </c>
      <c r="B11" s="32" t="s">
        <v>2</v>
      </c>
      <c r="C11" s="14">
        <v>0</v>
      </c>
      <c r="D11" s="27" t="s">
        <v>6</v>
      </c>
      <c r="E11" s="30" t="s">
        <v>122</v>
      </c>
      <c r="F11" s="30"/>
      <c r="G11" s="30"/>
      <c r="H11" s="30"/>
      <c r="I11" s="44"/>
      <c r="J11" s="45"/>
      <c r="K11" s="44"/>
      <c r="L11" s="44"/>
      <c r="M11" s="44"/>
      <c r="N11" s="44"/>
      <c r="O11" s="106"/>
      <c r="P11" s="37"/>
      <c r="Q11" s="106"/>
      <c r="R11" s="106"/>
      <c r="S11" s="111"/>
      <c r="T11" s="111"/>
      <c r="U11" s="106"/>
      <c r="V11" s="111"/>
      <c r="W11" s="106"/>
      <c r="X11" s="111"/>
      <c r="Y11" s="37"/>
      <c r="Z11" s="111"/>
      <c r="AA11" s="111"/>
      <c r="AB11" s="37"/>
    </row>
    <row r="12" spans="1:28" ht="16.5">
      <c r="A12" s="31" t="s">
        <v>87</v>
      </c>
      <c r="B12" s="32" t="s">
        <v>2</v>
      </c>
      <c r="C12" s="14">
        <v>0</v>
      </c>
      <c r="D12" s="27" t="s">
        <v>6</v>
      </c>
      <c r="E12" s="30"/>
      <c r="F12" s="30"/>
      <c r="G12" s="30"/>
      <c r="H12" s="30"/>
      <c r="I12" s="44"/>
      <c r="J12" s="45"/>
      <c r="K12" s="44"/>
      <c r="L12" s="44"/>
      <c r="M12" s="44"/>
      <c r="N12" s="44"/>
      <c r="O12" s="110"/>
      <c r="P12" s="37"/>
      <c r="Q12" s="110"/>
      <c r="R12" s="106"/>
      <c r="S12" s="111"/>
      <c r="T12" s="111"/>
      <c r="U12" s="106"/>
      <c r="V12" s="111"/>
      <c r="W12" s="106"/>
      <c r="X12" s="111"/>
      <c r="Y12" s="37"/>
      <c r="Z12" s="111"/>
      <c r="AA12" s="111"/>
      <c r="AB12" s="37"/>
    </row>
    <row r="13" spans="1:28" ht="15">
      <c r="A13" s="31" t="s">
        <v>1</v>
      </c>
      <c r="B13" s="32" t="s">
        <v>2</v>
      </c>
      <c r="C13" s="14">
        <v>36.8922</v>
      </c>
      <c r="D13" s="27" t="s">
        <v>3</v>
      </c>
      <c r="E13" s="27"/>
      <c r="F13" s="27"/>
      <c r="G13" s="27"/>
      <c r="H13" s="27"/>
      <c r="I13" s="27"/>
      <c r="J13" s="35"/>
      <c r="K13" s="27"/>
      <c r="L13" s="27"/>
      <c r="M13" s="27"/>
      <c r="N13" s="27"/>
      <c r="O13" s="106"/>
      <c r="P13" s="37"/>
      <c r="Q13" s="106"/>
      <c r="R13" s="106"/>
      <c r="S13" s="111"/>
      <c r="T13" s="111"/>
      <c r="U13" s="106"/>
      <c r="V13" s="111"/>
      <c r="W13" s="106"/>
      <c r="X13" s="111"/>
      <c r="Y13" s="37"/>
      <c r="Z13" s="111"/>
      <c r="AA13" s="111"/>
      <c r="AB13" s="37"/>
    </row>
    <row r="14" spans="1:28" ht="15">
      <c r="A14" s="31"/>
      <c r="B14" s="27"/>
      <c r="C14" s="27"/>
      <c r="D14" s="27"/>
      <c r="E14" s="27"/>
      <c r="F14" s="27"/>
      <c r="G14" s="27"/>
      <c r="H14" s="27"/>
      <c r="I14" s="27"/>
      <c r="J14" s="35"/>
      <c r="K14" s="27"/>
      <c r="L14" s="27"/>
      <c r="M14" s="27"/>
      <c r="N14" s="27"/>
      <c r="O14" s="106"/>
      <c r="P14" s="37"/>
      <c r="Q14" s="106"/>
      <c r="R14" s="106"/>
      <c r="S14" s="111"/>
      <c r="T14" s="111"/>
      <c r="U14" s="106"/>
      <c r="V14" s="111"/>
      <c r="W14" s="106"/>
      <c r="X14" s="111"/>
      <c r="Y14" s="37"/>
      <c r="Z14" s="111"/>
      <c r="AA14" s="111"/>
      <c r="AB14" s="37"/>
    </row>
    <row r="15" spans="1:28" ht="15">
      <c r="A15" s="36" t="s">
        <v>65</v>
      </c>
      <c r="B15" s="37"/>
      <c r="C15" s="27"/>
      <c r="D15" s="27"/>
      <c r="E15" s="27"/>
      <c r="F15" s="27"/>
      <c r="G15" s="27"/>
      <c r="H15" s="27"/>
      <c r="I15" s="27"/>
      <c r="J15" s="45"/>
      <c r="K15" s="44"/>
      <c r="L15" s="44"/>
      <c r="M15" s="44"/>
      <c r="N15" s="44"/>
      <c r="O15" s="106"/>
      <c r="P15" s="37"/>
      <c r="Q15" s="106"/>
      <c r="R15" s="106"/>
      <c r="S15" s="111"/>
      <c r="T15" s="111"/>
      <c r="U15" s="106"/>
      <c r="V15" s="111"/>
      <c r="W15" s="106"/>
      <c r="X15" s="111"/>
      <c r="Y15" s="37"/>
      <c r="Z15" s="111"/>
      <c r="AA15" s="111"/>
      <c r="AB15" s="37"/>
    </row>
    <row r="16" spans="1:28" ht="15">
      <c r="A16" s="38" t="s">
        <v>66</v>
      </c>
      <c r="B16" s="77"/>
      <c r="C16" s="39"/>
      <c r="D16" s="27"/>
      <c r="E16" s="27"/>
      <c r="F16" s="27"/>
      <c r="G16" s="27"/>
      <c r="H16" s="27"/>
      <c r="I16" s="27"/>
      <c r="J16" s="35"/>
      <c r="K16" s="27"/>
      <c r="L16" s="27"/>
      <c r="M16" s="27"/>
      <c r="N16" s="27"/>
      <c r="O16" s="106"/>
      <c r="P16" s="37"/>
      <c r="Q16" s="106"/>
      <c r="R16" s="106"/>
      <c r="S16" s="111"/>
      <c r="T16" s="111"/>
      <c r="U16" s="106"/>
      <c r="V16" s="111"/>
      <c r="W16" s="106"/>
      <c r="X16" s="111"/>
      <c r="Y16" s="37"/>
      <c r="Z16" s="111"/>
      <c r="AA16" s="111"/>
      <c r="AB16" s="37"/>
    </row>
    <row r="17" spans="1:28" ht="16.5">
      <c r="A17" s="31" t="s">
        <v>88</v>
      </c>
      <c r="B17" s="32" t="s">
        <v>2</v>
      </c>
      <c r="C17" s="14">
        <v>300</v>
      </c>
      <c r="D17" s="27" t="s">
        <v>4</v>
      </c>
      <c r="E17" s="27"/>
      <c r="F17" s="27"/>
      <c r="G17" s="27"/>
      <c r="H17" s="27"/>
      <c r="I17" s="27"/>
      <c r="J17" s="35"/>
      <c r="K17" s="27"/>
      <c r="L17" s="27"/>
      <c r="M17" s="27"/>
      <c r="N17" s="27"/>
      <c r="O17" s="106"/>
      <c r="P17" s="37"/>
      <c r="Q17" s="106"/>
      <c r="R17" s="106"/>
      <c r="S17" s="111"/>
      <c r="T17" s="111"/>
      <c r="U17" s="106"/>
      <c r="V17" s="111"/>
      <c r="W17" s="106"/>
      <c r="X17" s="111"/>
      <c r="Y17" s="37"/>
      <c r="Z17" s="111"/>
      <c r="AA17" s="111"/>
      <c r="AB17" s="37"/>
    </row>
    <row r="18" spans="1:28" ht="16.5">
      <c r="A18" s="31" t="s">
        <v>89</v>
      </c>
      <c r="B18" s="32" t="s">
        <v>2</v>
      </c>
      <c r="C18" s="14">
        <v>12</v>
      </c>
      <c r="D18" s="27" t="s">
        <v>4</v>
      </c>
      <c r="E18" s="27"/>
      <c r="F18" s="27"/>
      <c r="G18" s="27"/>
      <c r="H18" s="27"/>
      <c r="I18" s="44"/>
      <c r="J18" s="35"/>
      <c r="K18" s="27"/>
      <c r="L18" s="27"/>
      <c r="M18" s="27"/>
      <c r="N18" s="27"/>
      <c r="O18" s="110"/>
      <c r="P18" s="37"/>
      <c r="Q18" s="110"/>
      <c r="R18" s="106"/>
      <c r="S18" s="111"/>
      <c r="T18" s="111"/>
      <c r="U18" s="106"/>
      <c r="V18" s="111"/>
      <c r="W18" s="106"/>
      <c r="X18" s="111"/>
      <c r="Y18" s="37"/>
      <c r="Z18" s="111"/>
      <c r="AA18" s="111"/>
      <c r="AB18" s="37"/>
    </row>
    <row r="19" spans="1:28" ht="16.5">
      <c r="A19" s="31" t="s">
        <v>90</v>
      </c>
      <c r="B19" s="32" t="s">
        <v>2</v>
      </c>
      <c r="C19" s="14">
        <v>700</v>
      </c>
      <c r="D19" s="27" t="s">
        <v>4</v>
      </c>
      <c r="E19" s="27"/>
      <c r="F19" s="27"/>
      <c r="G19" s="27"/>
      <c r="H19" s="27"/>
      <c r="I19" s="44"/>
      <c r="J19" s="35"/>
      <c r="K19" s="27"/>
      <c r="L19" s="27"/>
      <c r="M19" s="27"/>
      <c r="N19" s="27"/>
      <c r="O19" s="110"/>
      <c r="P19" s="37"/>
      <c r="Q19" s="110"/>
      <c r="R19" s="106"/>
      <c r="S19" s="111"/>
      <c r="T19" s="111"/>
      <c r="U19" s="106"/>
      <c r="V19" s="111"/>
      <c r="W19" s="106"/>
      <c r="X19" s="111"/>
      <c r="Y19" s="37"/>
      <c r="Z19" s="111"/>
      <c r="AA19" s="111"/>
      <c r="AB19" s="37"/>
    </row>
    <row r="20" spans="1:28" ht="16.5">
      <c r="A20" s="31" t="s">
        <v>91</v>
      </c>
      <c r="B20" s="32" t="s">
        <v>2</v>
      </c>
      <c r="C20" s="14">
        <v>10</v>
      </c>
      <c r="D20" s="27" t="s">
        <v>4</v>
      </c>
      <c r="E20" s="76"/>
      <c r="F20" s="76"/>
      <c r="G20" s="76"/>
      <c r="H20" s="76"/>
      <c r="I20" s="44"/>
      <c r="J20" s="45"/>
      <c r="K20" s="44"/>
      <c r="L20" s="44"/>
      <c r="M20" s="44"/>
      <c r="N20" s="44"/>
      <c r="O20" s="110"/>
      <c r="P20" s="37"/>
      <c r="Q20" s="110"/>
      <c r="R20" s="106"/>
      <c r="S20" s="111"/>
      <c r="T20" s="111"/>
      <c r="U20" s="106"/>
      <c r="V20" s="111"/>
      <c r="W20" s="106"/>
      <c r="X20" s="111"/>
      <c r="Y20" s="37"/>
      <c r="Z20" s="111"/>
      <c r="AA20" s="111"/>
      <c r="AB20" s="37"/>
    </row>
    <row r="21" spans="1:28" ht="16.5">
      <c r="A21" s="31" t="s">
        <v>92</v>
      </c>
      <c r="B21" s="32" t="s">
        <v>2</v>
      </c>
      <c r="C21" s="14">
        <v>300</v>
      </c>
      <c r="D21" s="27" t="s">
        <v>4</v>
      </c>
      <c r="E21" s="76"/>
      <c r="F21" s="76"/>
      <c r="G21" s="76"/>
      <c r="H21" s="76"/>
      <c r="I21" s="44"/>
      <c r="J21" s="45"/>
      <c r="K21" s="44"/>
      <c r="L21" s="44"/>
      <c r="M21" s="44"/>
      <c r="N21" s="44"/>
      <c r="O21" s="27"/>
      <c r="P21" s="107"/>
      <c r="Q21" s="118"/>
      <c r="R21" s="109"/>
      <c r="S21" s="119"/>
      <c r="T21" s="111"/>
      <c r="U21" s="106"/>
      <c r="V21" s="111"/>
      <c r="W21" s="106"/>
      <c r="X21" s="111"/>
      <c r="Y21" s="37"/>
      <c r="Z21" s="111"/>
      <c r="AA21" s="111"/>
      <c r="AB21" s="37"/>
    </row>
    <row r="22" spans="1:28" ht="16.5">
      <c r="A22" s="31" t="s">
        <v>93</v>
      </c>
      <c r="B22" s="32" t="s">
        <v>2</v>
      </c>
      <c r="C22" s="14">
        <v>12</v>
      </c>
      <c r="D22" s="27" t="s">
        <v>4</v>
      </c>
      <c r="E22" s="76"/>
      <c r="F22" s="76"/>
      <c r="G22" s="76"/>
      <c r="H22" s="76"/>
      <c r="I22" s="44"/>
      <c r="J22" s="45"/>
      <c r="K22" s="44"/>
      <c r="L22" s="44"/>
      <c r="M22" s="44"/>
      <c r="N22" s="44"/>
      <c r="O22" s="27"/>
      <c r="P22" s="107"/>
      <c r="Q22" s="118"/>
      <c r="R22" s="109"/>
      <c r="S22" s="119"/>
      <c r="T22" s="111"/>
      <c r="U22" s="106"/>
      <c r="V22" s="111"/>
      <c r="W22" s="106"/>
      <c r="X22" s="111"/>
      <c r="Y22" s="37"/>
      <c r="Z22" s="111"/>
      <c r="AA22" s="111"/>
      <c r="AB22" s="37"/>
    </row>
    <row r="23" spans="1:28" ht="15">
      <c r="A23" s="78"/>
      <c r="B23" s="76"/>
      <c r="C23" s="79"/>
      <c r="D23" s="76"/>
      <c r="E23" s="76"/>
      <c r="F23" s="76"/>
      <c r="G23" s="76"/>
      <c r="H23" s="76"/>
      <c r="I23" s="44"/>
      <c r="J23" s="35"/>
      <c r="K23" s="27"/>
      <c r="L23" s="27"/>
      <c r="M23" s="27"/>
      <c r="N23" s="27"/>
      <c r="O23" s="27"/>
      <c r="P23" s="107"/>
      <c r="Q23" s="118"/>
      <c r="R23" s="109"/>
      <c r="S23" s="119"/>
      <c r="T23" s="111"/>
      <c r="U23" s="106"/>
      <c r="V23" s="111"/>
      <c r="W23" s="106"/>
      <c r="X23" s="111"/>
      <c r="Y23" s="37"/>
      <c r="Z23" s="111"/>
      <c r="AA23" s="111"/>
      <c r="AB23" s="37"/>
    </row>
    <row r="24" spans="1:28" ht="15">
      <c r="A24" s="78"/>
      <c r="B24" s="76"/>
      <c r="C24" s="79"/>
      <c r="D24" s="76"/>
      <c r="E24" s="76"/>
      <c r="F24" s="76"/>
      <c r="G24" s="76"/>
      <c r="H24" s="76"/>
      <c r="I24" s="44"/>
      <c r="J24" s="35"/>
      <c r="K24" s="27"/>
      <c r="L24" s="27"/>
      <c r="M24" s="27"/>
      <c r="N24" s="27"/>
      <c r="O24" s="27"/>
      <c r="P24" s="107"/>
      <c r="Q24" s="118"/>
      <c r="R24" s="109"/>
      <c r="S24" s="119"/>
      <c r="T24" s="111"/>
      <c r="U24" s="106"/>
      <c r="V24" s="111"/>
      <c r="W24" s="106"/>
      <c r="X24" s="111"/>
      <c r="Y24" s="37"/>
      <c r="Z24" s="111"/>
      <c r="AA24" s="111"/>
      <c r="AB24" s="37"/>
    </row>
    <row r="25" spans="1:28" ht="15">
      <c r="A25" s="36" t="s">
        <v>67</v>
      </c>
      <c r="B25" s="37"/>
      <c r="C25" s="79"/>
      <c r="D25" s="76"/>
      <c r="E25" s="27"/>
      <c r="F25" s="27"/>
      <c r="G25" s="27"/>
      <c r="H25" s="27"/>
      <c r="I25" s="27"/>
      <c r="J25" s="35"/>
      <c r="K25" s="27"/>
      <c r="L25" s="27"/>
      <c r="M25" s="27"/>
      <c r="N25" s="27"/>
      <c r="O25" s="27"/>
      <c r="P25" s="107"/>
      <c r="Q25" s="118"/>
      <c r="R25" s="109"/>
      <c r="S25" s="119"/>
      <c r="T25" s="111"/>
      <c r="U25" s="106"/>
      <c r="V25" s="111"/>
      <c r="W25" s="106"/>
      <c r="X25" s="111"/>
      <c r="Y25" s="37"/>
      <c r="Z25" s="111"/>
      <c r="AA25" s="111"/>
      <c r="AB25" s="37"/>
    </row>
    <row r="26" spans="1:28" ht="15">
      <c r="A26" s="26" t="s">
        <v>68</v>
      </c>
      <c r="B26" s="27"/>
      <c r="C26" s="14">
        <v>14</v>
      </c>
      <c r="D26" s="30" t="s">
        <v>0</v>
      </c>
      <c r="E26" s="27"/>
      <c r="F26" s="27"/>
      <c r="G26" s="27"/>
      <c r="H26" s="27"/>
      <c r="I26" s="27"/>
      <c r="J26" s="35"/>
      <c r="K26" s="27"/>
      <c r="L26" s="27"/>
      <c r="M26" s="27"/>
      <c r="N26" s="27"/>
      <c r="O26" s="27"/>
      <c r="P26" s="107"/>
      <c r="Q26" s="118"/>
      <c r="R26" s="109"/>
      <c r="S26" s="119"/>
      <c r="T26" s="111"/>
      <c r="U26" s="106"/>
      <c r="V26" s="111"/>
      <c r="W26" s="106"/>
      <c r="X26" s="111"/>
      <c r="Y26" s="37"/>
      <c r="Z26" s="111"/>
      <c r="AA26" s="111"/>
      <c r="AB26" s="37"/>
    </row>
    <row r="27" spans="1:28" ht="15">
      <c r="A27" s="38" t="s">
        <v>69</v>
      </c>
      <c r="B27" s="30"/>
      <c r="C27" s="14">
        <v>8</v>
      </c>
      <c r="D27" s="30" t="s">
        <v>0</v>
      </c>
      <c r="E27" s="27"/>
      <c r="F27" s="27"/>
      <c r="G27" s="27"/>
      <c r="H27" s="27"/>
      <c r="I27" s="27"/>
      <c r="J27" s="35"/>
      <c r="K27" s="27"/>
      <c r="L27" s="27"/>
      <c r="M27" s="27"/>
      <c r="N27" s="27"/>
      <c r="O27" s="27"/>
      <c r="P27" s="107"/>
      <c r="Q27" s="118"/>
      <c r="R27" s="109"/>
      <c r="S27" s="119"/>
      <c r="T27" s="111"/>
      <c r="U27" s="106"/>
      <c r="V27" s="111"/>
      <c r="W27" s="106"/>
      <c r="X27" s="111"/>
      <c r="Y27" s="37"/>
      <c r="Z27" s="111"/>
      <c r="AA27" s="111"/>
      <c r="AB27" s="37"/>
    </row>
    <row r="28" spans="1:28" ht="15">
      <c r="A28" s="26" t="s">
        <v>70</v>
      </c>
      <c r="B28" s="80"/>
      <c r="C28" s="14">
        <v>10.5</v>
      </c>
      <c r="D28" s="30" t="s">
        <v>0</v>
      </c>
      <c r="E28" s="27"/>
      <c r="F28" s="27"/>
      <c r="G28" s="27"/>
      <c r="H28" s="27"/>
      <c r="I28" s="27"/>
      <c r="J28" s="35"/>
      <c r="K28" s="27"/>
      <c r="L28" s="27"/>
      <c r="M28" s="27"/>
      <c r="N28" s="27"/>
      <c r="O28" s="27"/>
      <c r="P28" s="107"/>
      <c r="Q28" s="118"/>
      <c r="R28" s="109"/>
      <c r="S28" s="119"/>
      <c r="T28" s="111"/>
      <c r="U28" s="106"/>
      <c r="V28" s="111"/>
      <c r="W28" s="106"/>
      <c r="X28" s="111"/>
      <c r="Y28" s="37"/>
      <c r="Z28" s="111"/>
      <c r="AA28" s="111"/>
      <c r="AB28" s="37"/>
    </row>
    <row r="29" spans="1:28" ht="15">
      <c r="A29" s="26" t="s">
        <v>71</v>
      </c>
      <c r="B29" s="80"/>
      <c r="C29" s="14">
        <v>8</v>
      </c>
      <c r="D29" s="30" t="s">
        <v>0</v>
      </c>
      <c r="E29" s="27"/>
      <c r="F29" s="27"/>
      <c r="G29" s="27"/>
      <c r="H29" s="27"/>
      <c r="I29" s="44"/>
      <c r="J29" s="35"/>
      <c r="K29" s="27"/>
      <c r="L29" s="27"/>
      <c r="M29" s="27"/>
      <c r="N29" s="27"/>
      <c r="O29" s="44"/>
      <c r="P29" s="107"/>
      <c r="Q29" s="118"/>
      <c r="R29" s="109"/>
      <c r="S29" s="119"/>
      <c r="T29" s="111"/>
      <c r="U29" s="106"/>
      <c r="V29" s="111"/>
      <c r="W29" s="106"/>
      <c r="X29" s="111"/>
      <c r="Y29" s="37"/>
      <c r="Z29" s="111"/>
      <c r="AA29" s="111"/>
      <c r="AB29" s="37"/>
    </row>
    <row r="30" spans="1:28" ht="15">
      <c r="A30" s="26" t="s">
        <v>72</v>
      </c>
      <c r="B30" s="42"/>
      <c r="C30" s="14">
        <v>25</v>
      </c>
      <c r="D30" s="30" t="s">
        <v>0</v>
      </c>
      <c r="E30" s="27"/>
      <c r="F30" s="27"/>
      <c r="G30" s="27"/>
      <c r="H30" s="27"/>
      <c r="I30" s="44"/>
      <c r="J30" s="45"/>
      <c r="K30" s="44"/>
      <c r="L30" s="44"/>
      <c r="M30" s="44"/>
      <c r="N30" s="44"/>
      <c r="O30" s="44"/>
      <c r="P30" s="107"/>
      <c r="Q30" s="118"/>
      <c r="R30" s="109"/>
      <c r="S30" s="119"/>
      <c r="T30" s="111"/>
      <c r="U30" s="106"/>
      <c r="V30" s="111"/>
      <c r="W30" s="106"/>
      <c r="X30" s="111"/>
      <c r="Y30" s="37"/>
      <c r="Z30" s="111"/>
      <c r="AA30" s="111"/>
      <c r="AB30" s="37"/>
    </row>
    <row r="31" spans="1:28" ht="18">
      <c r="A31" s="38" t="s">
        <v>73</v>
      </c>
      <c r="B31" s="42"/>
      <c r="C31" s="37">
        <v>44892.8</v>
      </c>
      <c r="D31" s="27" t="s">
        <v>16</v>
      </c>
      <c r="E31" s="76"/>
      <c r="F31" s="76"/>
      <c r="G31" s="76"/>
      <c r="H31" s="76"/>
      <c r="I31" s="44"/>
      <c r="J31" s="45"/>
      <c r="K31" s="44"/>
      <c r="L31" s="44"/>
      <c r="M31" s="44"/>
      <c r="N31" s="44"/>
      <c r="O31" s="44"/>
      <c r="P31" s="107"/>
      <c r="Q31" s="118"/>
      <c r="R31" s="109"/>
      <c r="S31" s="119"/>
      <c r="T31" s="111"/>
      <c r="U31" s="106"/>
      <c r="V31" s="111"/>
      <c r="W31" s="106"/>
      <c r="X31" s="111"/>
      <c r="Y31" s="37"/>
      <c r="Z31" s="111"/>
      <c r="AA31" s="111"/>
      <c r="AB31" s="37"/>
    </row>
    <row r="32" spans="1:28" ht="15">
      <c r="A32" s="38" t="s">
        <v>123</v>
      </c>
      <c r="B32" s="42"/>
      <c r="C32" s="14" t="s">
        <v>124</v>
      </c>
      <c r="D32" s="27"/>
      <c r="E32" s="76"/>
      <c r="F32" s="76"/>
      <c r="G32" s="76"/>
      <c r="H32" s="76"/>
      <c r="I32" s="44"/>
      <c r="J32" s="45"/>
      <c r="K32" s="44"/>
      <c r="L32" s="44"/>
      <c r="M32" s="44"/>
      <c r="N32" s="44"/>
      <c r="O32" s="44"/>
      <c r="P32" s="107"/>
      <c r="Q32" s="118"/>
      <c r="R32" s="109"/>
      <c r="S32" s="119"/>
      <c r="T32" s="111"/>
      <c r="U32" s="106"/>
      <c r="V32" s="111"/>
      <c r="W32" s="106"/>
      <c r="X32" s="111"/>
      <c r="Y32" s="37"/>
      <c r="Z32" s="111"/>
      <c r="AA32" s="111"/>
      <c r="AB32" s="37"/>
    </row>
    <row r="33" spans="1:28" ht="15">
      <c r="A33" s="70"/>
      <c r="B33" s="16"/>
      <c r="C33" s="133"/>
      <c r="D33" s="16"/>
      <c r="E33" s="76"/>
      <c r="F33" s="76"/>
      <c r="G33" s="76"/>
      <c r="H33" s="76"/>
      <c r="I33" s="44"/>
      <c r="J33" s="45"/>
      <c r="K33" s="44"/>
      <c r="L33" s="44"/>
      <c r="M33" s="44"/>
      <c r="N33" s="44"/>
      <c r="O33" s="44"/>
      <c r="P33" s="107"/>
      <c r="Q33" s="118"/>
      <c r="R33" s="109"/>
      <c r="S33" s="119"/>
      <c r="T33" s="111"/>
      <c r="U33" s="106"/>
      <c r="V33" s="111"/>
      <c r="W33" s="106"/>
      <c r="X33" s="111"/>
      <c r="Y33" s="37"/>
      <c r="Z33" s="111"/>
      <c r="AA33" s="111"/>
      <c r="AB33" s="37"/>
    </row>
    <row r="34" spans="1:28" ht="15">
      <c r="A34" s="36" t="s">
        <v>74</v>
      </c>
      <c r="B34" s="37"/>
      <c r="C34" s="27"/>
      <c r="D34" s="27"/>
      <c r="E34" s="76"/>
      <c r="F34" s="76"/>
      <c r="G34" s="76"/>
      <c r="H34" s="76"/>
      <c r="I34" s="44"/>
      <c r="J34" s="45"/>
      <c r="K34" s="44"/>
      <c r="L34" s="44"/>
      <c r="M34" s="44"/>
      <c r="N34" s="44"/>
      <c r="O34" s="44"/>
      <c r="P34" s="107"/>
      <c r="Q34" s="118"/>
      <c r="R34" s="109"/>
      <c r="S34" s="119"/>
      <c r="T34" s="111"/>
      <c r="U34" s="106"/>
      <c r="V34" s="111"/>
      <c r="W34" s="106"/>
      <c r="X34" s="111"/>
      <c r="Y34" s="37"/>
      <c r="Z34" s="111"/>
      <c r="AA34" s="111"/>
      <c r="AB34" s="37"/>
    </row>
    <row r="35" spans="1:28" ht="15">
      <c r="A35" s="31"/>
      <c r="B35" s="32"/>
      <c r="C35" s="37"/>
      <c r="D35" s="27"/>
      <c r="E35" s="76"/>
      <c r="F35" s="76"/>
      <c r="G35" s="76"/>
      <c r="H35" s="76"/>
      <c r="I35" s="44"/>
      <c r="J35" s="45"/>
      <c r="K35" s="44"/>
      <c r="L35" s="44"/>
      <c r="M35" s="44"/>
      <c r="N35" s="44"/>
      <c r="O35" s="44"/>
      <c r="P35" s="107"/>
      <c r="Q35" s="118"/>
      <c r="R35" s="109"/>
      <c r="S35" s="119"/>
      <c r="T35" s="111"/>
      <c r="U35" s="106"/>
      <c r="V35" s="111"/>
      <c r="W35" s="106"/>
      <c r="X35" s="111"/>
      <c r="Y35" s="37"/>
      <c r="Z35" s="111"/>
      <c r="AA35" s="111"/>
      <c r="AB35" s="37"/>
    </row>
    <row r="36" spans="1:15" ht="18">
      <c r="A36" s="31" t="s">
        <v>9</v>
      </c>
      <c r="B36" s="32" t="s">
        <v>2</v>
      </c>
      <c r="C36" s="37">
        <f>(C17*C18+C19*C20+C21*C22)/100</f>
        <v>142</v>
      </c>
      <c r="D36" s="27" t="s">
        <v>13</v>
      </c>
      <c r="E36" s="76"/>
      <c r="F36" s="76"/>
      <c r="G36" s="76"/>
      <c r="H36" s="76"/>
      <c r="I36" s="44"/>
      <c r="J36" s="45"/>
      <c r="K36" s="44"/>
      <c r="L36" s="44"/>
      <c r="M36" s="44"/>
      <c r="N36" s="44"/>
      <c r="O36" s="98" t="s">
        <v>64</v>
      </c>
    </row>
    <row r="37" spans="1:15" ht="18" customHeight="1">
      <c r="A37" s="31" t="s">
        <v>8</v>
      </c>
      <c r="B37" s="32" t="s">
        <v>2</v>
      </c>
      <c r="C37" s="37">
        <f>((C17*C18*(C22+C19+C18/2)+C19*C20*(C22+C19/2)+C21*C22*C22/2)/(C17*C18+C19*C20+C21*C22))/10</f>
        <v>36.2</v>
      </c>
      <c r="D37" s="27" t="s">
        <v>7</v>
      </c>
      <c r="E37" s="27"/>
      <c r="F37" s="27"/>
      <c r="G37" s="27"/>
      <c r="H37" s="27"/>
      <c r="I37" s="27"/>
      <c r="J37" s="45"/>
      <c r="K37" s="44"/>
      <c r="L37" s="44"/>
      <c r="M37" s="44"/>
      <c r="N37" s="44"/>
      <c r="O37" s="98" t="s">
        <v>75</v>
      </c>
    </row>
    <row r="38" spans="1:15" ht="18" customHeight="1">
      <c r="A38" s="31" t="s">
        <v>76</v>
      </c>
      <c r="B38" s="32" t="s">
        <v>2</v>
      </c>
      <c r="C38" s="37">
        <f>(((C17*C18*C17/2)+(C21*C22*C21/2)+(C19*C20*C17/2))/(100*C36))/10</f>
        <v>15</v>
      </c>
      <c r="D38" s="27" t="s">
        <v>7</v>
      </c>
      <c r="E38" s="27"/>
      <c r="F38" s="27"/>
      <c r="G38" s="27"/>
      <c r="H38" s="27"/>
      <c r="I38" s="27"/>
      <c r="J38" s="45"/>
      <c r="K38" s="44"/>
      <c r="L38" s="44"/>
      <c r="M38" s="44"/>
      <c r="N38" s="44"/>
      <c r="O38" s="99">
        <v>1</v>
      </c>
    </row>
    <row r="39" spans="1:18" ht="18.75">
      <c r="A39" s="31" t="s">
        <v>32</v>
      </c>
      <c r="B39" s="32" t="s">
        <v>2</v>
      </c>
      <c r="C39" s="37">
        <f>((C20*C19^3/12)+(C17*C18^3/12+C17*C18*(C18+C19+C22-C37*10-C18/2)^2)+(C21*C22^3/12+C21*C22*(C37*10-C22/2)^2))/10000</f>
        <v>119841.89333333333</v>
      </c>
      <c r="D39" s="27" t="s">
        <v>16</v>
      </c>
      <c r="E39" s="27"/>
      <c r="F39" s="27"/>
      <c r="G39" s="27"/>
      <c r="H39" s="27"/>
      <c r="I39" s="44"/>
      <c r="J39" s="45"/>
      <c r="K39" s="44"/>
      <c r="L39" s="44"/>
      <c r="M39" s="44"/>
      <c r="N39" s="44"/>
      <c r="O39" s="99">
        <v>10</v>
      </c>
      <c r="R39" s="66">
        <f>(699/(H8)^0.5)/(13*Q40-1)</f>
        <v>65.1332493944373</v>
      </c>
    </row>
    <row r="40" spans="1:18" ht="20.25">
      <c r="A40" s="31" t="s">
        <v>33</v>
      </c>
      <c r="B40" s="32" t="s">
        <v>2</v>
      </c>
      <c r="C40" s="37">
        <f>((C19*C20^3/12)+(C18*C17^3/12)+(C22*C21^3/12))/10000</f>
        <v>5405.833333333333</v>
      </c>
      <c r="D40" s="27" t="s">
        <v>16</v>
      </c>
      <c r="E40" s="27"/>
      <c r="F40" s="27"/>
      <c r="G40" s="27"/>
      <c r="H40" s="27"/>
      <c r="I40" s="44"/>
      <c r="J40" s="45"/>
      <c r="K40" s="44"/>
      <c r="L40" s="44"/>
      <c r="M40" s="44"/>
      <c r="N40" s="44"/>
      <c r="O40" s="100" t="s">
        <v>11</v>
      </c>
      <c r="P40" s="69" t="s">
        <v>2</v>
      </c>
      <c r="Q40" s="66">
        <f>0.5*(C13/((C19/10)*(C20/10)*H8)+1)</f>
        <v>0.6097982142857143</v>
      </c>
      <c r="R40" s="66">
        <f>(63.6/Q40)/(H8)^0.5</f>
        <v>67.32329237448928</v>
      </c>
    </row>
    <row r="41" spans="1:18" ht="18.75">
      <c r="A41" s="31" t="s">
        <v>34</v>
      </c>
      <c r="B41" s="32" t="s">
        <v>2</v>
      </c>
      <c r="C41" s="37">
        <f>C39/C37</f>
        <v>3310.549539594843</v>
      </c>
      <c r="D41" s="27" t="s">
        <v>14</v>
      </c>
      <c r="E41" s="76"/>
      <c r="F41" s="76"/>
      <c r="G41" s="76"/>
      <c r="H41" s="76"/>
      <c r="I41" s="44"/>
      <c r="J41" s="45"/>
      <c r="K41" s="44"/>
      <c r="L41" s="44"/>
      <c r="M41" s="44"/>
      <c r="N41" s="44"/>
      <c r="R41" s="101">
        <f>IF(Q40&gt;0.5,R39,R40)</f>
        <v>65.1332493944373</v>
      </c>
    </row>
    <row r="42" spans="1:18" ht="18.75">
      <c r="A42" s="31" t="s">
        <v>94</v>
      </c>
      <c r="B42" s="32" t="s">
        <v>2</v>
      </c>
      <c r="C42" s="37">
        <f>C40/C38</f>
        <v>360.38888888888886</v>
      </c>
      <c r="D42" s="27" t="s">
        <v>14</v>
      </c>
      <c r="E42" s="76"/>
      <c r="F42" s="76"/>
      <c r="G42" s="76"/>
      <c r="H42" s="76"/>
      <c r="I42" s="44"/>
      <c r="J42" s="45"/>
      <c r="K42" s="44"/>
      <c r="L42" s="44"/>
      <c r="M42" s="44"/>
      <c r="N42" s="44"/>
      <c r="O42" s="102" t="s">
        <v>77</v>
      </c>
      <c r="P42" s="69" t="s">
        <v>2</v>
      </c>
      <c r="Q42" s="66">
        <f>((-C13/C36)+(C10*100/C41))/((-C13/C36)-(C10*100/C41))</f>
        <v>-0.44330341906005416</v>
      </c>
      <c r="R42" s="66">
        <f>(190/(H8)^0.5)/(2+Q42)</f>
        <v>78.78508511648931</v>
      </c>
    </row>
    <row r="43" spans="1:19" ht="16.5">
      <c r="A43" s="31" t="s">
        <v>35</v>
      </c>
      <c r="B43" s="32" t="s">
        <v>2</v>
      </c>
      <c r="C43" s="37">
        <f>(C39/C36)^0.5</f>
        <v>29.050937941917887</v>
      </c>
      <c r="D43" s="27" t="s">
        <v>7</v>
      </c>
      <c r="E43" s="76"/>
      <c r="F43" s="76"/>
      <c r="G43" s="76"/>
      <c r="H43" s="76"/>
      <c r="I43" s="44"/>
      <c r="J43" s="45"/>
      <c r="K43" s="44"/>
      <c r="L43" s="44"/>
      <c r="M43" s="44"/>
      <c r="N43" s="44"/>
      <c r="O43" s="44"/>
      <c r="R43" s="103">
        <f>(95*(1-Q42)*(-Q42)^0.5)/(H8)^0.5</f>
        <v>58.92860568102072</v>
      </c>
      <c r="S43" s="58"/>
    </row>
    <row r="44" spans="1:19" ht="16.5">
      <c r="A44" s="31" t="s">
        <v>36</v>
      </c>
      <c r="B44" s="32" t="s">
        <v>2</v>
      </c>
      <c r="C44" s="37">
        <f>(C40/C36)^0.5</f>
        <v>6.170028267868072</v>
      </c>
      <c r="D44" s="27" t="s">
        <v>7</v>
      </c>
      <c r="E44" s="76"/>
      <c r="F44" s="76"/>
      <c r="G44" s="76"/>
      <c r="H44" s="76"/>
      <c r="I44" s="44"/>
      <c r="J44" s="45"/>
      <c r="K44" s="44"/>
      <c r="L44" s="44"/>
      <c r="M44" s="44"/>
      <c r="N44" s="44"/>
      <c r="O44" s="44"/>
      <c r="R44" s="104">
        <f>IF(Q42&gt;-1,R42,R43)</f>
        <v>78.78508511648931</v>
      </c>
      <c r="S44" s="58"/>
    </row>
    <row r="45" spans="1:19" ht="15">
      <c r="A45" s="22"/>
      <c r="B45" s="25"/>
      <c r="C45" s="25"/>
      <c r="D45" s="27"/>
      <c r="E45" s="76"/>
      <c r="F45" s="76"/>
      <c r="G45" s="76"/>
      <c r="H45" s="76"/>
      <c r="I45" s="44"/>
      <c r="J45" s="45"/>
      <c r="K45" s="44"/>
      <c r="L45" s="44"/>
      <c r="M45" s="44"/>
      <c r="N45" s="44"/>
      <c r="O45" s="44"/>
      <c r="R45" s="58" t="str">
        <f>IF(C47&lt;58/(H8)^0.5,"Compact",IF(AND(C47&gt;58/(H8)^0.5,C47&lt;64/(H8)^0.5),"Non compact","Slender"))</f>
        <v>Slender</v>
      </c>
      <c r="S45" s="16"/>
    </row>
    <row r="46" spans="1:18" ht="15">
      <c r="A46" s="36" t="s">
        <v>78</v>
      </c>
      <c r="B46" s="25"/>
      <c r="C46" s="25"/>
      <c r="D46" s="27"/>
      <c r="E46" s="76"/>
      <c r="F46" s="76"/>
      <c r="G46" s="76"/>
      <c r="H46" s="76"/>
      <c r="I46" s="44"/>
      <c r="J46" s="45"/>
      <c r="K46" s="44"/>
      <c r="L46" s="44"/>
      <c r="M46" s="44"/>
      <c r="N46" s="44"/>
      <c r="O46" s="44"/>
      <c r="P46" s="58"/>
      <c r="Q46" s="58"/>
      <c r="R46" s="69"/>
    </row>
    <row r="47" spans="1:21" ht="16.5">
      <c r="A47" s="46" t="s">
        <v>28</v>
      </c>
      <c r="B47" s="47" t="s">
        <v>2</v>
      </c>
      <c r="C47" s="81">
        <f>C19/C20</f>
        <v>70</v>
      </c>
      <c r="D47" s="23" t="s">
        <v>40</v>
      </c>
      <c r="E47" s="129" t="str">
        <f>IF(Q42&gt;1,R45,IF(C47&lt;R41,"Compact",IF(AND(C47&gt;R41,C47&lt;R44),"Non compact","Slender")))</f>
        <v>Non compact</v>
      </c>
      <c r="F47" s="27"/>
      <c r="G47" s="27"/>
      <c r="H47" s="27"/>
      <c r="I47" s="27"/>
      <c r="J47" s="48" t="s">
        <v>54</v>
      </c>
      <c r="K47" s="127"/>
      <c r="L47" s="127"/>
      <c r="M47" s="127"/>
      <c r="N47" s="127"/>
      <c r="O47" s="44"/>
      <c r="P47" s="58"/>
      <c r="Q47" s="58"/>
      <c r="R47" s="69"/>
      <c r="S47" s="69"/>
      <c r="T47" s="69"/>
      <c r="U47" s="69"/>
    </row>
    <row r="48" spans="1:21" ht="16.5">
      <c r="A48" s="46" t="s">
        <v>29</v>
      </c>
      <c r="B48" s="47" t="s">
        <v>2</v>
      </c>
      <c r="C48" s="47">
        <f>(C17/(2*C18))</f>
        <v>12.5</v>
      </c>
      <c r="D48" s="23" t="s">
        <v>41</v>
      </c>
      <c r="E48" s="129" t="str">
        <f>IF(C48&lt;(15.3/(H8)^0.5),"Compact",IF(C48&lt;(21/(H8)^0.5),"Non compact","Slender"))</f>
        <v>Non compact</v>
      </c>
      <c r="F48" s="76"/>
      <c r="G48" s="76"/>
      <c r="H48" s="76"/>
      <c r="I48" s="44"/>
      <c r="J48" s="48" t="s">
        <v>55</v>
      </c>
      <c r="K48" s="127"/>
      <c r="L48" s="127"/>
      <c r="M48" s="127"/>
      <c r="N48" s="127"/>
      <c r="O48" s="44"/>
      <c r="P48" s="58"/>
      <c r="Q48" s="58"/>
      <c r="R48" s="69"/>
      <c r="S48" s="69"/>
      <c r="T48" s="69"/>
      <c r="U48" s="69"/>
    </row>
    <row r="49" spans="1:21" ht="15">
      <c r="A49" s="49" t="s">
        <v>27</v>
      </c>
      <c r="B49" s="130" t="str">
        <f>IF(AND(E47="Compact",E48="Compact"),"Compact",IF(AND(E47&lt;&gt;"Slender",E48&lt;&gt;"Slender",OR(E47="Non compact",E48="Non compact")),"Non compact","Slender"))</f>
        <v>Non compact</v>
      </c>
      <c r="C49" s="24"/>
      <c r="D49" s="27"/>
      <c r="E49" s="76"/>
      <c r="F49" s="76"/>
      <c r="G49" s="76"/>
      <c r="H49" s="76"/>
      <c r="I49" s="44"/>
      <c r="J49" s="45"/>
      <c r="K49" s="44"/>
      <c r="L49" s="44"/>
      <c r="M49" s="44"/>
      <c r="N49" s="44"/>
      <c r="O49" s="44"/>
      <c r="P49" s="16"/>
      <c r="Q49" s="16"/>
      <c r="S49" s="69"/>
      <c r="T49" s="69"/>
      <c r="U49" s="69"/>
    </row>
    <row r="50" spans="1:21" ht="15">
      <c r="A50" s="70"/>
      <c r="B50" s="24"/>
      <c r="C50" s="24"/>
      <c r="D50" s="27"/>
      <c r="E50" s="76"/>
      <c r="F50" s="76"/>
      <c r="G50" s="76"/>
      <c r="H50" s="76"/>
      <c r="I50" s="44"/>
      <c r="J50" s="45"/>
      <c r="K50" s="44"/>
      <c r="L50" s="44"/>
      <c r="M50" s="44"/>
      <c r="N50" s="44"/>
      <c r="O50" s="44"/>
      <c r="P50" s="16"/>
      <c r="Q50" s="16"/>
      <c r="S50" s="69"/>
      <c r="T50" s="69"/>
      <c r="U50" s="69"/>
    </row>
    <row r="51" spans="1:21" ht="15">
      <c r="A51" s="36" t="s">
        <v>79</v>
      </c>
      <c r="B51" s="37"/>
      <c r="C51" s="27"/>
      <c r="D51" s="27"/>
      <c r="E51" s="76"/>
      <c r="F51" s="76"/>
      <c r="G51" s="76"/>
      <c r="H51" s="76"/>
      <c r="I51" s="44"/>
      <c r="J51" s="45"/>
      <c r="K51" s="44"/>
      <c r="L51" s="44"/>
      <c r="M51" s="44"/>
      <c r="N51" s="44"/>
      <c r="O51" s="44"/>
      <c r="P51" s="16"/>
      <c r="Q51" s="16"/>
      <c r="S51" s="69"/>
      <c r="T51" s="69"/>
      <c r="U51" s="69"/>
    </row>
    <row r="52" spans="1:17" ht="19.5" thickBot="1">
      <c r="A52" s="136" t="s">
        <v>30</v>
      </c>
      <c r="B52" s="137" t="s">
        <v>2</v>
      </c>
      <c r="C52" s="137">
        <f>C10*100/C41</f>
        <v>0.6735739711277371</v>
      </c>
      <c r="D52" s="51" t="s">
        <v>15</v>
      </c>
      <c r="E52" s="82"/>
      <c r="F52" s="82"/>
      <c r="G52" s="138"/>
      <c r="H52" s="137"/>
      <c r="I52" s="137"/>
      <c r="J52" s="139"/>
      <c r="K52" s="37"/>
      <c r="L52" s="37"/>
      <c r="M52" s="37"/>
      <c r="N52" s="37"/>
      <c r="O52" s="37"/>
      <c r="P52" s="27"/>
      <c r="Q52" s="16"/>
    </row>
    <row r="53" spans="1:17" ht="18.75">
      <c r="A53" s="31" t="s">
        <v>95</v>
      </c>
      <c r="B53" s="37" t="s">
        <v>2</v>
      </c>
      <c r="C53" s="37">
        <f>C12*100/C42</f>
        <v>0</v>
      </c>
      <c r="D53" s="27" t="s">
        <v>15</v>
      </c>
      <c r="E53" s="76"/>
      <c r="F53" s="76"/>
      <c r="G53" s="32"/>
      <c r="H53" s="37"/>
      <c r="I53" s="37"/>
      <c r="J53" s="83"/>
      <c r="K53" s="37"/>
      <c r="L53" s="37"/>
      <c r="M53" s="37"/>
      <c r="N53" s="37"/>
      <c r="O53" s="37"/>
      <c r="P53" s="27"/>
      <c r="Q53" s="16"/>
    </row>
    <row r="54" spans="1:17" ht="18.75">
      <c r="A54" s="31" t="s">
        <v>96</v>
      </c>
      <c r="B54" s="32" t="s">
        <v>2</v>
      </c>
      <c r="C54" s="37">
        <f>0.72*H8</f>
        <v>1.728</v>
      </c>
      <c r="D54" s="27" t="s">
        <v>15</v>
      </c>
      <c r="E54" s="76"/>
      <c r="F54" s="76"/>
      <c r="G54" s="32"/>
      <c r="H54" s="37"/>
      <c r="I54" s="37"/>
      <c r="J54" s="83"/>
      <c r="K54" s="37"/>
      <c r="L54" s="37"/>
      <c r="M54" s="37"/>
      <c r="N54" s="37"/>
      <c r="O54" s="37"/>
      <c r="P54" s="27"/>
      <c r="Q54" s="16"/>
    </row>
    <row r="55" spans="1:17" ht="18.75">
      <c r="A55" s="31" t="s">
        <v>17</v>
      </c>
      <c r="B55" s="37" t="s">
        <v>2</v>
      </c>
      <c r="C55" s="37">
        <f>C13/C36</f>
        <v>0.25980422535211267</v>
      </c>
      <c r="D55" s="27" t="s">
        <v>15</v>
      </c>
      <c r="E55" s="27"/>
      <c r="F55" s="27"/>
      <c r="G55" s="84"/>
      <c r="H55" s="27"/>
      <c r="I55" s="44"/>
      <c r="J55" s="45"/>
      <c r="K55" s="44"/>
      <c r="L55" s="44"/>
      <c r="M55" s="44"/>
      <c r="N55" s="44"/>
      <c r="O55" s="44"/>
      <c r="P55" s="16"/>
      <c r="Q55" s="16"/>
    </row>
    <row r="56" spans="1:17" ht="18">
      <c r="A56" s="55" t="s">
        <v>11</v>
      </c>
      <c r="B56" s="37" t="s">
        <v>2</v>
      </c>
      <c r="C56" s="85">
        <f>C11/C10</f>
        <v>0</v>
      </c>
      <c r="D56" s="27"/>
      <c r="E56" s="27"/>
      <c r="F56" s="27"/>
      <c r="G56" s="27"/>
      <c r="H56" s="27"/>
      <c r="I56" s="44"/>
      <c r="J56" s="45"/>
      <c r="K56" s="44"/>
      <c r="L56" s="44"/>
      <c r="M56" s="44"/>
      <c r="N56" s="44"/>
      <c r="O56" s="44"/>
      <c r="P56" s="16"/>
      <c r="Q56" s="16"/>
    </row>
    <row r="57" spans="1:17" ht="16.5">
      <c r="A57" s="31" t="s">
        <v>97</v>
      </c>
      <c r="B57" s="37" t="s">
        <v>2</v>
      </c>
      <c r="C57" s="37">
        <f>MIN(1.75+1.05*C56+0.3*(C56)^2,2.3)</f>
        <v>1.75</v>
      </c>
      <c r="D57" s="27"/>
      <c r="E57" s="27"/>
      <c r="F57" s="27"/>
      <c r="G57" s="27"/>
      <c r="H57" s="27"/>
      <c r="I57" s="44"/>
      <c r="J57" s="45"/>
      <c r="K57" s="44"/>
      <c r="L57" s="44"/>
      <c r="M57" s="44"/>
      <c r="N57" s="44"/>
      <c r="O57" s="44"/>
      <c r="P57" s="16"/>
      <c r="Q57" s="16"/>
    </row>
    <row r="58" spans="1:17" ht="16.5">
      <c r="A58" s="152" t="s">
        <v>12</v>
      </c>
      <c r="B58" s="153" t="s">
        <v>2</v>
      </c>
      <c r="C58" s="27" t="s">
        <v>25</v>
      </c>
      <c r="D58" s="27"/>
      <c r="E58" s="16"/>
      <c r="F58" s="32">
        <f>(20*(C17/1000))/(H8^0.5)</f>
        <v>3.8729833462074166</v>
      </c>
      <c r="G58" s="27" t="s">
        <v>0</v>
      </c>
      <c r="H58" s="150">
        <f>MIN(F58,F59)</f>
        <v>3.8729833462074166</v>
      </c>
      <c r="I58" s="150" t="s">
        <v>0</v>
      </c>
      <c r="J58" s="50" t="s">
        <v>56</v>
      </c>
      <c r="K58" s="32"/>
      <c r="L58" s="32"/>
      <c r="M58" s="32"/>
      <c r="N58" s="32"/>
      <c r="O58" s="44"/>
      <c r="P58" s="16"/>
      <c r="Q58" s="16"/>
    </row>
    <row r="59" spans="1:23" ht="18.75">
      <c r="A59" s="152"/>
      <c r="B59" s="153"/>
      <c r="C59" s="27" t="s">
        <v>26</v>
      </c>
      <c r="D59" s="27"/>
      <c r="E59" s="27"/>
      <c r="F59" s="37">
        <f>(1380*C57*(C17*C18/100)/(H8*10*C19))</f>
        <v>5.175</v>
      </c>
      <c r="G59" s="27" t="s">
        <v>0</v>
      </c>
      <c r="H59" s="150"/>
      <c r="I59" s="150"/>
      <c r="J59" s="50" t="s">
        <v>57</v>
      </c>
      <c r="K59" s="32"/>
      <c r="L59" s="32"/>
      <c r="M59" s="32"/>
      <c r="N59" s="32"/>
      <c r="O59" s="44"/>
      <c r="P59" s="32" t="s">
        <v>37</v>
      </c>
      <c r="Q59" s="32" t="s">
        <v>2</v>
      </c>
      <c r="R59" s="63">
        <f>MIN((800*C57*C17*C18)/(1000*(C19-2*C18)*C27),0.58*H8)</f>
        <v>0.9319526627218935</v>
      </c>
      <c r="S59" s="27" t="s">
        <v>15</v>
      </c>
      <c r="T59" s="64" t="s">
        <v>114</v>
      </c>
      <c r="U59" s="64" t="s">
        <v>2</v>
      </c>
      <c r="V59" s="97">
        <f>((C18*C17^3/12)+(C19*C20^3/36))/10000</f>
        <v>2701.9444444444443</v>
      </c>
      <c r="W59" s="27" t="s">
        <v>16</v>
      </c>
    </row>
    <row r="60" spans="1:23" ht="18">
      <c r="A60" s="31"/>
      <c r="B60" s="27" t="s">
        <v>80</v>
      </c>
      <c r="C60" s="27"/>
      <c r="D60" s="27"/>
      <c r="E60" s="27"/>
      <c r="F60" s="132" t="str">
        <f>IF(AND(H58&gt;C27),"No L.T.B","There is L.T.B")</f>
        <v>There is L.T.B</v>
      </c>
      <c r="G60" s="41"/>
      <c r="H60" s="27"/>
      <c r="I60" s="27"/>
      <c r="J60" s="35"/>
      <c r="K60" s="27"/>
      <c r="L60" s="27"/>
      <c r="M60" s="27"/>
      <c r="N60" s="27"/>
      <c r="O60" s="27"/>
      <c r="P60" s="32" t="s">
        <v>115</v>
      </c>
      <c r="Q60" s="32" t="s">
        <v>2</v>
      </c>
      <c r="R60" s="64">
        <f>(C18*C17+C20*C19/6)/100</f>
        <v>47.66666666666667</v>
      </c>
      <c r="S60" s="27" t="s">
        <v>13</v>
      </c>
      <c r="T60" s="64" t="s">
        <v>19</v>
      </c>
      <c r="U60" s="64" t="s">
        <v>2</v>
      </c>
      <c r="V60" s="62">
        <f>(V59/R60)^0.5</f>
        <v>7.528887645871014</v>
      </c>
      <c r="W60" s="27" t="s">
        <v>7</v>
      </c>
    </row>
    <row r="61" spans="1:23" ht="18">
      <c r="A61" s="31" t="s">
        <v>24</v>
      </c>
      <c r="B61" s="32" t="s">
        <v>2</v>
      </c>
      <c r="C61" s="32">
        <f>IF(F60="There is L.T.B",R66,R67)</f>
        <v>1.392</v>
      </c>
      <c r="D61" s="27" t="s">
        <v>15</v>
      </c>
      <c r="E61" s="27"/>
      <c r="F61" s="151"/>
      <c r="G61" s="151"/>
      <c r="H61" s="34"/>
      <c r="I61" s="59"/>
      <c r="J61" s="35"/>
      <c r="K61" s="27"/>
      <c r="L61" s="27"/>
      <c r="M61" s="27"/>
      <c r="N61" s="27"/>
      <c r="O61" s="27"/>
      <c r="P61" s="32" t="s">
        <v>21</v>
      </c>
      <c r="Q61" s="32" t="s">
        <v>2</v>
      </c>
      <c r="R61" s="64">
        <f>C27*100/V60</f>
        <v>106.25739652772417</v>
      </c>
      <c r="S61" s="62"/>
      <c r="T61" s="64">
        <f>84*(C57/H8)^0.5</f>
        <v>71.7286553617172</v>
      </c>
      <c r="U61" s="64">
        <f>188*(C57/H8)^0.5</f>
        <v>160.53556200003374</v>
      </c>
      <c r="V61" s="62"/>
      <c r="W61" s="27"/>
    </row>
    <row r="62" spans="1:23" ht="18.75">
      <c r="A62" s="31" t="s">
        <v>31</v>
      </c>
      <c r="B62" s="32" t="s">
        <v>2</v>
      </c>
      <c r="C62" s="32">
        <f>C61</f>
        <v>1.392</v>
      </c>
      <c r="D62" s="27" t="s">
        <v>15</v>
      </c>
      <c r="E62" s="27"/>
      <c r="F62" s="53"/>
      <c r="G62" s="41"/>
      <c r="H62" s="27"/>
      <c r="I62" s="27"/>
      <c r="J62" s="35"/>
      <c r="K62" s="27"/>
      <c r="L62" s="27"/>
      <c r="M62" s="27"/>
      <c r="N62" s="27"/>
      <c r="O62" s="27"/>
      <c r="P62" s="32" t="s">
        <v>20</v>
      </c>
      <c r="Q62" s="32" t="s">
        <v>2</v>
      </c>
      <c r="R62" s="64">
        <f>0.58*H8</f>
        <v>1.392</v>
      </c>
      <c r="S62" s="27" t="s">
        <v>15</v>
      </c>
      <c r="T62" s="64"/>
      <c r="U62" s="64"/>
      <c r="V62" s="62"/>
      <c r="W62" s="27"/>
    </row>
    <row r="63" spans="1:23" ht="18.75">
      <c r="A63" s="31" t="s">
        <v>98</v>
      </c>
      <c r="B63" s="32" t="s">
        <v>2</v>
      </c>
      <c r="C63" s="128">
        <v>10</v>
      </c>
      <c r="D63" s="27" t="s">
        <v>81</v>
      </c>
      <c r="E63" s="27"/>
      <c r="F63" s="27"/>
      <c r="G63" s="27"/>
      <c r="H63" s="27"/>
      <c r="I63" s="44"/>
      <c r="J63" s="45"/>
      <c r="K63" s="44"/>
      <c r="L63" s="44"/>
      <c r="M63" s="44"/>
      <c r="N63" s="44"/>
      <c r="O63" s="44"/>
      <c r="P63" s="32" t="s">
        <v>22</v>
      </c>
      <c r="Q63" s="32" t="s">
        <v>2</v>
      </c>
      <c r="R63" s="64">
        <f>MIN(ABS((0.64-((R61^2*2.4)/(1.176*10^5*C57)))*H8),0.58*H8)</f>
        <v>1.219993908333061</v>
      </c>
      <c r="S63" s="27" t="s">
        <v>15</v>
      </c>
      <c r="T63" s="64"/>
      <c r="U63" s="64"/>
      <c r="V63" s="65"/>
      <c r="W63" s="27"/>
    </row>
    <row r="64" spans="1:23" ht="18.75">
      <c r="A64" s="31" t="s">
        <v>99</v>
      </c>
      <c r="B64" s="32" t="s">
        <v>2</v>
      </c>
      <c r="C64" s="37">
        <f>(C39/C26)/(C31/C30)</f>
        <v>4.7669867095031035</v>
      </c>
      <c r="D64" s="27"/>
      <c r="E64" s="27"/>
      <c r="F64" s="27"/>
      <c r="G64" s="27"/>
      <c r="H64" s="27"/>
      <c r="I64" s="44"/>
      <c r="J64" s="45"/>
      <c r="K64" s="44"/>
      <c r="L64" s="44"/>
      <c r="M64" s="44"/>
      <c r="N64" s="44"/>
      <c r="O64" s="44"/>
      <c r="P64" s="32" t="s">
        <v>23</v>
      </c>
      <c r="Q64" s="32" t="s">
        <v>2</v>
      </c>
      <c r="R64" s="64">
        <f>MIN((12000*C57)/R61^2,0.58*H8)</f>
        <v>1.392</v>
      </c>
      <c r="S64" s="27" t="s">
        <v>15</v>
      </c>
      <c r="T64" s="64"/>
      <c r="U64" s="64"/>
      <c r="V64" s="62"/>
      <c r="W64" s="62"/>
    </row>
    <row r="65" spans="1:23" ht="18">
      <c r="A65" s="31" t="s">
        <v>82</v>
      </c>
      <c r="B65" s="32" t="s">
        <v>2</v>
      </c>
      <c r="C65" s="14">
        <v>2.45</v>
      </c>
      <c r="D65" s="27" t="s">
        <v>83</v>
      </c>
      <c r="E65" s="27"/>
      <c r="F65" s="27"/>
      <c r="G65" s="27"/>
      <c r="H65" s="27"/>
      <c r="I65" s="44"/>
      <c r="J65" s="45"/>
      <c r="K65" s="44"/>
      <c r="L65" s="44"/>
      <c r="M65" s="44"/>
      <c r="N65" s="44"/>
      <c r="O65" s="44"/>
      <c r="P65" s="32" t="s">
        <v>38</v>
      </c>
      <c r="Q65" s="32" t="s">
        <v>2</v>
      </c>
      <c r="R65" s="64">
        <f>IF(R61&lt;T61,R62,IF(AND(R61&gt;T61,R61&lt;U61),R63,R64))</f>
        <v>1.219993908333061</v>
      </c>
      <c r="S65" s="27" t="s">
        <v>15</v>
      </c>
      <c r="T65" s="32"/>
      <c r="U65" s="32"/>
      <c r="V65" s="64"/>
      <c r="W65" s="27"/>
    </row>
    <row r="66" spans="1:23" ht="18.75">
      <c r="A66" s="31" t="s">
        <v>18</v>
      </c>
      <c r="B66" s="37" t="s">
        <v>2</v>
      </c>
      <c r="C66" s="37">
        <f>C65*C28</f>
        <v>25.725</v>
      </c>
      <c r="D66" s="27" t="s">
        <v>0</v>
      </c>
      <c r="E66" s="27"/>
      <c r="F66" s="27"/>
      <c r="G66" s="54"/>
      <c r="H66" s="27"/>
      <c r="I66" s="44"/>
      <c r="J66" s="45"/>
      <c r="K66" s="44"/>
      <c r="L66" s="44"/>
      <c r="M66" s="44"/>
      <c r="N66" s="44"/>
      <c r="O66" s="44"/>
      <c r="P66" s="32" t="s">
        <v>24</v>
      </c>
      <c r="Q66" s="32" t="s">
        <v>2</v>
      </c>
      <c r="R66" s="64">
        <f>MIN((R59^2+R65^2)^0.5,0.58*H8)</f>
        <v>1.392</v>
      </c>
      <c r="S66" s="27" t="s">
        <v>15</v>
      </c>
      <c r="T66" s="27"/>
      <c r="U66" s="62"/>
      <c r="V66" s="62"/>
      <c r="W66" s="62"/>
    </row>
    <row r="67" spans="1:23" ht="18.75">
      <c r="A67" s="86" t="s">
        <v>100</v>
      </c>
      <c r="B67" s="37" t="s">
        <v>2</v>
      </c>
      <c r="C67" s="87">
        <f>C29</f>
        <v>8</v>
      </c>
      <c r="D67" s="44" t="s">
        <v>0</v>
      </c>
      <c r="E67" s="44"/>
      <c r="F67" s="44"/>
      <c r="G67" s="44"/>
      <c r="H67" s="44"/>
      <c r="I67" s="44"/>
      <c r="J67" s="45"/>
      <c r="K67" s="44"/>
      <c r="L67" s="44"/>
      <c r="M67" s="44"/>
      <c r="N67" s="44"/>
      <c r="O67" s="44"/>
      <c r="P67" s="32" t="s">
        <v>39</v>
      </c>
      <c r="Q67" s="32" t="s">
        <v>2</v>
      </c>
      <c r="R67" s="32">
        <f>IF(B49="Compact",0.64*H8,0.58*H8)</f>
        <v>1.392</v>
      </c>
      <c r="S67" s="27" t="s">
        <v>15</v>
      </c>
      <c r="T67" s="32"/>
      <c r="U67" s="32"/>
      <c r="V67" s="32"/>
      <c r="W67" s="27"/>
    </row>
    <row r="68" spans="1:17" ht="18">
      <c r="A68" s="88" t="s">
        <v>101</v>
      </c>
      <c r="B68" s="37" t="s">
        <v>2</v>
      </c>
      <c r="C68" s="87">
        <f>C66*100/C43</f>
        <v>88.55135779585672</v>
      </c>
      <c r="D68" s="44"/>
      <c r="E68" s="44"/>
      <c r="F68" s="44"/>
      <c r="G68" s="44"/>
      <c r="H68" s="44"/>
      <c r="I68" s="44"/>
      <c r="J68" s="45"/>
      <c r="K68" s="44"/>
      <c r="L68" s="44"/>
      <c r="M68" s="44"/>
      <c r="N68" s="44"/>
      <c r="O68" s="44"/>
      <c r="P68" s="16"/>
      <c r="Q68" s="16"/>
    </row>
    <row r="69" spans="1:17" ht="18">
      <c r="A69" s="88" t="s">
        <v>102</v>
      </c>
      <c r="B69" s="37" t="s">
        <v>2</v>
      </c>
      <c r="C69" s="87">
        <f>C67*100/C44</f>
        <v>129.65904940277102</v>
      </c>
      <c r="D69" s="44"/>
      <c r="E69" s="44"/>
      <c r="F69" s="44"/>
      <c r="G69" s="44"/>
      <c r="H69" s="40"/>
      <c r="I69" s="44"/>
      <c r="J69" s="45"/>
      <c r="K69" s="44"/>
      <c r="L69" s="44"/>
      <c r="M69" s="44"/>
      <c r="N69" s="44"/>
      <c r="O69" s="44"/>
      <c r="P69" s="16"/>
      <c r="Q69" s="16"/>
    </row>
    <row r="70" spans="1:17" ht="18">
      <c r="A70" s="26"/>
      <c r="B70" s="27"/>
      <c r="C70" s="27"/>
      <c r="D70" s="89" t="s">
        <v>103</v>
      </c>
      <c r="E70" s="90" t="s">
        <v>2</v>
      </c>
      <c r="F70" s="87">
        <f>MAX(C68,C69)</f>
        <v>129.65904940277102</v>
      </c>
      <c r="G70" s="44" t="s">
        <v>10</v>
      </c>
      <c r="H70" s="131" t="str">
        <f>IF(AND(F70&lt;180),"SAFE","Unsafe")</f>
        <v>SAFE</v>
      </c>
      <c r="I70" s="44"/>
      <c r="J70" s="48" t="s">
        <v>58</v>
      </c>
      <c r="K70" s="127"/>
      <c r="L70" s="127"/>
      <c r="M70" s="127"/>
      <c r="N70" s="127"/>
      <c r="O70" s="44"/>
      <c r="P70" s="16"/>
      <c r="Q70" s="16"/>
    </row>
    <row r="71" spans="1:17" ht="18.75">
      <c r="A71" s="86" t="s">
        <v>104</v>
      </c>
      <c r="B71" s="37" t="s">
        <v>2</v>
      </c>
      <c r="C71" s="37">
        <f>IF(AND(F70&lt;100),(O5-P5*(F70)^2),(7500/(F70)^2))</f>
        <v>0.4461240096830985</v>
      </c>
      <c r="D71" s="44" t="s">
        <v>105</v>
      </c>
      <c r="E71" s="44"/>
      <c r="F71" s="44"/>
      <c r="G71" s="44"/>
      <c r="H71" s="44"/>
      <c r="I71" s="44"/>
      <c r="J71" s="45"/>
      <c r="K71" s="44"/>
      <c r="L71" s="44"/>
      <c r="M71" s="44"/>
      <c r="N71" s="44"/>
      <c r="O71" s="44"/>
      <c r="P71" s="16"/>
      <c r="Q71" s="16"/>
    </row>
    <row r="72" spans="1:17" ht="16.5">
      <c r="A72" s="86" t="s">
        <v>106</v>
      </c>
      <c r="B72" s="37" t="s">
        <v>2</v>
      </c>
      <c r="C72" s="87">
        <f>C55/C71</f>
        <v>0.5823587605981194</v>
      </c>
      <c r="D72" s="44"/>
      <c r="E72" s="25"/>
      <c r="F72" s="25"/>
      <c r="G72" s="25"/>
      <c r="H72" s="44"/>
      <c r="I72" s="91"/>
      <c r="J72" s="92"/>
      <c r="K72" s="91"/>
      <c r="L72" s="91"/>
      <c r="M72" s="91"/>
      <c r="N72" s="91"/>
      <c r="O72" s="91"/>
      <c r="P72" s="16"/>
      <c r="Q72" s="16"/>
    </row>
    <row r="73" spans="1:17" ht="16.5">
      <c r="A73" s="86" t="s">
        <v>107</v>
      </c>
      <c r="B73" s="37" t="s">
        <v>2</v>
      </c>
      <c r="C73" s="14">
        <v>0.85</v>
      </c>
      <c r="D73" s="44"/>
      <c r="E73" s="25"/>
      <c r="F73" s="25"/>
      <c r="G73" s="25"/>
      <c r="H73" s="44"/>
      <c r="I73" s="91"/>
      <c r="J73" s="92"/>
      <c r="K73" s="91"/>
      <c r="L73" s="91"/>
      <c r="M73" s="91"/>
      <c r="N73" s="91"/>
      <c r="O73" s="91"/>
      <c r="P73" s="16"/>
      <c r="Q73" s="16"/>
    </row>
    <row r="74" spans="1:17" ht="16.5">
      <c r="A74" s="86" t="s">
        <v>108</v>
      </c>
      <c r="B74" s="37" t="s">
        <v>2</v>
      </c>
      <c r="C74" s="87">
        <f>IF(AND(C72&lt;0.15),"1.00",MAX(((C73/(1-C55/(7500/(C68)^2)))),1))</f>
        <v>1.1669869625678955</v>
      </c>
      <c r="D74" s="27"/>
      <c r="E74" s="27"/>
      <c r="F74" s="27"/>
      <c r="G74" s="27"/>
      <c r="H74" s="27"/>
      <c r="I74" s="91"/>
      <c r="J74" s="92"/>
      <c r="K74" s="91"/>
      <c r="L74" s="91"/>
      <c r="M74" s="91"/>
      <c r="N74" s="91"/>
      <c r="O74" s="91"/>
      <c r="P74" s="16"/>
      <c r="Q74" s="16"/>
    </row>
    <row r="75" spans="1:17" ht="16.5">
      <c r="A75" s="86" t="s">
        <v>109</v>
      </c>
      <c r="B75" s="37" t="s">
        <v>2</v>
      </c>
      <c r="C75" s="14">
        <v>1</v>
      </c>
      <c r="D75" s="27"/>
      <c r="E75" s="27"/>
      <c r="F75" s="27"/>
      <c r="G75" s="27"/>
      <c r="H75" s="27"/>
      <c r="I75" s="91"/>
      <c r="J75" s="92"/>
      <c r="K75" s="91"/>
      <c r="L75" s="91"/>
      <c r="M75" s="91"/>
      <c r="N75" s="91"/>
      <c r="O75" s="91"/>
      <c r="P75" s="16"/>
      <c r="Q75" s="16"/>
    </row>
    <row r="76" spans="1:17" ht="16.5">
      <c r="A76" s="86" t="s">
        <v>110</v>
      </c>
      <c r="B76" s="37" t="s">
        <v>2</v>
      </c>
      <c r="C76" s="87">
        <f>IF(AND(C72&lt;0.15),"1.00",MAX(((C75/(1-C55/(7500/(C69)^2)))),1))</f>
        <v>2.3943995603311037</v>
      </c>
      <c r="D76" s="44"/>
      <c r="E76" s="32"/>
      <c r="F76" s="37"/>
      <c r="G76" s="27"/>
      <c r="H76" s="44"/>
      <c r="I76" s="93"/>
      <c r="J76" s="94"/>
      <c r="K76" s="93"/>
      <c r="L76" s="93"/>
      <c r="M76" s="93"/>
      <c r="N76" s="93"/>
      <c r="O76" s="93"/>
      <c r="P76" s="16"/>
      <c r="Q76" s="16"/>
    </row>
    <row r="77" spans="1:17" ht="15">
      <c r="A77" s="86"/>
      <c r="B77" s="33"/>
      <c r="C77" s="44"/>
      <c r="D77" s="44"/>
      <c r="E77" s="32"/>
      <c r="F77" s="37"/>
      <c r="G77" s="27"/>
      <c r="H77" s="44"/>
      <c r="I77" s="93"/>
      <c r="J77" s="94"/>
      <c r="K77" s="93"/>
      <c r="L77" s="93"/>
      <c r="M77" s="93"/>
      <c r="N77" s="93"/>
      <c r="O77" s="93"/>
      <c r="P77" s="16"/>
      <c r="Q77" s="16"/>
    </row>
    <row r="78" spans="1:17" ht="15">
      <c r="A78" s="56" t="s">
        <v>84</v>
      </c>
      <c r="B78" s="27"/>
      <c r="C78" s="27"/>
      <c r="D78" s="27"/>
      <c r="E78" s="32"/>
      <c r="F78" s="37"/>
      <c r="G78" s="27"/>
      <c r="H78" s="44"/>
      <c r="I78" s="93"/>
      <c r="J78" s="94"/>
      <c r="K78" s="93"/>
      <c r="L78" s="93"/>
      <c r="M78" s="93"/>
      <c r="N78" s="93"/>
      <c r="O78" s="93"/>
      <c r="P78" s="16"/>
      <c r="Q78" s="16"/>
    </row>
    <row r="79" spans="1:14" ht="15">
      <c r="A79" s="86"/>
      <c r="B79" s="33"/>
      <c r="C79" s="44"/>
      <c r="D79" s="44"/>
      <c r="E79" s="32"/>
      <c r="F79" s="37"/>
      <c r="G79" s="27"/>
      <c r="H79" s="44"/>
      <c r="I79" s="16"/>
      <c r="J79" s="43"/>
      <c r="K79" s="16"/>
      <c r="L79" s="16"/>
      <c r="M79" s="16"/>
      <c r="N79" s="16"/>
    </row>
    <row r="80" spans="1:17" ht="15.75" customHeight="1">
      <c r="A80" s="135" t="s">
        <v>111</v>
      </c>
      <c r="B80" s="16"/>
      <c r="C80" s="44"/>
      <c r="D80" s="57">
        <f>C72+(C52/C62)*C74+(C53/C54)*C76</f>
        <v>1.14705131995958</v>
      </c>
      <c r="E80" s="37" t="str">
        <f>IF(D80&gt;F80,"&gt;","&lt;")</f>
        <v>&lt;</v>
      </c>
      <c r="F80" s="95">
        <f>IF(C7="a",1,1.2)</f>
        <v>1.2</v>
      </c>
      <c r="G80" s="95"/>
      <c r="H80" s="131" t="str">
        <f>IF(AND(D80&lt;F80),"SAFE","Unsafe")</f>
        <v>SAFE</v>
      </c>
      <c r="I80" s="96"/>
      <c r="J80" s="50" t="s">
        <v>60</v>
      </c>
      <c r="K80" s="32"/>
      <c r="L80" s="32"/>
      <c r="M80" s="32"/>
      <c r="N80" s="32"/>
      <c r="O80" s="115"/>
      <c r="P80" s="116"/>
      <c r="Q80" s="117"/>
    </row>
    <row r="81" spans="1:14" ht="15.75" customHeight="1">
      <c r="A81" s="70"/>
      <c r="B81" s="16"/>
      <c r="C81" s="16"/>
      <c r="D81" s="16"/>
      <c r="E81" s="16"/>
      <c r="F81" s="16"/>
      <c r="G81" s="16"/>
      <c r="H81" s="16"/>
      <c r="I81" s="16"/>
      <c r="J81" s="43"/>
      <c r="K81" s="16"/>
      <c r="L81" s="16"/>
      <c r="M81" s="16"/>
      <c r="N81" s="16"/>
    </row>
    <row r="82" spans="1:14" ht="15.75" customHeight="1">
      <c r="A82" s="70"/>
      <c r="B82" s="16"/>
      <c r="C82" s="16"/>
      <c r="D82" s="16"/>
      <c r="E82" s="16"/>
      <c r="F82" s="16"/>
      <c r="G82" s="16"/>
      <c r="H82" s="16"/>
      <c r="I82" s="16"/>
      <c r="J82" s="43"/>
      <c r="K82" s="16"/>
      <c r="L82" s="16"/>
      <c r="M82" s="16"/>
      <c r="N82" s="16"/>
    </row>
    <row r="83" spans="1:14" ht="15.75" customHeight="1">
      <c r="A83" s="70"/>
      <c r="J83" s="43"/>
      <c r="K83" s="16"/>
      <c r="L83" s="16"/>
      <c r="M83" s="16"/>
      <c r="N83" s="16"/>
    </row>
    <row r="84" spans="1:14" ht="15.75" customHeight="1">
      <c r="A84" s="70"/>
      <c r="J84" s="43"/>
      <c r="K84" s="16"/>
      <c r="L84" s="16"/>
      <c r="M84" s="16"/>
      <c r="N84" s="16"/>
    </row>
    <row r="85" spans="1:14" ht="15.75" customHeight="1">
      <c r="A85" s="70"/>
      <c r="J85" s="43"/>
      <c r="K85" s="16"/>
      <c r="L85" s="16"/>
      <c r="M85" s="16"/>
      <c r="N85" s="16"/>
    </row>
    <row r="86" spans="1:14" ht="15.75" customHeight="1">
      <c r="A86" s="70"/>
      <c r="J86" s="43"/>
      <c r="K86" s="16"/>
      <c r="L86" s="16"/>
      <c r="M86" s="16"/>
      <c r="N86" s="16"/>
    </row>
    <row r="87" spans="1:14" ht="15.75" customHeight="1">
      <c r="A87" s="70"/>
      <c r="J87" s="43"/>
      <c r="K87" s="16"/>
      <c r="L87" s="16"/>
      <c r="M87" s="16"/>
      <c r="N87" s="16"/>
    </row>
    <row r="88" spans="1:14" ht="15.75" customHeight="1">
      <c r="A88" s="70"/>
      <c r="J88" s="43"/>
      <c r="K88" s="16"/>
      <c r="L88" s="16"/>
      <c r="M88" s="16"/>
      <c r="N88" s="16"/>
    </row>
    <row r="89" spans="1:14" ht="15.75" customHeight="1">
      <c r="A89" s="70"/>
      <c r="J89" s="43"/>
      <c r="K89" s="16"/>
      <c r="L89" s="16"/>
      <c r="M89" s="16"/>
      <c r="N89" s="16"/>
    </row>
    <row r="90" spans="1:14" ht="15.75" customHeight="1">
      <c r="A90" s="70"/>
      <c r="J90" s="43"/>
      <c r="K90" s="16"/>
      <c r="L90" s="16"/>
      <c r="M90" s="16"/>
      <c r="N90" s="16"/>
    </row>
    <row r="91" spans="1:14" ht="15.75" customHeight="1">
      <c r="A91" s="70"/>
      <c r="J91" s="43"/>
      <c r="K91" s="16"/>
      <c r="L91" s="16"/>
      <c r="M91" s="16"/>
      <c r="N91" s="16"/>
    </row>
    <row r="92" spans="1:14" ht="15.75" customHeight="1">
      <c r="A92" s="70"/>
      <c r="J92" s="43"/>
      <c r="K92" s="16"/>
      <c r="L92" s="16"/>
      <c r="M92" s="16"/>
      <c r="N92" s="16"/>
    </row>
    <row r="93" spans="1:14" ht="15.75" customHeight="1">
      <c r="A93" s="70"/>
      <c r="B93" s="16"/>
      <c r="C93" s="16"/>
      <c r="D93" s="16"/>
      <c r="E93" s="16"/>
      <c r="F93" s="16"/>
      <c r="G93" s="16"/>
      <c r="H93" s="16"/>
      <c r="I93" s="16"/>
      <c r="J93" s="43"/>
      <c r="K93" s="16"/>
      <c r="L93" s="16"/>
      <c r="M93" s="16"/>
      <c r="N93" s="16"/>
    </row>
    <row r="94" spans="1:14" ht="15.75" customHeight="1">
      <c r="A94" s="70"/>
      <c r="B94" s="16"/>
      <c r="C94" s="16"/>
      <c r="D94" s="16"/>
      <c r="E94" s="16"/>
      <c r="F94" s="16"/>
      <c r="G94" s="16"/>
      <c r="H94" s="16"/>
      <c r="I94" s="16"/>
      <c r="J94" s="43"/>
      <c r="K94" s="16"/>
      <c r="L94" s="16"/>
      <c r="M94" s="16"/>
      <c r="N94" s="16"/>
    </row>
    <row r="95" spans="1:14" ht="15.75" customHeight="1">
      <c r="A95" s="70"/>
      <c r="B95" s="16"/>
      <c r="C95" s="16"/>
      <c r="D95" s="16"/>
      <c r="E95" s="16"/>
      <c r="F95" s="16"/>
      <c r="G95" s="16"/>
      <c r="H95" s="16"/>
      <c r="I95" s="16"/>
      <c r="J95" s="43"/>
      <c r="K95" s="16"/>
      <c r="L95" s="16"/>
      <c r="M95" s="16"/>
      <c r="N95" s="16"/>
    </row>
    <row r="96" spans="1:14" ht="15.75" customHeight="1">
      <c r="A96" s="70"/>
      <c r="B96" s="16"/>
      <c r="C96" s="16"/>
      <c r="D96" s="16"/>
      <c r="E96" s="16"/>
      <c r="F96" s="16"/>
      <c r="G96" s="16"/>
      <c r="H96" s="16"/>
      <c r="I96" s="16"/>
      <c r="J96" s="43"/>
      <c r="K96" s="16"/>
      <c r="L96" s="16"/>
      <c r="M96" s="16"/>
      <c r="N96" s="16"/>
    </row>
    <row r="97" spans="1:14" ht="15.75" customHeight="1">
      <c r="A97" s="70"/>
      <c r="B97" s="16"/>
      <c r="C97" s="16"/>
      <c r="D97" s="16"/>
      <c r="E97" s="16"/>
      <c r="F97" s="16"/>
      <c r="G97" s="16"/>
      <c r="H97" s="16"/>
      <c r="I97" s="16"/>
      <c r="J97" s="43"/>
      <c r="K97" s="16"/>
      <c r="L97" s="16"/>
      <c r="M97" s="16"/>
      <c r="N97" s="16"/>
    </row>
    <row r="98" spans="1:10" ht="15.75" customHeight="1" thickBot="1">
      <c r="A98" s="60"/>
      <c r="B98" s="21"/>
      <c r="C98" s="21"/>
      <c r="D98" s="21"/>
      <c r="E98" s="21"/>
      <c r="F98" s="21"/>
      <c r="G98" s="21"/>
      <c r="H98" s="21"/>
      <c r="I98" s="21"/>
      <c r="J98" s="61"/>
    </row>
    <row r="99" ht="15.75" customHeight="1"/>
    <row r="100" ht="15.75" customHeight="1"/>
  </sheetData>
  <sheetProtection/>
  <mergeCells count="8">
    <mergeCell ref="D1:G1"/>
    <mergeCell ref="H1:I2"/>
    <mergeCell ref="D2:G2"/>
    <mergeCell ref="I58:I59"/>
    <mergeCell ref="F61:G61"/>
    <mergeCell ref="A58:A59"/>
    <mergeCell ref="B58:B59"/>
    <mergeCell ref="H58:H59"/>
  </mergeCells>
  <conditionalFormatting sqref="E47:E48">
    <cfRule type="cellIs" priority="1" dxfId="1" operator="equal" stopIfTrue="1">
      <formula>"Compact"</formula>
    </cfRule>
    <cfRule type="cellIs" priority="2" dxfId="1" operator="equal" stopIfTrue="1">
      <formula>"Non compact"</formula>
    </cfRule>
    <cfRule type="cellIs" priority="3" dxfId="0" operator="equal" stopIfTrue="1">
      <formula>"Slender"</formula>
    </cfRule>
  </conditionalFormatting>
  <conditionalFormatting sqref="B49">
    <cfRule type="cellIs" priority="4" dxfId="1" operator="equal" stopIfTrue="1">
      <formula>"Compact"</formula>
    </cfRule>
    <cfRule type="cellIs" priority="5" dxfId="1" operator="equal" stopIfTrue="1">
      <formula>"Non compact"</formula>
    </cfRule>
    <cfRule type="cellIs" priority="6" dxfId="1" operator="equal" stopIfTrue="1">
      <formula>"Slender"</formula>
    </cfRule>
  </conditionalFormatting>
  <conditionalFormatting sqref="H70 H80">
    <cfRule type="cellIs" priority="7" dxfId="1" operator="equal" stopIfTrue="1">
      <formula>"SAFE"</formula>
    </cfRule>
    <cfRule type="cellIs" priority="8" dxfId="0" operator="equal" stopIfTrue="1">
      <formula>"Unsafe"</formula>
    </cfRule>
  </conditionalFormatting>
  <dataValidations count="4">
    <dataValidation type="list" allowBlank="1" showInputMessage="1" showErrorMessage="1" sqref="C16">
      <formula1>$O$6:$O$34</formula1>
    </dataValidation>
    <dataValidation type="list" allowBlank="1" showInputMessage="1" showErrorMessage="1" sqref="B7">
      <formula1>$O$36:$O$37</formula1>
    </dataValidation>
    <dataValidation type="list" allowBlank="1" showInputMessage="1" showErrorMessage="1" sqref="G7">
      <formula1>$O$2:$O$4</formula1>
    </dataValidation>
    <dataValidation type="list" allowBlank="1" showInputMessage="1" showErrorMessage="1" sqref="C32">
      <formula1>$O$7:$O$8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5" r:id="rId4"/>
  <colBreaks count="1" manualBreakCount="1">
    <brk id="15" max="65535" man="1"/>
  </colBreaks>
  <drawing r:id="rId3"/>
  <legacyDrawing r:id="rId2"/>
  <oleObjects>
    <oleObject progId="AutoCAD.Drawing.17" shapeId="13459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showGridLines="0" view="pageBreakPreview" zoomScaleSheetLayoutView="100" zoomScalePageLayoutView="0" workbookViewId="0" topLeftCell="A55">
      <selection activeCell="L9" sqref="L9"/>
    </sheetView>
  </sheetViews>
  <sheetFormatPr defaultColWidth="9.140625" defaultRowHeight="12.75"/>
  <cols>
    <col min="1" max="1" width="17.140625" style="66" customWidth="1"/>
    <col min="2" max="2" width="15.00390625" style="66" customWidth="1"/>
    <col min="3" max="3" width="11.140625" style="66" customWidth="1"/>
    <col min="4" max="5" width="9.140625" style="66" customWidth="1"/>
    <col min="6" max="6" width="10.00390625" style="66" customWidth="1"/>
    <col min="7" max="17" width="9.140625" style="66" customWidth="1"/>
    <col min="18" max="18" width="11.8515625" style="66" bestFit="1" customWidth="1"/>
    <col min="19" max="20" width="9.140625" style="66" customWidth="1"/>
    <col min="21" max="21" width="9.28125" style="66" bestFit="1" customWidth="1"/>
    <col min="22" max="22" width="13.28125" style="66" bestFit="1" customWidth="1"/>
    <col min="23" max="23" width="10.57421875" style="66" bestFit="1" customWidth="1"/>
    <col min="24" max="16384" width="9.140625" style="66" customWidth="1"/>
  </cols>
  <sheetData>
    <row r="1" spans="1:14" ht="19.5" customHeight="1">
      <c r="A1" s="2" t="s">
        <v>44</v>
      </c>
      <c r="B1" s="15"/>
      <c r="C1" s="15"/>
      <c r="D1" s="140" t="s">
        <v>50</v>
      </c>
      <c r="E1" s="141"/>
      <c r="F1" s="141"/>
      <c r="G1" s="142"/>
      <c r="H1" s="143" t="s">
        <v>51</v>
      </c>
      <c r="I1" s="144"/>
      <c r="J1" s="112"/>
      <c r="K1" s="16"/>
      <c r="L1" s="16"/>
      <c r="M1" s="16"/>
      <c r="N1" s="16"/>
    </row>
    <row r="2" spans="1:15" ht="19.5" customHeight="1" thickBot="1">
      <c r="A2" s="3" t="s">
        <v>45</v>
      </c>
      <c r="B2" s="16"/>
      <c r="C2" s="16"/>
      <c r="D2" s="147" t="s">
        <v>113</v>
      </c>
      <c r="E2" s="148"/>
      <c r="F2" s="148"/>
      <c r="G2" s="149"/>
      <c r="H2" s="145"/>
      <c r="I2" s="146"/>
      <c r="J2" s="113"/>
      <c r="K2" s="16"/>
      <c r="L2" s="16"/>
      <c r="M2" s="16"/>
      <c r="N2" s="16"/>
      <c r="O2" s="66" t="s">
        <v>117</v>
      </c>
    </row>
    <row r="3" spans="1:15" ht="19.5" customHeight="1">
      <c r="A3" s="4" t="s">
        <v>46</v>
      </c>
      <c r="B3" s="16"/>
      <c r="C3" s="16"/>
      <c r="D3" s="17" t="s">
        <v>43</v>
      </c>
      <c r="E3" s="18" t="s">
        <v>48</v>
      </c>
      <c r="F3" s="19" t="s">
        <v>49</v>
      </c>
      <c r="G3" s="20" t="s">
        <v>48</v>
      </c>
      <c r="H3" s="6" t="s">
        <v>52</v>
      </c>
      <c r="I3" s="13"/>
      <c r="J3" s="113"/>
      <c r="K3" s="16"/>
      <c r="L3" s="16"/>
      <c r="M3" s="16"/>
      <c r="N3" s="16"/>
      <c r="O3" s="66" t="s">
        <v>118</v>
      </c>
    </row>
    <row r="4" spans="1:15" ht="19.5" customHeight="1" thickBot="1">
      <c r="A4" s="5" t="s">
        <v>47</v>
      </c>
      <c r="B4" s="21"/>
      <c r="C4" s="21"/>
      <c r="D4" s="8" t="s">
        <v>61</v>
      </c>
      <c r="E4" s="9"/>
      <c r="F4" s="10"/>
      <c r="G4" s="11"/>
      <c r="H4" s="7" t="s">
        <v>53</v>
      </c>
      <c r="I4" s="12"/>
      <c r="J4" s="114"/>
      <c r="K4" s="16"/>
      <c r="L4" s="16"/>
      <c r="M4" s="16"/>
      <c r="N4" s="16"/>
      <c r="O4" s="66" t="s">
        <v>119</v>
      </c>
    </row>
    <row r="5" spans="1:28" ht="15">
      <c r="A5" s="67" t="s">
        <v>62</v>
      </c>
      <c r="B5" s="134" t="s">
        <v>112</v>
      </c>
      <c r="C5" s="71"/>
      <c r="D5" s="72"/>
      <c r="E5" s="52"/>
      <c r="F5" s="52"/>
      <c r="G5" s="73"/>
      <c r="H5" s="74"/>
      <c r="I5" s="52"/>
      <c r="J5" s="1" t="s">
        <v>42</v>
      </c>
      <c r="K5" s="125"/>
      <c r="L5" s="125"/>
      <c r="M5" s="125"/>
      <c r="N5" s="125"/>
      <c r="O5" s="122">
        <f>IF(G7="St.37",1.4,IF(G7="St.44",1.6,2.1))</f>
        <v>2.1</v>
      </c>
      <c r="P5" s="123">
        <f>IF(G7="St.37",0.000065,IF(G7="St.44",0.000085,0.000135))</f>
        <v>0.000135</v>
      </c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8" ht="15">
      <c r="A6" s="26"/>
      <c r="B6" s="27"/>
      <c r="C6" s="27"/>
      <c r="D6" s="27"/>
      <c r="E6" s="27"/>
      <c r="F6" s="27"/>
      <c r="G6" s="27"/>
      <c r="H6" s="27"/>
      <c r="I6" s="44"/>
      <c r="J6" s="28" t="s">
        <v>59</v>
      </c>
      <c r="K6" s="126"/>
      <c r="L6" s="126"/>
      <c r="M6" s="126"/>
      <c r="N6" s="126"/>
      <c r="O6" s="110"/>
      <c r="P6" s="37"/>
      <c r="Q6" s="110"/>
      <c r="R6" s="106"/>
      <c r="S6" s="111"/>
      <c r="T6" s="111"/>
      <c r="U6" s="106"/>
      <c r="V6" s="111"/>
      <c r="W6" s="106"/>
      <c r="X6" s="111"/>
      <c r="Y6" s="37"/>
      <c r="Z6" s="111"/>
      <c r="AA6" s="111"/>
      <c r="AB6" s="37"/>
    </row>
    <row r="7" spans="1:28" ht="15">
      <c r="A7" s="22" t="s">
        <v>63</v>
      </c>
      <c r="B7" s="105" t="s">
        <v>75</v>
      </c>
      <c r="C7" s="75" t="str">
        <f>IF(B7="(D.L+L.L)","a","b")</f>
        <v>b</v>
      </c>
      <c r="D7" s="76"/>
      <c r="E7" s="76"/>
      <c r="F7" s="76" t="s">
        <v>116</v>
      </c>
      <c r="G7" s="124" t="s">
        <v>119</v>
      </c>
      <c r="H7" s="76"/>
      <c r="I7" s="16"/>
      <c r="J7" s="43"/>
      <c r="K7" s="16"/>
      <c r="L7" s="16"/>
      <c r="M7" s="16"/>
      <c r="N7" s="16"/>
      <c r="O7" s="110" t="s">
        <v>124</v>
      </c>
      <c r="P7" s="37"/>
      <c r="Q7" s="110"/>
      <c r="R7" s="106"/>
      <c r="S7" s="111"/>
      <c r="T7" s="111"/>
      <c r="U7" s="106"/>
      <c r="V7" s="111"/>
      <c r="W7" s="106"/>
      <c r="X7" s="111"/>
      <c r="Y7" s="37"/>
      <c r="Z7" s="111"/>
      <c r="AA7" s="111"/>
      <c r="AB7" s="37"/>
    </row>
    <row r="8" spans="1:28" ht="18.75">
      <c r="A8" s="68"/>
      <c r="B8" s="76"/>
      <c r="C8" s="76"/>
      <c r="D8" s="76"/>
      <c r="E8" s="76"/>
      <c r="F8" s="42" t="s">
        <v>120</v>
      </c>
      <c r="G8" s="120" t="s">
        <v>2</v>
      </c>
      <c r="H8" s="121">
        <f>IF(G7="St.37",2.4,IF(G7="St.44",2.8,3.6))</f>
        <v>3.6</v>
      </c>
      <c r="I8" s="27" t="s">
        <v>15</v>
      </c>
      <c r="J8" s="43"/>
      <c r="K8" s="16"/>
      <c r="L8" s="16"/>
      <c r="M8" s="16"/>
      <c r="N8" s="16"/>
      <c r="O8" s="110" t="s">
        <v>125</v>
      </c>
      <c r="P8" s="37"/>
      <c r="Q8" s="110"/>
      <c r="R8" s="106"/>
      <c r="S8" s="111"/>
      <c r="T8" s="111"/>
      <c r="U8" s="106"/>
      <c r="V8" s="111"/>
      <c r="W8" s="106"/>
      <c r="X8" s="111"/>
      <c r="Y8" s="37"/>
      <c r="Z8" s="111"/>
      <c r="AA8" s="111"/>
      <c r="AB8" s="37"/>
    </row>
    <row r="9" spans="1:28" ht="18.75">
      <c r="A9" s="22" t="s">
        <v>5</v>
      </c>
      <c r="B9" s="29"/>
      <c r="C9" s="27"/>
      <c r="D9" s="27"/>
      <c r="E9" s="30"/>
      <c r="F9" s="42" t="s">
        <v>121</v>
      </c>
      <c r="G9" s="120" t="s">
        <v>2</v>
      </c>
      <c r="H9" s="37">
        <f>IF(G7="St.37",3.6,IF(G7="St.44",4.4,5.2))</f>
        <v>5.2</v>
      </c>
      <c r="I9" s="27" t="s">
        <v>15</v>
      </c>
      <c r="J9" s="45"/>
      <c r="K9" s="44"/>
      <c r="L9" s="44"/>
      <c r="M9" s="44"/>
      <c r="N9" s="44"/>
      <c r="O9" s="110"/>
      <c r="P9" s="37"/>
      <c r="Q9" s="110"/>
      <c r="R9" s="106"/>
      <c r="S9" s="111"/>
      <c r="T9" s="111"/>
      <c r="U9" s="106"/>
      <c r="V9" s="111"/>
      <c r="W9" s="106"/>
      <c r="X9" s="111"/>
      <c r="Y9" s="37"/>
      <c r="Z9" s="111"/>
      <c r="AA9" s="111"/>
      <c r="AB9" s="37"/>
    </row>
    <row r="10" spans="1:28" ht="16.5">
      <c r="A10" s="31" t="s">
        <v>85</v>
      </c>
      <c r="B10" s="32" t="s">
        <v>2</v>
      </c>
      <c r="C10" s="14">
        <v>0.001</v>
      </c>
      <c r="D10" s="27" t="s">
        <v>6</v>
      </c>
      <c r="E10" s="30"/>
      <c r="F10" s="30"/>
      <c r="G10" s="30"/>
      <c r="H10" s="30"/>
      <c r="I10" s="44"/>
      <c r="J10" s="45"/>
      <c r="K10" s="44"/>
      <c r="L10" s="44"/>
      <c r="M10" s="44"/>
      <c r="N10" s="44"/>
      <c r="O10" s="110"/>
      <c r="P10" s="37"/>
      <c r="Q10" s="110"/>
      <c r="R10" s="106"/>
      <c r="S10" s="111"/>
      <c r="T10" s="111"/>
      <c r="U10" s="106"/>
      <c r="V10" s="111"/>
      <c r="W10" s="106"/>
      <c r="X10" s="111"/>
      <c r="Y10" s="37"/>
      <c r="Z10" s="111"/>
      <c r="AA10" s="111"/>
      <c r="AB10" s="37"/>
    </row>
    <row r="11" spans="1:28" ht="16.5">
      <c r="A11" s="31" t="s">
        <v>86</v>
      </c>
      <c r="B11" s="32" t="s">
        <v>2</v>
      </c>
      <c r="C11" s="14">
        <v>0</v>
      </c>
      <c r="D11" s="27" t="s">
        <v>6</v>
      </c>
      <c r="E11" s="30" t="s">
        <v>122</v>
      </c>
      <c r="F11" s="30"/>
      <c r="G11" s="30"/>
      <c r="H11" s="30"/>
      <c r="I11" s="44"/>
      <c r="J11" s="45"/>
      <c r="K11" s="44"/>
      <c r="L11" s="44"/>
      <c r="M11" s="44"/>
      <c r="N11" s="44"/>
      <c r="O11" s="106"/>
      <c r="P11" s="37"/>
      <c r="Q11" s="106"/>
      <c r="R11" s="106"/>
      <c r="S11" s="111"/>
      <c r="T11" s="111"/>
      <c r="U11" s="106"/>
      <c r="V11" s="111"/>
      <c r="W11" s="106"/>
      <c r="X11" s="111"/>
      <c r="Y11" s="37"/>
      <c r="Z11" s="111"/>
      <c r="AA11" s="111"/>
      <c r="AB11" s="37"/>
    </row>
    <row r="12" spans="1:28" ht="16.5">
      <c r="A12" s="31" t="s">
        <v>87</v>
      </c>
      <c r="B12" s="32" t="s">
        <v>2</v>
      </c>
      <c r="C12" s="14">
        <v>0</v>
      </c>
      <c r="D12" s="27" t="s">
        <v>6</v>
      </c>
      <c r="E12" s="30"/>
      <c r="F12" s="30"/>
      <c r="G12" s="30"/>
      <c r="H12" s="30"/>
      <c r="I12" s="44"/>
      <c r="J12" s="45"/>
      <c r="K12" s="44"/>
      <c r="L12" s="44"/>
      <c r="M12" s="44"/>
      <c r="N12" s="44"/>
      <c r="O12" s="110"/>
      <c r="P12" s="37"/>
      <c r="Q12" s="110"/>
      <c r="R12" s="106"/>
      <c r="S12" s="111"/>
      <c r="T12" s="111"/>
      <c r="U12" s="106"/>
      <c r="V12" s="111"/>
      <c r="W12" s="106"/>
      <c r="X12" s="111"/>
      <c r="Y12" s="37"/>
      <c r="Z12" s="111"/>
      <c r="AA12" s="111"/>
      <c r="AB12" s="37"/>
    </row>
    <row r="13" spans="1:28" ht="15">
      <c r="A13" s="31" t="s">
        <v>1</v>
      </c>
      <c r="B13" s="32" t="s">
        <v>2</v>
      </c>
      <c r="C13" s="14">
        <v>28</v>
      </c>
      <c r="D13" s="27" t="s">
        <v>3</v>
      </c>
      <c r="E13" s="27"/>
      <c r="F13" s="27"/>
      <c r="G13" s="27"/>
      <c r="H13" s="27"/>
      <c r="I13" s="27"/>
      <c r="J13" s="35"/>
      <c r="K13" s="27"/>
      <c r="L13" s="27"/>
      <c r="M13" s="27"/>
      <c r="N13" s="27"/>
      <c r="O13" s="106"/>
      <c r="P13" s="37"/>
      <c r="Q13" s="106"/>
      <c r="R13" s="106"/>
      <c r="S13" s="111"/>
      <c r="T13" s="111"/>
      <c r="U13" s="106"/>
      <c r="V13" s="111"/>
      <c r="W13" s="106"/>
      <c r="X13" s="111"/>
      <c r="Y13" s="37"/>
      <c r="Z13" s="111"/>
      <c r="AA13" s="111"/>
      <c r="AB13" s="37"/>
    </row>
    <row r="14" spans="1:28" ht="15">
      <c r="A14" s="31"/>
      <c r="B14" s="27"/>
      <c r="C14" s="27"/>
      <c r="D14" s="27"/>
      <c r="E14" s="27"/>
      <c r="F14" s="27"/>
      <c r="G14" s="27"/>
      <c r="H14" s="27"/>
      <c r="I14" s="27"/>
      <c r="J14" s="35"/>
      <c r="K14" s="27"/>
      <c r="L14" s="27"/>
      <c r="M14" s="27"/>
      <c r="N14" s="27"/>
      <c r="O14" s="106"/>
      <c r="P14" s="37"/>
      <c r="Q14" s="106"/>
      <c r="R14" s="106"/>
      <c r="S14" s="111"/>
      <c r="T14" s="111"/>
      <c r="U14" s="106"/>
      <c r="V14" s="111"/>
      <c r="W14" s="106"/>
      <c r="X14" s="111"/>
      <c r="Y14" s="37"/>
      <c r="Z14" s="111"/>
      <c r="AA14" s="111"/>
      <c r="AB14" s="37"/>
    </row>
    <row r="15" spans="1:28" ht="15">
      <c r="A15" s="36" t="s">
        <v>65</v>
      </c>
      <c r="B15" s="37"/>
      <c r="C15" s="27"/>
      <c r="D15" s="27"/>
      <c r="E15" s="27"/>
      <c r="F15" s="27"/>
      <c r="G15" s="27"/>
      <c r="H15" s="27"/>
      <c r="I15" s="27"/>
      <c r="J15" s="45"/>
      <c r="K15" s="44"/>
      <c r="L15" s="44"/>
      <c r="M15" s="44"/>
      <c r="N15" s="44"/>
      <c r="O15" s="106"/>
      <c r="P15" s="37"/>
      <c r="Q15" s="106"/>
      <c r="R15" s="106"/>
      <c r="S15" s="111"/>
      <c r="T15" s="111"/>
      <c r="U15" s="106"/>
      <c r="V15" s="111"/>
      <c r="W15" s="106"/>
      <c r="X15" s="111"/>
      <c r="Y15" s="37"/>
      <c r="Z15" s="111"/>
      <c r="AA15" s="111"/>
      <c r="AB15" s="37"/>
    </row>
    <row r="16" spans="1:28" ht="15">
      <c r="A16" s="38" t="s">
        <v>66</v>
      </c>
      <c r="B16" s="77"/>
      <c r="C16" s="39"/>
      <c r="D16" s="27"/>
      <c r="E16" s="27"/>
      <c r="F16" s="27"/>
      <c r="G16" s="27"/>
      <c r="H16" s="27"/>
      <c r="I16" s="27"/>
      <c r="J16" s="35"/>
      <c r="K16" s="27"/>
      <c r="L16" s="27"/>
      <c r="M16" s="27"/>
      <c r="N16" s="27"/>
      <c r="O16" s="106"/>
      <c r="P16" s="37"/>
      <c r="Q16" s="106"/>
      <c r="R16" s="106"/>
      <c r="S16" s="111"/>
      <c r="T16" s="111"/>
      <c r="U16" s="106"/>
      <c r="V16" s="111"/>
      <c r="W16" s="106"/>
      <c r="X16" s="111"/>
      <c r="Y16" s="37"/>
      <c r="Z16" s="111"/>
      <c r="AA16" s="111"/>
      <c r="AB16" s="37"/>
    </row>
    <row r="17" spans="1:28" ht="16.5">
      <c r="A17" s="31" t="s">
        <v>88</v>
      </c>
      <c r="B17" s="32" t="s">
        <v>2</v>
      </c>
      <c r="C17" s="14">
        <v>200</v>
      </c>
      <c r="D17" s="27" t="s">
        <v>4</v>
      </c>
      <c r="E17" s="27"/>
      <c r="F17" s="27"/>
      <c r="G17" s="27"/>
      <c r="H17" s="27"/>
      <c r="I17" s="27"/>
      <c r="J17" s="35"/>
      <c r="K17" s="27"/>
      <c r="L17" s="27"/>
      <c r="M17" s="27"/>
      <c r="N17" s="27"/>
      <c r="O17" s="106"/>
      <c r="P17" s="37"/>
      <c r="Q17" s="106"/>
      <c r="R17" s="106"/>
      <c r="S17" s="111"/>
      <c r="T17" s="111"/>
      <c r="U17" s="106"/>
      <c r="V17" s="111"/>
      <c r="W17" s="106"/>
      <c r="X17" s="111"/>
      <c r="Y17" s="37"/>
      <c r="Z17" s="111"/>
      <c r="AA17" s="111"/>
      <c r="AB17" s="37"/>
    </row>
    <row r="18" spans="1:28" ht="16.5">
      <c r="A18" s="31" t="s">
        <v>89</v>
      </c>
      <c r="B18" s="32" t="s">
        <v>2</v>
      </c>
      <c r="C18" s="14">
        <v>8</v>
      </c>
      <c r="D18" s="27" t="s">
        <v>4</v>
      </c>
      <c r="E18" s="27"/>
      <c r="F18" s="27"/>
      <c r="G18" s="27"/>
      <c r="H18" s="27"/>
      <c r="I18" s="44"/>
      <c r="J18" s="35"/>
      <c r="K18" s="27"/>
      <c r="L18" s="27"/>
      <c r="M18" s="27"/>
      <c r="N18" s="27"/>
      <c r="O18" s="110"/>
      <c r="P18" s="37"/>
      <c r="Q18" s="110"/>
      <c r="R18" s="106"/>
      <c r="S18" s="111"/>
      <c r="T18" s="111"/>
      <c r="U18" s="106"/>
      <c r="V18" s="111"/>
      <c r="W18" s="106"/>
      <c r="X18" s="111"/>
      <c r="Y18" s="37"/>
      <c r="Z18" s="111"/>
      <c r="AA18" s="111"/>
      <c r="AB18" s="37"/>
    </row>
    <row r="19" spans="1:28" ht="16.5">
      <c r="A19" s="31" t="s">
        <v>90</v>
      </c>
      <c r="B19" s="32" t="s">
        <v>2</v>
      </c>
      <c r="C19" s="14">
        <v>584</v>
      </c>
      <c r="D19" s="27" t="s">
        <v>4</v>
      </c>
      <c r="E19" s="27"/>
      <c r="F19" s="27"/>
      <c r="G19" s="27"/>
      <c r="H19" s="27"/>
      <c r="I19" s="44"/>
      <c r="J19" s="35"/>
      <c r="K19" s="27"/>
      <c r="L19" s="27"/>
      <c r="M19" s="27"/>
      <c r="N19" s="27"/>
      <c r="O19" s="110"/>
      <c r="P19" s="37"/>
      <c r="Q19" s="110"/>
      <c r="R19" s="106"/>
      <c r="S19" s="111"/>
      <c r="T19" s="111"/>
      <c r="U19" s="106"/>
      <c r="V19" s="111"/>
      <c r="W19" s="106"/>
      <c r="X19" s="111"/>
      <c r="Y19" s="37"/>
      <c r="Z19" s="111"/>
      <c r="AA19" s="111"/>
      <c r="AB19" s="37"/>
    </row>
    <row r="20" spans="1:28" ht="16.5">
      <c r="A20" s="31" t="s">
        <v>91</v>
      </c>
      <c r="B20" s="32" t="s">
        <v>2</v>
      </c>
      <c r="C20" s="14">
        <v>8</v>
      </c>
      <c r="D20" s="27" t="s">
        <v>4</v>
      </c>
      <c r="E20" s="76"/>
      <c r="F20" s="76"/>
      <c r="G20" s="76"/>
      <c r="H20" s="76"/>
      <c r="I20" s="44"/>
      <c r="J20" s="45"/>
      <c r="K20" s="44"/>
      <c r="L20" s="44"/>
      <c r="M20" s="44"/>
      <c r="N20" s="44"/>
      <c r="O20" s="110"/>
      <c r="P20" s="37"/>
      <c r="Q20" s="110"/>
      <c r="R20" s="106"/>
      <c r="S20" s="111"/>
      <c r="T20" s="111"/>
      <c r="U20" s="106"/>
      <c r="V20" s="111"/>
      <c r="W20" s="106"/>
      <c r="X20" s="111"/>
      <c r="Y20" s="37"/>
      <c r="Z20" s="111"/>
      <c r="AA20" s="111"/>
      <c r="AB20" s="37"/>
    </row>
    <row r="21" spans="1:28" ht="16.5">
      <c r="A21" s="31" t="s">
        <v>92</v>
      </c>
      <c r="B21" s="32" t="s">
        <v>2</v>
      </c>
      <c r="C21" s="14">
        <v>200</v>
      </c>
      <c r="D21" s="27" t="s">
        <v>4</v>
      </c>
      <c r="E21" s="76"/>
      <c r="F21" s="76"/>
      <c r="G21" s="76"/>
      <c r="H21" s="76"/>
      <c r="I21" s="44"/>
      <c r="J21" s="45"/>
      <c r="K21" s="44"/>
      <c r="L21" s="44"/>
      <c r="M21" s="44"/>
      <c r="N21" s="44"/>
      <c r="O21" s="27"/>
      <c r="P21" s="107"/>
      <c r="Q21" s="118"/>
      <c r="R21" s="109"/>
      <c r="S21" s="119"/>
      <c r="T21" s="111"/>
      <c r="U21" s="106"/>
      <c r="V21" s="111"/>
      <c r="W21" s="106"/>
      <c r="X21" s="111"/>
      <c r="Y21" s="37"/>
      <c r="Z21" s="111"/>
      <c r="AA21" s="111"/>
      <c r="AB21" s="37"/>
    </row>
    <row r="22" spans="1:28" ht="16.5">
      <c r="A22" s="31" t="s">
        <v>93</v>
      </c>
      <c r="B22" s="32" t="s">
        <v>2</v>
      </c>
      <c r="C22" s="14">
        <v>8</v>
      </c>
      <c r="D22" s="27" t="s">
        <v>4</v>
      </c>
      <c r="E22" s="76"/>
      <c r="F22" s="76"/>
      <c r="G22" s="76"/>
      <c r="H22" s="76"/>
      <c r="I22" s="44"/>
      <c r="J22" s="45"/>
      <c r="K22" s="44"/>
      <c r="L22" s="44"/>
      <c r="M22" s="44"/>
      <c r="N22" s="44"/>
      <c r="O22" s="27"/>
      <c r="P22" s="107"/>
      <c r="Q22" s="118"/>
      <c r="R22" s="109"/>
      <c r="S22" s="119"/>
      <c r="T22" s="111"/>
      <c r="U22" s="106"/>
      <c r="V22" s="111"/>
      <c r="W22" s="106"/>
      <c r="X22" s="111"/>
      <c r="Y22" s="37"/>
      <c r="Z22" s="111"/>
      <c r="AA22" s="111"/>
      <c r="AB22" s="37"/>
    </row>
    <row r="23" spans="1:28" ht="15">
      <c r="A23" s="78"/>
      <c r="B23" s="76"/>
      <c r="C23" s="79"/>
      <c r="D23" s="76"/>
      <c r="E23" s="76"/>
      <c r="F23" s="76"/>
      <c r="G23" s="76"/>
      <c r="H23" s="76"/>
      <c r="I23" s="44"/>
      <c r="J23" s="35"/>
      <c r="K23" s="27"/>
      <c r="L23" s="27"/>
      <c r="M23" s="27"/>
      <c r="N23" s="27"/>
      <c r="O23" s="27"/>
      <c r="P23" s="107"/>
      <c r="Q23" s="118"/>
      <c r="R23" s="109"/>
      <c r="S23" s="119"/>
      <c r="T23" s="111"/>
      <c r="U23" s="106"/>
      <c r="V23" s="111"/>
      <c r="W23" s="106"/>
      <c r="X23" s="111"/>
      <c r="Y23" s="37"/>
      <c r="Z23" s="111"/>
      <c r="AA23" s="111"/>
      <c r="AB23" s="37"/>
    </row>
    <row r="24" spans="1:28" ht="15">
      <c r="A24" s="78"/>
      <c r="B24" s="76"/>
      <c r="C24" s="79"/>
      <c r="D24" s="76"/>
      <c r="E24" s="76"/>
      <c r="F24" s="76"/>
      <c r="G24" s="76"/>
      <c r="H24" s="76"/>
      <c r="I24" s="44"/>
      <c r="J24" s="35"/>
      <c r="K24" s="27"/>
      <c r="L24" s="27"/>
      <c r="M24" s="27"/>
      <c r="N24" s="27"/>
      <c r="O24" s="27"/>
      <c r="P24" s="107"/>
      <c r="Q24" s="118"/>
      <c r="R24" s="109"/>
      <c r="S24" s="119"/>
      <c r="T24" s="111"/>
      <c r="U24" s="106"/>
      <c r="V24" s="111"/>
      <c r="W24" s="106"/>
      <c r="X24" s="111"/>
      <c r="Y24" s="37"/>
      <c r="Z24" s="111"/>
      <c r="AA24" s="111"/>
      <c r="AB24" s="37"/>
    </row>
    <row r="25" spans="1:28" ht="15">
      <c r="A25" s="36" t="s">
        <v>67</v>
      </c>
      <c r="B25" s="37"/>
      <c r="C25" s="79"/>
      <c r="D25" s="76"/>
      <c r="E25" s="27"/>
      <c r="F25" s="27"/>
      <c r="G25" s="27"/>
      <c r="H25" s="27"/>
      <c r="I25" s="27"/>
      <c r="J25" s="35"/>
      <c r="K25" s="27"/>
      <c r="L25" s="27"/>
      <c r="M25" s="27"/>
      <c r="N25" s="27"/>
      <c r="O25" s="27"/>
      <c r="P25" s="107"/>
      <c r="Q25" s="118"/>
      <c r="R25" s="109"/>
      <c r="S25" s="119"/>
      <c r="T25" s="111"/>
      <c r="U25" s="106"/>
      <c r="V25" s="111"/>
      <c r="W25" s="106"/>
      <c r="X25" s="111"/>
      <c r="Y25" s="37"/>
      <c r="Z25" s="111"/>
      <c r="AA25" s="111"/>
      <c r="AB25" s="37"/>
    </row>
    <row r="26" spans="1:28" ht="15">
      <c r="A26" s="26" t="s">
        <v>68</v>
      </c>
      <c r="B26" s="27"/>
      <c r="C26" s="14">
        <v>9</v>
      </c>
      <c r="D26" s="30" t="s">
        <v>0</v>
      </c>
      <c r="E26" s="27"/>
      <c r="F26" s="27"/>
      <c r="G26" s="27"/>
      <c r="H26" s="27"/>
      <c r="I26" s="27"/>
      <c r="J26" s="35"/>
      <c r="K26" s="27"/>
      <c r="L26" s="27"/>
      <c r="M26" s="27"/>
      <c r="N26" s="27"/>
      <c r="O26" s="27"/>
      <c r="P26" s="107"/>
      <c r="Q26" s="118"/>
      <c r="R26" s="109"/>
      <c r="S26" s="119"/>
      <c r="T26" s="111"/>
      <c r="U26" s="106"/>
      <c r="V26" s="111"/>
      <c r="W26" s="106"/>
      <c r="X26" s="111"/>
      <c r="Y26" s="37"/>
      <c r="Z26" s="111"/>
      <c r="AA26" s="111"/>
      <c r="AB26" s="37"/>
    </row>
    <row r="27" spans="1:28" ht="15">
      <c r="A27" s="38" t="s">
        <v>69</v>
      </c>
      <c r="B27" s="30"/>
      <c r="C27" s="14">
        <v>4.5</v>
      </c>
      <c r="D27" s="30" t="s">
        <v>0</v>
      </c>
      <c r="E27" s="27"/>
      <c r="F27" s="27"/>
      <c r="G27" s="27"/>
      <c r="H27" s="27"/>
      <c r="I27" s="27"/>
      <c r="J27" s="35"/>
      <c r="K27" s="27"/>
      <c r="L27" s="27"/>
      <c r="M27" s="27"/>
      <c r="N27" s="27"/>
      <c r="O27" s="27"/>
      <c r="P27" s="107"/>
      <c r="Q27" s="118"/>
      <c r="R27" s="109"/>
      <c r="S27" s="119"/>
      <c r="T27" s="111"/>
      <c r="U27" s="106"/>
      <c r="V27" s="111"/>
      <c r="W27" s="106"/>
      <c r="X27" s="111"/>
      <c r="Y27" s="37"/>
      <c r="Z27" s="111"/>
      <c r="AA27" s="111"/>
      <c r="AB27" s="37"/>
    </row>
    <row r="28" spans="1:28" ht="15">
      <c r="A28" s="26" t="s">
        <v>70</v>
      </c>
      <c r="B28" s="80"/>
      <c r="C28" s="14">
        <v>10.5</v>
      </c>
      <c r="D28" s="30" t="s">
        <v>0</v>
      </c>
      <c r="E28" s="27"/>
      <c r="F28" s="27"/>
      <c r="G28" s="27"/>
      <c r="H28" s="27"/>
      <c r="I28" s="27"/>
      <c r="J28" s="35"/>
      <c r="K28" s="27"/>
      <c r="L28" s="27"/>
      <c r="M28" s="27"/>
      <c r="N28" s="27"/>
      <c r="O28" s="27"/>
      <c r="P28" s="107"/>
      <c r="Q28" s="118"/>
      <c r="R28" s="109"/>
      <c r="S28" s="119"/>
      <c r="T28" s="111"/>
      <c r="U28" s="106"/>
      <c r="V28" s="111"/>
      <c r="W28" s="106"/>
      <c r="X28" s="111"/>
      <c r="Y28" s="37"/>
      <c r="Z28" s="111"/>
      <c r="AA28" s="111"/>
      <c r="AB28" s="37"/>
    </row>
    <row r="29" spans="1:28" ht="15">
      <c r="A29" s="26" t="s">
        <v>71</v>
      </c>
      <c r="B29" s="80"/>
      <c r="C29" s="14">
        <v>6</v>
      </c>
      <c r="D29" s="30" t="s">
        <v>0</v>
      </c>
      <c r="E29" s="27"/>
      <c r="F29" s="27"/>
      <c r="G29" s="27"/>
      <c r="H29" s="27"/>
      <c r="I29" s="44"/>
      <c r="J29" s="35"/>
      <c r="K29" s="27"/>
      <c r="L29" s="27"/>
      <c r="M29" s="27"/>
      <c r="N29" s="27"/>
      <c r="O29" s="44"/>
      <c r="P29" s="107"/>
      <c r="Q29" s="118"/>
      <c r="R29" s="109"/>
      <c r="S29" s="119"/>
      <c r="T29" s="111"/>
      <c r="U29" s="106"/>
      <c r="V29" s="111"/>
      <c r="W29" s="106"/>
      <c r="X29" s="111"/>
      <c r="Y29" s="37"/>
      <c r="Z29" s="111"/>
      <c r="AA29" s="111"/>
      <c r="AB29" s="37"/>
    </row>
    <row r="30" spans="1:28" ht="15">
      <c r="A30" s="26" t="s">
        <v>72</v>
      </c>
      <c r="B30" s="42"/>
      <c r="C30" s="14">
        <v>24</v>
      </c>
      <c r="D30" s="30" t="s">
        <v>0</v>
      </c>
      <c r="E30" s="27"/>
      <c r="F30" s="27"/>
      <c r="G30" s="27"/>
      <c r="H30" s="27"/>
      <c r="I30" s="44"/>
      <c r="J30" s="45"/>
      <c r="K30" s="44"/>
      <c r="L30" s="44"/>
      <c r="M30" s="44"/>
      <c r="N30" s="44"/>
      <c r="O30" s="44"/>
      <c r="P30" s="107"/>
      <c r="Q30" s="118"/>
      <c r="R30" s="109"/>
      <c r="S30" s="119"/>
      <c r="T30" s="111"/>
      <c r="U30" s="106"/>
      <c r="V30" s="111"/>
      <c r="W30" s="106"/>
      <c r="X30" s="111"/>
      <c r="Y30" s="37"/>
      <c r="Z30" s="111"/>
      <c r="AA30" s="111"/>
      <c r="AB30" s="37"/>
    </row>
    <row r="31" spans="1:28" ht="18">
      <c r="A31" s="38" t="s">
        <v>73</v>
      </c>
      <c r="B31" s="42"/>
      <c r="C31" s="14">
        <v>136400</v>
      </c>
      <c r="D31" s="27" t="s">
        <v>16</v>
      </c>
      <c r="E31" s="76"/>
      <c r="F31" s="76"/>
      <c r="G31" s="76"/>
      <c r="H31" s="76"/>
      <c r="I31" s="44"/>
      <c r="J31" s="45"/>
      <c r="K31" s="44"/>
      <c r="L31" s="44"/>
      <c r="M31" s="44"/>
      <c r="N31" s="44"/>
      <c r="O31" s="44"/>
      <c r="P31" s="107"/>
      <c r="Q31" s="118"/>
      <c r="R31" s="109"/>
      <c r="S31" s="119"/>
      <c r="T31" s="111"/>
      <c r="U31" s="106"/>
      <c r="V31" s="111"/>
      <c r="W31" s="106"/>
      <c r="X31" s="111"/>
      <c r="Y31" s="37"/>
      <c r="Z31" s="111"/>
      <c r="AA31" s="111"/>
      <c r="AB31" s="37"/>
    </row>
    <row r="32" spans="1:28" ht="15">
      <c r="A32" s="38" t="s">
        <v>123</v>
      </c>
      <c r="B32" s="42"/>
      <c r="C32" s="14" t="s">
        <v>125</v>
      </c>
      <c r="D32" s="27"/>
      <c r="E32" s="76"/>
      <c r="F32" s="76"/>
      <c r="G32" s="76"/>
      <c r="H32" s="76"/>
      <c r="I32" s="44"/>
      <c r="J32" s="45"/>
      <c r="K32" s="44"/>
      <c r="L32" s="44"/>
      <c r="M32" s="44"/>
      <c r="N32" s="44"/>
      <c r="O32" s="44"/>
      <c r="P32" s="107"/>
      <c r="Q32" s="118"/>
      <c r="R32" s="109"/>
      <c r="S32" s="119"/>
      <c r="T32" s="111"/>
      <c r="U32" s="106"/>
      <c r="V32" s="111"/>
      <c r="W32" s="106"/>
      <c r="X32" s="111"/>
      <c r="Y32" s="37"/>
      <c r="Z32" s="111"/>
      <c r="AA32" s="111"/>
      <c r="AB32" s="37"/>
    </row>
    <row r="33" spans="1:28" ht="15">
      <c r="A33" s="70"/>
      <c r="B33" s="16"/>
      <c r="C33" s="133"/>
      <c r="D33" s="16"/>
      <c r="E33" s="76"/>
      <c r="F33" s="76"/>
      <c r="G33" s="76"/>
      <c r="H33" s="76"/>
      <c r="I33" s="44"/>
      <c r="J33" s="45"/>
      <c r="K33" s="44"/>
      <c r="L33" s="44"/>
      <c r="M33" s="44"/>
      <c r="N33" s="44"/>
      <c r="O33" s="44"/>
      <c r="P33" s="107"/>
      <c r="Q33" s="118"/>
      <c r="R33" s="109"/>
      <c r="S33" s="119"/>
      <c r="T33" s="111"/>
      <c r="U33" s="106"/>
      <c r="V33" s="111"/>
      <c r="W33" s="106"/>
      <c r="X33" s="111"/>
      <c r="Y33" s="37"/>
      <c r="Z33" s="111"/>
      <c r="AA33" s="111"/>
      <c r="AB33" s="37"/>
    </row>
    <row r="34" spans="1:28" ht="15">
      <c r="A34" s="36" t="s">
        <v>74</v>
      </c>
      <c r="B34" s="37"/>
      <c r="C34" s="27"/>
      <c r="D34" s="27"/>
      <c r="E34" s="76"/>
      <c r="F34" s="76"/>
      <c r="G34" s="76"/>
      <c r="H34" s="76"/>
      <c r="I34" s="44"/>
      <c r="J34" s="45"/>
      <c r="K34" s="44"/>
      <c r="L34" s="44"/>
      <c r="M34" s="44"/>
      <c r="N34" s="44"/>
      <c r="O34" s="44"/>
      <c r="P34" s="107"/>
      <c r="Q34" s="118"/>
      <c r="R34" s="109"/>
      <c r="S34" s="119"/>
      <c r="T34" s="111"/>
      <c r="U34" s="106"/>
      <c r="V34" s="111"/>
      <c r="W34" s="106"/>
      <c r="X34" s="111"/>
      <c r="Y34" s="37"/>
      <c r="Z34" s="111"/>
      <c r="AA34" s="111"/>
      <c r="AB34" s="37"/>
    </row>
    <row r="35" spans="1:28" ht="15">
      <c r="A35" s="31"/>
      <c r="B35" s="32"/>
      <c r="C35" s="37"/>
      <c r="D35" s="27"/>
      <c r="E35" s="76"/>
      <c r="F35" s="76"/>
      <c r="G35" s="76"/>
      <c r="H35" s="76"/>
      <c r="I35" s="44"/>
      <c r="J35" s="45"/>
      <c r="K35" s="44"/>
      <c r="L35" s="44"/>
      <c r="M35" s="44"/>
      <c r="N35" s="44"/>
      <c r="O35" s="44"/>
      <c r="P35" s="107"/>
      <c r="Q35" s="118"/>
      <c r="R35" s="109"/>
      <c r="S35" s="119"/>
      <c r="T35" s="111"/>
      <c r="U35" s="106"/>
      <c r="V35" s="111"/>
      <c r="W35" s="106"/>
      <c r="X35" s="111"/>
      <c r="Y35" s="37"/>
      <c r="Z35" s="111"/>
      <c r="AA35" s="111"/>
      <c r="AB35" s="37"/>
    </row>
    <row r="36" spans="1:15" ht="18">
      <c r="A36" s="31" t="s">
        <v>9</v>
      </c>
      <c r="B36" s="32" t="s">
        <v>2</v>
      </c>
      <c r="C36" s="37">
        <f>(C17*C18+C19*C20+C21*C22)/100</f>
        <v>78.72</v>
      </c>
      <c r="D36" s="27" t="s">
        <v>13</v>
      </c>
      <c r="E36" s="76"/>
      <c r="F36" s="76"/>
      <c r="G36" s="76"/>
      <c r="H36" s="76"/>
      <c r="I36" s="44"/>
      <c r="J36" s="45"/>
      <c r="K36" s="44"/>
      <c r="L36" s="44"/>
      <c r="M36" s="44"/>
      <c r="N36" s="44"/>
      <c r="O36" s="98" t="s">
        <v>64</v>
      </c>
    </row>
    <row r="37" spans="1:15" ht="18" customHeight="1">
      <c r="A37" s="31" t="s">
        <v>8</v>
      </c>
      <c r="B37" s="32" t="s">
        <v>2</v>
      </c>
      <c r="C37" s="37">
        <f>((C17*C18*(C22+C19+C18/2)+C19*C20*(C22+C19/2)+C21*C22*C22/2)/(C17*C18+C19*C20+C21*C22))/10</f>
        <v>30</v>
      </c>
      <c r="D37" s="27" t="s">
        <v>7</v>
      </c>
      <c r="E37" s="27"/>
      <c r="F37" s="27"/>
      <c r="G37" s="27"/>
      <c r="H37" s="27"/>
      <c r="I37" s="27"/>
      <c r="J37" s="45"/>
      <c r="K37" s="44"/>
      <c r="L37" s="44"/>
      <c r="M37" s="44"/>
      <c r="N37" s="44"/>
      <c r="O37" s="98" t="s">
        <v>75</v>
      </c>
    </row>
    <row r="38" spans="1:15" ht="18" customHeight="1">
      <c r="A38" s="31" t="s">
        <v>76</v>
      </c>
      <c r="B38" s="32" t="s">
        <v>2</v>
      </c>
      <c r="C38" s="37">
        <f>(((C17*C18*C17/2)+(C21*C22*C21/2)+(C19*C20*C17/2))/(100*C36))/10</f>
        <v>10</v>
      </c>
      <c r="D38" s="27" t="s">
        <v>7</v>
      </c>
      <c r="E38" s="27"/>
      <c r="F38" s="27"/>
      <c r="G38" s="27"/>
      <c r="H38" s="27"/>
      <c r="I38" s="27"/>
      <c r="J38" s="45"/>
      <c r="K38" s="44"/>
      <c r="L38" s="44"/>
      <c r="M38" s="44"/>
      <c r="N38" s="44"/>
      <c r="O38" s="99">
        <v>1</v>
      </c>
    </row>
    <row r="39" spans="1:18" ht="18.75">
      <c r="A39" s="31" t="s">
        <v>32</v>
      </c>
      <c r="B39" s="32" t="s">
        <v>2</v>
      </c>
      <c r="C39" s="37">
        <f>((C20*C19^3/12)+(C17*C18^3/12+C17*C18*(C18+C19+C22-C37*10-C18/2)^2)+(C21*C22^3/12+C21*C22*(C37*10-C22/2)^2))/10000</f>
        <v>41317.2736</v>
      </c>
      <c r="D39" s="27" t="s">
        <v>16</v>
      </c>
      <c r="E39" s="27"/>
      <c r="F39" s="27"/>
      <c r="G39" s="27"/>
      <c r="H39" s="27"/>
      <c r="I39" s="44"/>
      <c r="J39" s="45"/>
      <c r="K39" s="44"/>
      <c r="L39" s="44"/>
      <c r="M39" s="44"/>
      <c r="N39" s="44"/>
      <c r="O39" s="99">
        <v>10</v>
      </c>
      <c r="R39" s="66">
        <f>(699/(H8)^0.5)/(13*Q40-1)</f>
        <v>55.97082007732054</v>
      </c>
    </row>
    <row r="40" spans="1:18" ht="20.25">
      <c r="A40" s="31" t="s">
        <v>33</v>
      </c>
      <c r="B40" s="32" t="s">
        <v>2</v>
      </c>
      <c r="C40" s="37">
        <f>((C19*C20^3/12)+(C18*C17^3/12)+(C22*C21^3/12))/10000</f>
        <v>1069.1584</v>
      </c>
      <c r="D40" s="27" t="s">
        <v>16</v>
      </c>
      <c r="E40" s="27"/>
      <c r="F40" s="27"/>
      <c r="G40" s="27"/>
      <c r="H40" s="27"/>
      <c r="I40" s="44"/>
      <c r="J40" s="45"/>
      <c r="K40" s="44"/>
      <c r="L40" s="44"/>
      <c r="M40" s="44"/>
      <c r="N40" s="44"/>
      <c r="O40" s="100" t="s">
        <v>11</v>
      </c>
      <c r="P40" s="69" t="s">
        <v>2</v>
      </c>
      <c r="Q40" s="66">
        <f>0.5*(C13/((C19/10)*(C20/10)*H8)+1)</f>
        <v>0.583238203957382</v>
      </c>
      <c r="R40" s="66">
        <f>(63.6/Q40)/(H8)^0.5</f>
        <v>57.47247517454152</v>
      </c>
    </row>
    <row r="41" spans="1:18" ht="18.75">
      <c r="A41" s="31" t="s">
        <v>34</v>
      </c>
      <c r="B41" s="32" t="s">
        <v>2</v>
      </c>
      <c r="C41" s="37">
        <f>C39/C37</f>
        <v>1377.2424533333333</v>
      </c>
      <c r="D41" s="27" t="s">
        <v>14</v>
      </c>
      <c r="E41" s="76"/>
      <c r="F41" s="76"/>
      <c r="G41" s="76"/>
      <c r="H41" s="76"/>
      <c r="I41" s="44"/>
      <c r="J41" s="45"/>
      <c r="K41" s="44"/>
      <c r="L41" s="44"/>
      <c r="M41" s="44"/>
      <c r="N41" s="44"/>
      <c r="R41" s="101">
        <f>IF(Q40&gt;0.5,R39,R40)</f>
        <v>55.97082007732054</v>
      </c>
    </row>
    <row r="42" spans="1:18" ht="18.75">
      <c r="A42" s="31" t="s">
        <v>94</v>
      </c>
      <c r="B42" s="32" t="s">
        <v>2</v>
      </c>
      <c r="C42" s="37">
        <f>C40/C38</f>
        <v>106.91584</v>
      </c>
      <c r="D42" s="27" t="s">
        <v>14</v>
      </c>
      <c r="E42" s="76"/>
      <c r="F42" s="76"/>
      <c r="G42" s="76"/>
      <c r="H42" s="76"/>
      <c r="I42" s="44"/>
      <c r="J42" s="45"/>
      <c r="K42" s="44"/>
      <c r="L42" s="44"/>
      <c r="M42" s="44"/>
      <c r="N42" s="44"/>
      <c r="O42" s="102" t="s">
        <v>77</v>
      </c>
      <c r="P42" s="69" t="s">
        <v>2</v>
      </c>
      <c r="Q42" s="66">
        <f>((-C13/C36)+(C10*100/C41))/((-C13/C36)-(C10*100/C41))</f>
        <v>0.9995918140960773</v>
      </c>
      <c r="R42" s="66">
        <f>(190/(H8)^0.5)/(2+Q42)</f>
        <v>33.38413983576474</v>
      </c>
    </row>
    <row r="43" spans="1:19" ht="16.5">
      <c r="A43" s="31" t="s">
        <v>35</v>
      </c>
      <c r="B43" s="32" t="s">
        <v>2</v>
      </c>
      <c r="C43" s="37">
        <f>(C39/C36)^0.5</f>
        <v>22.909904841299504</v>
      </c>
      <c r="D43" s="27" t="s">
        <v>7</v>
      </c>
      <c r="E43" s="76"/>
      <c r="F43" s="76"/>
      <c r="G43" s="76"/>
      <c r="H43" s="76"/>
      <c r="I43" s="44"/>
      <c r="J43" s="45"/>
      <c r="K43" s="44"/>
      <c r="L43" s="44"/>
      <c r="M43" s="44"/>
      <c r="N43" s="44"/>
      <c r="O43" s="44"/>
      <c r="R43" s="103" t="e">
        <f>(95*(1-Q42)*(-Q42)^0.5)/(H8)^0.5</f>
        <v>#NUM!</v>
      </c>
      <c r="S43" s="58"/>
    </row>
    <row r="44" spans="1:19" ht="16.5">
      <c r="A44" s="31" t="s">
        <v>36</v>
      </c>
      <c r="B44" s="32" t="s">
        <v>2</v>
      </c>
      <c r="C44" s="37">
        <f>(C40/C36)^0.5</f>
        <v>3.685347828616205</v>
      </c>
      <c r="D44" s="27" t="s">
        <v>7</v>
      </c>
      <c r="E44" s="76"/>
      <c r="F44" s="76"/>
      <c r="G44" s="76"/>
      <c r="H44" s="76"/>
      <c r="I44" s="44"/>
      <c r="J44" s="45"/>
      <c r="K44" s="44"/>
      <c r="L44" s="44"/>
      <c r="M44" s="44"/>
      <c r="N44" s="44"/>
      <c r="O44" s="44"/>
      <c r="R44" s="104">
        <f>IF(Q42&gt;-1,R42,R43)</f>
        <v>33.38413983576474</v>
      </c>
      <c r="S44" s="58"/>
    </row>
    <row r="45" spans="1:19" ht="15">
      <c r="A45" s="22"/>
      <c r="B45" s="25"/>
      <c r="C45" s="25"/>
      <c r="D45" s="27"/>
      <c r="E45" s="76"/>
      <c r="F45" s="76"/>
      <c r="G45" s="76"/>
      <c r="H45" s="76"/>
      <c r="I45" s="44"/>
      <c r="J45" s="45"/>
      <c r="K45" s="44"/>
      <c r="L45" s="44"/>
      <c r="M45" s="44"/>
      <c r="N45" s="44"/>
      <c r="O45" s="44"/>
      <c r="R45" s="58" t="str">
        <f>IF(C47&lt;58/(H8)^0.5,"Compact",IF(AND(C47&gt;58/(H8)^0.5,C47&lt;64/(H8)^0.5),"Non compact","Slender"))</f>
        <v>Slender</v>
      </c>
      <c r="S45" s="16"/>
    </row>
    <row r="46" spans="1:18" ht="15">
      <c r="A46" s="36" t="s">
        <v>78</v>
      </c>
      <c r="B46" s="25"/>
      <c r="C46" s="25"/>
      <c r="D46" s="27"/>
      <c r="E46" s="76"/>
      <c r="F46" s="76"/>
      <c r="G46" s="76"/>
      <c r="H46" s="76"/>
      <c r="I46" s="44"/>
      <c r="J46" s="45"/>
      <c r="K46" s="44"/>
      <c r="L46" s="44"/>
      <c r="M46" s="44"/>
      <c r="N46" s="44"/>
      <c r="O46" s="44"/>
      <c r="P46" s="58"/>
      <c r="Q46" s="58"/>
      <c r="R46" s="69"/>
    </row>
    <row r="47" spans="1:21" ht="16.5">
      <c r="A47" s="46" t="s">
        <v>28</v>
      </c>
      <c r="B47" s="47" t="s">
        <v>2</v>
      </c>
      <c r="C47" s="81">
        <f>C19/C20</f>
        <v>73</v>
      </c>
      <c r="D47" s="23" t="s">
        <v>40</v>
      </c>
      <c r="E47" s="129" t="str">
        <f>IF(Q42&gt;1,R45,IF(C47&lt;R41,"Compact",IF(AND(C47&gt;R41,C47&lt;R44),"Non compact","Slender")))</f>
        <v>Slender</v>
      </c>
      <c r="F47" s="27"/>
      <c r="G47" s="27"/>
      <c r="H47" s="27"/>
      <c r="I47" s="27"/>
      <c r="J47" s="48" t="s">
        <v>54</v>
      </c>
      <c r="K47" s="127"/>
      <c r="L47" s="127"/>
      <c r="M47" s="127"/>
      <c r="N47" s="127"/>
      <c r="O47" s="44"/>
      <c r="P47" s="58"/>
      <c r="Q47" s="58"/>
      <c r="R47" s="69"/>
      <c r="S47" s="69"/>
      <c r="T47" s="69"/>
      <c r="U47" s="69"/>
    </row>
    <row r="48" spans="1:21" ht="16.5">
      <c r="A48" s="46" t="s">
        <v>29</v>
      </c>
      <c r="B48" s="47" t="s">
        <v>2</v>
      </c>
      <c r="C48" s="47">
        <f>(C17/(2*C18))</f>
        <v>12.5</v>
      </c>
      <c r="D48" s="23" t="s">
        <v>41</v>
      </c>
      <c r="E48" s="129" t="str">
        <f>IF(C48&lt;(15.3/(H8)^0.5),"Compact",IF(C48&lt;(21/(H8)^0.5),"Non compact","Slender"))</f>
        <v>Slender</v>
      </c>
      <c r="F48" s="76"/>
      <c r="G48" s="76"/>
      <c r="H48" s="76"/>
      <c r="I48" s="44"/>
      <c r="J48" s="48" t="s">
        <v>55</v>
      </c>
      <c r="K48" s="127"/>
      <c r="L48" s="127"/>
      <c r="M48" s="127"/>
      <c r="N48" s="127"/>
      <c r="O48" s="44"/>
      <c r="P48" s="58"/>
      <c r="Q48" s="58"/>
      <c r="R48" s="69"/>
      <c r="S48" s="69"/>
      <c r="T48" s="69"/>
      <c r="U48" s="69"/>
    </row>
    <row r="49" spans="1:21" ht="15">
      <c r="A49" s="49" t="s">
        <v>27</v>
      </c>
      <c r="B49" s="130" t="str">
        <f>IF(AND(E47="Compact",E48="Compact"),"Compact",IF(AND(E47&lt;&gt;"Slender",E48&lt;&gt;"Slender",OR(E47="Non compact",E48="Non compact")),"Non compact","Slender"))</f>
        <v>Slender</v>
      </c>
      <c r="C49" s="24"/>
      <c r="D49" s="27"/>
      <c r="E49" s="76"/>
      <c r="F49" s="76"/>
      <c r="G49" s="76"/>
      <c r="H49" s="76"/>
      <c r="I49" s="44"/>
      <c r="J49" s="45"/>
      <c r="K49" s="44"/>
      <c r="L49" s="44"/>
      <c r="M49" s="44"/>
      <c r="N49" s="44"/>
      <c r="O49" s="44"/>
      <c r="P49" s="16"/>
      <c r="Q49" s="16"/>
      <c r="S49" s="69"/>
      <c r="T49" s="69"/>
      <c r="U49" s="69"/>
    </row>
    <row r="50" spans="1:21" ht="15">
      <c r="A50" s="70"/>
      <c r="B50" s="24"/>
      <c r="C50" s="24"/>
      <c r="D50" s="27"/>
      <c r="E50" s="76"/>
      <c r="F50" s="76"/>
      <c r="G50" s="76"/>
      <c r="H50" s="76"/>
      <c r="I50" s="44"/>
      <c r="J50" s="45"/>
      <c r="K50" s="44"/>
      <c r="L50" s="44"/>
      <c r="M50" s="44"/>
      <c r="N50" s="44"/>
      <c r="O50" s="44"/>
      <c r="P50" s="16"/>
      <c r="Q50" s="16"/>
      <c r="S50" s="69"/>
      <c r="T50" s="69"/>
      <c r="U50" s="69"/>
    </row>
    <row r="51" spans="1:21" ht="15">
      <c r="A51" s="36" t="s">
        <v>79</v>
      </c>
      <c r="B51" s="37"/>
      <c r="C51" s="27"/>
      <c r="D51" s="27"/>
      <c r="E51" s="76"/>
      <c r="F51" s="76"/>
      <c r="G51" s="76"/>
      <c r="H51" s="76"/>
      <c r="I51" s="44"/>
      <c r="J51" s="45"/>
      <c r="K51" s="44"/>
      <c r="L51" s="44"/>
      <c r="M51" s="44"/>
      <c r="N51" s="44"/>
      <c r="O51" s="44"/>
      <c r="P51" s="16"/>
      <c r="Q51" s="16"/>
      <c r="S51" s="69"/>
      <c r="T51" s="69"/>
      <c r="U51" s="69"/>
    </row>
    <row r="52" spans="1:17" ht="19.5" thickBot="1">
      <c r="A52" s="136" t="s">
        <v>30</v>
      </c>
      <c r="B52" s="137" t="s">
        <v>2</v>
      </c>
      <c r="C52" s="137">
        <f>C10*100/C41</f>
        <v>7.26088567470241E-05</v>
      </c>
      <c r="D52" s="51" t="s">
        <v>15</v>
      </c>
      <c r="E52" s="82"/>
      <c r="F52" s="82"/>
      <c r="G52" s="138"/>
      <c r="H52" s="137"/>
      <c r="I52" s="137"/>
      <c r="J52" s="139"/>
      <c r="K52" s="37"/>
      <c r="L52" s="37"/>
      <c r="M52" s="37"/>
      <c r="N52" s="37"/>
      <c r="O52" s="37"/>
      <c r="P52" s="27"/>
      <c r="Q52" s="16"/>
    </row>
    <row r="53" spans="1:17" ht="18.75">
      <c r="A53" s="31" t="s">
        <v>95</v>
      </c>
      <c r="B53" s="37" t="s">
        <v>2</v>
      </c>
      <c r="C53" s="37">
        <f>C12*100/C42</f>
        <v>0</v>
      </c>
      <c r="D53" s="27" t="s">
        <v>15</v>
      </c>
      <c r="E53" s="76"/>
      <c r="F53" s="76"/>
      <c r="G53" s="32"/>
      <c r="H53" s="37"/>
      <c r="I53" s="37"/>
      <c r="J53" s="83"/>
      <c r="K53" s="37"/>
      <c r="L53" s="37"/>
      <c r="M53" s="37"/>
      <c r="N53" s="37"/>
      <c r="O53" s="37"/>
      <c r="P53" s="27"/>
      <c r="Q53" s="16"/>
    </row>
    <row r="54" spans="1:17" ht="18.75">
      <c r="A54" s="31" t="s">
        <v>96</v>
      </c>
      <c r="B54" s="32" t="s">
        <v>2</v>
      </c>
      <c r="C54" s="37">
        <f>0.72*H8</f>
        <v>2.592</v>
      </c>
      <c r="D54" s="27" t="s">
        <v>15</v>
      </c>
      <c r="E54" s="76"/>
      <c r="F54" s="76"/>
      <c r="G54" s="32"/>
      <c r="H54" s="37"/>
      <c r="I54" s="37"/>
      <c r="J54" s="83"/>
      <c r="K54" s="37"/>
      <c r="L54" s="37"/>
      <c r="M54" s="37"/>
      <c r="N54" s="37"/>
      <c r="O54" s="37"/>
      <c r="P54" s="27"/>
      <c r="Q54" s="16"/>
    </row>
    <row r="55" spans="1:17" ht="18.75">
      <c r="A55" s="31" t="s">
        <v>17</v>
      </c>
      <c r="B55" s="37" t="s">
        <v>2</v>
      </c>
      <c r="C55" s="37">
        <f>C13/C36</f>
        <v>0.3556910569105691</v>
      </c>
      <c r="D55" s="27" t="s">
        <v>15</v>
      </c>
      <c r="E55" s="27"/>
      <c r="F55" s="27"/>
      <c r="G55" s="84"/>
      <c r="H55" s="27"/>
      <c r="I55" s="44"/>
      <c r="J55" s="45"/>
      <c r="K55" s="44"/>
      <c r="L55" s="44"/>
      <c r="M55" s="44"/>
      <c r="N55" s="44"/>
      <c r="O55" s="44"/>
      <c r="P55" s="16"/>
      <c r="Q55" s="16"/>
    </row>
    <row r="56" spans="1:17" ht="18">
      <c r="A56" s="55" t="s">
        <v>11</v>
      </c>
      <c r="B56" s="37" t="s">
        <v>2</v>
      </c>
      <c r="C56" s="85">
        <f>C11/C10</f>
        <v>0</v>
      </c>
      <c r="D56" s="27"/>
      <c r="E56" s="27"/>
      <c r="F56" s="27"/>
      <c r="G56" s="27"/>
      <c r="H56" s="27"/>
      <c r="I56" s="44"/>
      <c r="J56" s="45"/>
      <c r="K56" s="44"/>
      <c r="L56" s="44"/>
      <c r="M56" s="44"/>
      <c r="N56" s="44"/>
      <c r="O56" s="44"/>
      <c r="P56" s="16"/>
      <c r="Q56" s="16"/>
    </row>
    <row r="57" spans="1:17" ht="16.5">
      <c r="A57" s="31" t="s">
        <v>97</v>
      </c>
      <c r="B57" s="37" t="s">
        <v>2</v>
      </c>
      <c r="C57" s="37">
        <f>MIN(1.75+1.05*C56+0.3*(C56)^2,2.3)</f>
        <v>1.75</v>
      </c>
      <c r="D57" s="27"/>
      <c r="E57" s="27"/>
      <c r="F57" s="27"/>
      <c r="G57" s="27"/>
      <c r="H57" s="27"/>
      <c r="I57" s="44"/>
      <c r="J57" s="45"/>
      <c r="K57" s="44"/>
      <c r="L57" s="44"/>
      <c r="M57" s="44"/>
      <c r="N57" s="44"/>
      <c r="O57" s="44"/>
      <c r="P57" s="16"/>
      <c r="Q57" s="16"/>
    </row>
    <row r="58" spans="1:17" ht="16.5">
      <c r="A58" s="152" t="s">
        <v>12</v>
      </c>
      <c r="B58" s="153" t="s">
        <v>2</v>
      </c>
      <c r="C58" s="27" t="s">
        <v>25</v>
      </c>
      <c r="D58" s="27"/>
      <c r="E58" s="16"/>
      <c r="F58" s="32">
        <f>(20*(C17/1000))/(H8^0.5)</f>
        <v>2.1081851067789197</v>
      </c>
      <c r="G58" s="27" t="s">
        <v>0</v>
      </c>
      <c r="H58" s="150">
        <f>MIN(F58,F59)</f>
        <v>1.8378995433789955</v>
      </c>
      <c r="I58" s="150" t="s">
        <v>0</v>
      </c>
      <c r="J58" s="50" t="s">
        <v>56</v>
      </c>
      <c r="K58" s="32"/>
      <c r="L58" s="32"/>
      <c r="M58" s="32"/>
      <c r="N58" s="32"/>
      <c r="O58" s="44"/>
      <c r="P58" s="16"/>
      <c r="Q58" s="16"/>
    </row>
    <row r="59" spans="1:23" ht="18.75">
      <c r="A59" s="152"/>
      <c r="B59" s="153"/>
      <c r="C59" s="27" t="s">
        <v>26</v>
      </c>
      <c r="D59" s="27"/>
      <c r="E59" s="27"/>
      <c r="F59" s="37">
        <f>(1380*C57*(C17*C18/100)/(H8*10*C19))</f>
        <v>1.8378995433789955</v>
      </c>
      <c r="G59" s="27" t="s">
        <v>0</v>
      </c>
      <c r="H59" s="150"/>
      <c r="I59" s="150"/>
      <c r="J59" s="50" t="s">
        <v>57</v>
      </c>
      <c r="K59" s="32"/>
      <c r="L59" s="32"/>
      <c r="M59" s="32"/>
      <c r="N59" s="32"/>
      <c r="O59" s="44"/>
      <c r="P59" s="32" t="s">
        <v>37</v>
      </c>
      <c r="Q59" s="32" t="s">
        <v>2</v>
      </c>
      <c r="R59" s="63">
        <f>MIN((800*C57*C17*C18)/(1000*(C19-2*C18)*C27),0.58*H8)</f>
        <v>0.8763693270735524</v>
      </c>
      <c r="S59" s="27" t="s">
        <v>15</v>
      </c>
      <c r="T59" s="64" t="s">
        <v>114</v>
      </c>
      <c r="U59" s="64" t="s">
        <v>2</v>
      </c>
      <c r="V59" s="97">
        <f>((C18*C17^3/12)+(C19*C20^3/36))/10000</f>
        <v>534.1639111111111</v>
      </c>
      <c r="W59" s="27" t="s">
        <v>16</v>
      </c>
    </row>
    <row r="60" spans="1:23" ht="18">
      <c r="A60" s="31"/>
      <c r="B60" s="27" t="s">
        <v>80</v>
      </c>
      <c r="C60" s="27"/>
      <c r="D60" s="27"/>
      <c r="E60" s="27"/>
      <c r="F60" s="132" t="str">
        <f>IF(AND(H58&gt;C27),"No L.T.B","There is L.T.B")</f>
        <v>There is L.T.B</v>
      </c>
      <c r="G60" s="41"/>
      <c r="H60" s="27"/>
      <c r="I60" s="27"/>
      <c r="J60" s="35"/>
      <c r="K60" s="27"/>
      <c r="L60" s="27"/>
      <c r="M60" s="27"/>
      <c r="N60" s="27"/>
      <c r="O60" s="27"/>
      <c r="P60" s="32" t="s">
        <v>115</v>
      </c>
      <c r="Q60" s="32" t="s">
        <v>2</v>
      </c>
      <c r="R60" s="64">
        <f>(C18*C17+C20*C19/6)/100</f>
        <v>23.786666666666665</v>
      </c>
      <c r="S60" s="27" t="s">
        <v>13</v>
      </c>
      <c r="T60" s="64" t="s">
        <v>19</v>
      </c>
      <c r="U60" s="64" t="s">
        <v>2</v>
      </c>
      <c r="V60" s="62">
        <f>(V59/R60)^0.5</f>
        <v>4.738822897241469</v>
      </c>
      <c r="W60" s="27" t="s">
        <v>7</v>
      </c>
    </row>
    <row r="61" spans="1:23" ht="18">
      <c r="A61" s="31" t="s">
        <v>24</v>
      </c>
      <c r="B61" s="32" t="s">
        <v>2</v>
      </c>
      <c r="C61" s="32">
        <f>IF(F60="There is L.T.B",R66,R67)</f>
        <v>2.088</v>
      </c>
      <c r="D61" s="27" t="s">
        <v>15</v>
      </c>
      <c r="E61" s="27"/>
      <c r="F61" s="151"/>
      <c r="G61" s="151"/>
      <c r="H61" s="34"/>
      <c r="I61" s="59"/>
      <c r="J61" s="35"/>
      <c r="K61" s="27"/>
      <c r="L61" s="27"/>
      <c r="M61" s="27"/>
      <c r="N61" s="27"/>
      <c r="O61" s="27"/>
      <c r="P61" s="32" t="s">
        <v>21</v>
      </c>
      <c r="Q61" s="32" t="s">
        <v>2</v>
      </c>
      <c r="R61" s="64">
        <f>C27*100/V60</f>
        <v>94.96029072155258</v>
      </c>
      <c r="S61" s="62"/>
      <c r="T61" s="64">
        <f>84*(C57/H8)^0.5</f>
        <v>58.56620185738529</v>
      </c>
      <c r="U61" s="64">
        <f>188*(C57/H8)^0.5</f>
        <v>131.0767374903385</v>
      </c>
      <c r="V61" s="62"/>
      <c r="W61" s="27"/>
    </row>
    <row r="62" spans="1:23" ht="18.75">
      <c r="A62" s="31" t="s">
        <v>31</v>
      </c>
      <c r="B62" s="32" t="s">
        <v>2</v>
      </c>
      <c r="C62" s="32">
        <f>C61</f>
        <v>2.088</v>
      </c>
      <c r="D62" s="27" t="s">
        <v>15</v>
      </c>
      <c r="E62" s="27"/>
      <c r="F62" s="53"/>
      <c r="G62" s="41"/>
      <c r="H62" s="27"/>
      <c r="I62" s="27"/>
      <c r="J62" s="35"/>
      <c r="K62" s="27"/>
      <c r="L62" s="27"/>
      <c r="M62" s="27"/>
      <c r="N62" s="27"/>
      <c r="O62" s="27"/>
      <c r="P62" s="32" t="s">
        <v>20</v>
      </c>
      <c r="Q62" s="32" t="s">
        <v>2</v>
      </c>
      <c r="R62" s="64">
        <f>0.58*H8</f>
        <v>2.088</v>
      </c>
      <c r="S62" s="27" t="s">
        <v>15</v>
      </c>
      <c r="T62" s="64"/>
      <c r="U62" s="64"/>
      <c r="V62" s="62"/>
      <c r="W62" s="27"/>
    </row>
    <row r="63" spans="1:23" ht="18.75">
      <c r="A63" s="31" t="s">
        <v>98</v>
      </c>
      <c r="B63" s="32" t="s">
        <v>2</v>
      </c>
      <c r="C63" s="128">
        <f>IF(C32="Hinged",10,1)</f>
        <v>1</v>
      </c>
      <c r="D63" s="27" t="s">
        <v>81</v>
      </c>
      <c r="E63" s="27"/>
      <c r="F63" s="27"/>
      <c r="G63" s="27"/>
      <c r="H63" s="27"/>
      <c r="I63" s="44"/>
      <c r="J63" s="45"/>
      <c r="K63" s="44"/>
      <c r="L63" s="44"/>
      <c r="M63" s="44"/>
      <c r="N63" s="44"/>
      <c r="O63" s="44"/>
      <c r="P63" s="32" t="s">
        <v>22</v>
      </c>
      <c r="Q63" s="32" t="s">
        <v>2</v>
      </c>
      <c r="R63" s="64">
        <f>MIN(ABS((0.64-((R61^2*2.4)/(1.176*10^5*C57)))*H8),0.58*H8)</f>
        <v>1.9254245535846248</v>
      </c>
      <c r="S63" s="27" t="s">
        <v>15</v>
      </c>
      <c r="T63" s="64"/>
      <c r="U63" s="64"/>
      <c r="V63" s="65"/>
      <c r="W63" s="27"/>
    </row>
    <row r="64" spans="1:23" ht="18.75">
      <c r="A64" s="31" t="s">
        <v>99</v>
      </c>
      <c r="B64" s="32" t="s">
        <v>2</v>
      </c>
      <c r="C64" s="37">
        <f>(C39/C26)/(C31/C30)</f>
        <v>0.8077668347996091</v>
      </c>
      <c r="D64" s="27"/>
      <c r="E64" s="27"/>
      <c r="F64" s="27"/>
      <c r="G64" s="27"/>
      <c r="H64" s="27"/>
      <c r="I64" s="44"/>
      <c r="J64" s="45"/>
      <c r="K64" s="44"/>
      <c r="L64" s="44"/>
      <c r="M64" s="44"/>
      <c r="N64" s="44"/>
      <c r="O64" s="44"/>
      <c r="P64" s="32" t="s">
        <v>23</v>
      </c>
      <c r="Q64" s="32" t="s">
        <v>2</v>
      </c>
      <c r="R64" s="64">
        <f>MIN((12000*C57)/R61^2,0.58*H8)</f>
        <v>2.088</v>
      </c>
      <c r="S64" s="27" t="s">
        <v>15</v>
      </c>
      <c r="T64" s="64"/>
      <c r="U64" s="64"/>
      <c r="V64" s="62"/>
      <c r="W64" s="62"/>
    </row>
    <row r="65" spans="1:23" ht="18">
      <c r="A65" s="31" t="s">
        <v>82</v>
      </c>
      <c r="B65" s="32" t="s">
        <v>2</v>
      </c>
      <c r="C65" s="14">
        <v>1</v>
      </c>
      <c r="D65" s="27" t="s">
        <v>83</v>
      </c>
      <c r="E65" s="27"/>
      <c r="F65" s="27"/>
      <c r="G65" s="27"/>
      <c r="H65" s="27"/>
      <c r="I65" s="44"/>
      <c r="J65" s="45"/>
      <c r="K65" s="44"/>
      <c r="L65" s="44"/>
      <c r="M65" s="44"/>
      <c r="N65" s="44"/>
      <c r="O65" s="44"/>
      <c r="P65" s="32" t="s">
        <v>38</v>
      </c>
      <c r="Q65" s="32" t="s">
        <v>2</v>
      </c>
      <c r="R65" s="64">
        <f>IF(R61&lt;T61,R62,IF(AND(R61&gt;T61,R61&lt;U61),R63,R64))</f>
        <v>1.9254245535846248</v>
      </c>
      <c r="S65" s="27" t="s">
        <v>15</v>
      </c>
      <c r="T65" s="32"/>
      <c r="U65" s="32"/>
      <c r="V65" s="64"/>
      <c r="W65" s="27"/>
    </row>
    <row r="66" spans="1:23" ht="18.75">
      <c r="A66" s="31" t="s">
        <v>18</v>
      </c>
      <c r="B66" s="37" t="s">
        <v>2</v>
      </c>
      <c r="C66" s="37">
        <f>C65*C28</f>
        <v>10.5</v>
      </c>
      <c r="D66" s="27" t="s">
        <v>0</v>
      </c>
      <c r="E66" s="27"/>
      <c r="F66" s="27"/>
      <c r="G66" s="54"/>
      <c r="H66" s="27"/>
      <c r="I66" s="44"/>
      <c r="J66" s="45"/>
      <c r="K66" s="44"/>
      <c r="L66" s="44"/>
      <c r="M66" s="44"/>
      <c r="N66" s="44"/>
      <c r="O66" s="44"/>
      <c r="P66" s="32" t="s">
        <v>24</v>
      </c>
      <c r="Q66" s="32" t="s">
        <v>2</v>
      </c>
      <c r="R66" s="64">
        <f>MIN((R59^2+R65^2)^0.5,0.58*H8)</f>
        <v>2.088</v>
      </c>
      <c r="S66" s="27" t="s">
        <v>15</v>
      </c>
      <c r="T66" s="27"/>
      <c r="U66" s="62"/>
      <c r="V66" s="62"/>
      <c r="W66" s="62"/>
    </row>
    <row r="67" spans="1:23" ht="18.75">
      <c r="A67" s="86" t="s">
        <v>100</v>
      </c>
      <c r="B67" s="37" t="s">
        <v>2</v>
      </c>
      <c r="C67" s="87">
        <f>C29</f>
        <v>6</v>
      </c>
      <c r="D67" s="44" t="s">
        <v>0</v>
      </c>
      <c r="E67" s="44"/>
      <c r="F67" s="44"/>
      <c r="G67" s="44"/>
      <c r="H67" s="44"/>
      <c r="I67" s="44"/>
      <c r="J67" s="45"/>
      <c r="K67" s="44"/>
      <c r="L67" s="44"/>
      <c r="M67" s="44"/>
      <c r="N67" s="44"/>
      <c r="O67" s="44"/>
      <c r="P67" s="32" t="s">
        <v>39</v>
      </c>
      <c r="Q67" s="32" t="s">
        <v>2</v>
      </c>
      <c r="R67" s="32">
        <f>IF(B49="Compact",0.64*H8,0.58*H8)</f>
        <v>2.088</v>
      </c>
      <c r="S67" s="27" t="s">
        <v>15</v>
      </c>
      <c r="T67" s="32"/>
      <c r="U67" s="32"/>
      <c r="V67" s="32"/>
      <c r="W67" s="27"/>
    </row>
    <row r="68" spans="1:17" ht="18">
      <c r="A68" s="88" t="s">
        <v>101</v>
      </c>
      <c r="B68" s="37" t="s">
        <v>2</v>
      </c>
      <c r="C68" s="87">
        <f>C66*100/C43</f>
        <v>45.83170498845431</v>
      </c>
      <c r="D68" s="44"/>
      <c r="E68" s="44"/>
      <c r="F68" s="44"/>
      <c r="G68" s="44"/>
      <c r="H68" s="44"/>
      <c r="I68" s="44"/>
      <c r="J68" s="45"/>
      <c r="K68" s="44"/>
      <c r="L68" s="44"/>
      <c r="M68" s="44"/>
      <c r="N68" s="44"/>
      <c r="O68" s="44"/>
      <c r="P68" s="16"/>
      <c r="Q68" s="16"/>
    </row>
    <row r="69" spans="1:17" ht="18">
      <c r="A69" s="88" t="s">
        <v>102</v>
      </c>
      <c r="B69" s="37" t="s">
        <v>2</v>
      </c>
      <c r="C69" s="87">
        <f>C67*100/C44</f>
        <v>162.8068849678407</v>
      </c>
      <c r="D69" s="44"/>
      <c r="E69" s="44"/>
      <c r="F69" s="44"/>
      <c r="G69" s="44"/>
      <c r="H69" s="40"/>
      <c r="I69" s="44"/>
      <c r="J69" s="45"/>
      <c r="K69" s="44"/>
      <c r="L69" s="44"/>
      <c r="M69" s="44"/>
      <c r="N69" s="44"/>
      <c r="O69" s="44"/>
      <c r="P69" s="16"/>
      <c r="Q69" s="16"/>
    </row>
    <row r="70" spans="1:17" ht="18">
      <c r="A70" s="26"/>
      <c r="B70" s="27"/>
      <c r="C70" s="27"/>
      <c r="D70" s="89" t="s">
        <v>103</v>
      </c>
      <c r="E70" s="90" t="s">
        <v>2</v>
      </c>
      <c r="F70" s="87">
        <f>MAX(C68,C69)</f>
        <v>162.8068849678407</v>
      </c>
      <c r="G70" s="44" t="s">
        <v>10</v>
      </c>
      <c r="H70" s="131" t="str">
        <f>IF(AND(F70&lt;180),"SAFE","Unsafe")</f>
        <v>SAFE</v>
      </c>
      <c r="I70" s="44"/>
      <c r="J70" s="48" t="s">
        <v>58</v>
      </c>
      <c r="K70" s="127"/>
      <c r="L70" s="127"/>
      <c r="M70" s="127"/>
      <c r="N70" s="127"/>
      <c r="O70" s="44"/>
      <c r="P70" s="16"/>
      <c r="Q70" s="16"/>
    </row>
    <row r="71" spans="1:17" ht="18.75">
      <c r="A71" s="86" t="s">
        <v>104</v>
      </c>
      <c r="B71" s="37" t="s">
        <v>2</v>
      </c>
      <c r="C71" s="37">
        <f>IF(AND(F70&lt;100),(O5-P5*(F70)^2),(7500/(F70)^2))</f>
        <v>0.28295392953929543</v>
      </c>
      <c r="D71" s="44" t="s">
        <v>105</v>
      </c>
      <c r="E71" s="44"/>
      <c r="F71" s="44"/>
      <c r="G71" s="44"/>
      <c r="H71" s="44"/>
      <c r="I71" s="44"/>
      <c r="J71" s="45"/>
      <c r="K71" s="44"/>
      <c r="L71" s="44"/>
      <c r="M71" s="44"/>
      <c r="N71" s="44"/>
      <c r="O71" s="44"/>
      <c r="P71" s="16"/>
      <c r="Q71" s="16"/>
    </row>
    <row r="72" spans="1:17" ht="16.5">
      <c r="A72" s="86" t="s">
        <v>106</v>
      </c>
      <c r="B72" s="37" t="s">
        <v>2</v>
      </c>
      <c r="C72" s="87">
        <f>C55/C71</f>
        <v>1.257063499664783</v>
      </c>
      <c r="D72" s="44"/>
      <c r="E72" s="25"/>
      <c r="F72" s="25"/>
      <c r="G72" s="25"/>
      <c r="H72" s="44"/>
      <c r="I72" s="91"/>
      <c r="J72" s="92"/>
      <c r="K72" s="91"/>
      <c r="L72" s="91"/>
      <c r="M72" s="91"/>
      <c r="N72" s="91"/>
      <c r="O72" s="91"/>
      <c r="P72" s="16"/>
      <c r="Q72" s="16"/>
    </row>
    <row r="73" spans="1:17" ht="16.5">
      <c r="A73" s="86" t="s">
        <v>107</v>
      </c>
      <c r="B73" s="37" t="s">
        <v>2</v>
      </c>
      <c r="C73" s="14">
        <v>0.85</v>
      </c>
      <c r="D73" s="44"/>
      <c r="E73" s="25"/>
      <c r="F73" s="25"/>
      <c r="G73" s="25"/>
      <c r="H73" s="44"/>
      <c r="I73" s="91"/>
      <c r="J73" s="92"/>
      <c r="K73" s="91"/>
      <c r="L73" s="91"/>
      <c r="M73" s="91"/>
      <c r="N73" s="91"/>
      <c r="O73" s="91"/>
      <c r="P73" s="16"/>
      <c r="Q73" s="16"/>
    </row>
    <row r="74" spans="1:17" ht="16.5">
      <c r="A74" s="86" t="s">
        <v>108</v>
      </c>
      <c r="B74" s="37" t="s">
        <v>2</v>
      </c>
      <c r="C74" s="87">
        <f>IF(AND(C72&lt;0.15),"1.00",MAX(((C73/(1-C55/(7500/(C68)^2)))),1))</f>
        <v>1</v>
      </c>
      <c r="D74" s="27"/>
      <c r="E74" s="27"/>
      <c r="F74" s="27"/>
      <c r="G74" s="27"/>
      <c r="H74" s="27"/>
      <c r="I74" s="91"/>
      <c r="J74" s="92"/>
      <c r="K74" s="91"/>
      <c r="L74" s="91"/>
      <c r="M74" s="91"/>
      <c r="N74" s="91"/>
      <c r="O74" s="91"/>
      <c r="P74" s="16"/>
      <c r="Q74" s="16"/>
    </row>
    <row r="75" spans="1:17" ht="16.5">
      <c r="A75" s="86" t="s">
        <v>109</v>
      </c>
      <c r="B75" s="37" t="s">
        <v>2</v>
      </c>
      <c r="C75" s="14">
        <v>1</v>
      </c>
      <c r="D75" s="27"/>
      <c r="E75" s="27"/>
      <c r="F75" s="27"/>
      <c r="G75" s="27"/>
      <c r="H75" s="27"/>
      <c r="I75" s="91"/>
      <c r="J75" s="92"/>
      <c r="K75" s="91"/>
      <c r="L75" s="91"/>
      <c r="M75" s="91"/>
      <c r="N75" s="91"/>
      <c r="O75" s="91"/>
      <c r="P75" s="16"/>
      <c r="Q75" s="16"/>
    </row>
    <row r="76" spans="1:17" ht="16.5">
      <c r="A76" s="86" t="s">
        <v>110</v>
      </c>
      <c r="B76" s="37" t="s">
        <v>2</v>
      </c>
      <c r="C76" s="87">
        <f>IF(AND(C72&lt;0.15),"1.00",MAX(((C75/(1-C55/(7500/(C69)^2)))),1))</f>
        <v>1</v>
      </c>
      <c r="D76" s="44"/>
      <c r="E76" s="32"/>
      <c r="F76" s="37"/>
      <c r="G76" s="27"/>
      <c r="H76" s="44"/>
      <c r="I76" s="93"/>
      <c r="J76" s="94"/>
      <c r="K76" s="93"/>
      <c r="L76" s="93"/>
      <c r="M76" s="93"/>
      <c r="N76" s="93"/>
      <c r="O76" s="93"/>
      <c r="P76" s="16"/>
      <c r="Q76" s="16"/>
    </row>
    <row r="77" spans="1:17" ht="15">
      <c r="A77" s="86"/>
      <c r="B77" s="33"/>
      <c r="C77" s="44"/>
      <c r="D77" s="44"/>
      <c r="E77" s="32"/>
      <c r="F77" s="37"/>
      <c r="G77" s="27"/>
      <c r="H77" s="44"/>
      <c r="I77" s="93"/>
      <c r="J77" s="94"/>
      <c r="K77" s="93"/>
      <c r="L77" s="93"/>
      <c r="M77" s="93"/>
      <c r="N77" s="93"/>
      <c r="O77" s="93"/>
      <c r="P77" s="16"/>
      <c r="Q77" s="16"/>
    </row>
    <row r="78" spans="1:17" ht="15">
      <c r="A78" s="56" t="s">
        <v>84</v>
      </c>
      <c r="B78" s="27"/>
      <c r="C78" s="27"/>
      <c r="D78" s="27"/>
      <c r="E78" s="32"/>
      <c r="F78" s="37"/>
      <c r="G78" s="27"/>
      <c r="H78" s="44"/>
      <c r="I78" s="93"/>
      <c r="J78" s="94"/>
      <c r="K78" s="93"/>
      <c r="L78" s="93"/>
      <c r="M78" s="93"/>
      <c r="N78" s="93"/>
      <c r="O78" s="93"/>
      <c r="P78" s="16"/>
      <c r="Q78" s="16"/>
    </row>
    <row r="79" spans="1:14" ht="15">
      <c r="A79" s="86"/>
      <c r="B79" s="33"/>
      <c r="C79" s="44"/>
      <c r="D79" s="44"/>
      <c r="E79" s="32"/>
      <c r="F79" s="37"/>
      <c r="G79" s="27"/>
      <c r="H79" s="44"/>
      <c r="I79" s="16"/>
      <c r="J79" s="43"/>
      <c r="K79" s="16"/>
      <c r="L79" s="16"/>
      <c r="M79" s="16"/>
      <c r="N79" s="16"/>
    </row>
    <row r="80" spans="1:17" ht="15.75" customHeight="1">
      <c r="A80" s="135" t="s">
        <v>111</v>
      </c>
      <c r="B80" s="16"/>
      <c r="C80" s="44"/>
      <c r="D80" s="57">
        <f>C72+(C52/C62)*C74+(C53/C54)*C76</f>
        <v>1.2570982740214625</v>
      </c>
      <c r="E80" s="37" t="str">
        <f>IF(D80&gt;F80,"&gt;","&lt;")</f>
        <v>&gt;</v>
      </c>
      <c r="F80" s="95">
        <f>IF(C7="a",1,1.2)</f>
        <v>1.2</v>
      </c>
      <c r="G80" s="95"/>
      <c r="H80" s="131" t="str">
        <f>IF(AND(D80&lt;F80),"SAFE","Unsafe")</f>
        <v>Unsafe</v>
      </c>
      <c r="I80" s="96"/>
      <c r="J80" s="50" t="s">
        <v>60</v>
      </c>
      <c r="K80" s="32"/>
      <c r="L80" s="32"/>
      <c r="M80" s="32"/>
      <c r="N80" s="32"/>
      <c r="O80" s="115"/>
      <c r="P80" s="116"/>
      <c r="Q80" s="117"/>
    </row>
    <row r="81" spans="1:14" ht="15.75" customHeight="1">
      <c r="A81" s="70"/>
      <c r="B81" s="16"/>
      <c r="C81" s="16"/>
      <c r="D81" s="16"/>
      <c r="E81" s="16"/>
      <c r="F81" s="16"/>
      <c r="G81" s="16"/>
      <c r="H81" s="16"/>
      <c r="I81" s="16"/>
      <c r="J81" s="43"/>
      <c r="K81" s="16"/>
      <c r="L81" s="16"/>
      <c r="M81" s="16"/>
      <c r="N81" s="16"/>
    </row>
    <row r="82" spans="1:14" ht="15.75" customHeight="1">
      <c r="A82" s="70"/>
      <c r="B82" s="16"/>
      <c r="C82" s="16"/>
      <c r="D82" s="16"/>
      <c r="E82" s="16"/>
      <c r="F82" s="16"/>
      <c r="G82" s="16"/>
      <c r="H82" s="16"/>
      <c r="I82" s="16"/>
      <c r="J82" s="43"/>
      <c r="K82" s="16"/>
      <c r="L82" s="16"/>
      <c r="M82" s="16"/>
      <c r="N82" s="16"/>
    </row>
    <row r="83" spans="1:14" ht="15.75" customHeight="1">
      <c r="A83" s="70"/>
      <c r="J83" s="43"/>
      <c r="K83" s="16"/>
      <c r="L83" s="16"/>
      <c r="M83" s="16"/>
      <c r="N83" s="16"/>
    </row>
    <row r="84" spans="1:14" ht="15.75" customHeight="1">
      <c r="A84" s="70"/>
      <c r="J84" s="43"/>
      <c r="K84" s="16"/>
      <c r="L84" s="16"/>
      <c r="M84" s="16"/>
      <c r="N84" s="16"/>
    </row>
    <row r="85" spans="1:14" ht="15.75" customHeight="1">
      <c r="A85" s="70"/>
      <c r="J85" s="43"/>
      <c r="K85" s="16"/>
      <c r="L85" s="16"/>
      <c r="M85" s="16"/>
      <c r="N85" s="16"/>
    </row>
    <row r="86" spans="1:14" ht="15.75" customHeight="1">
      <c r="A86" s="70"/>
      <c r="J86" s="43"/>
      <c r="K86" s="16"/>
      <c r="L86" s="16"/>
      <c r="M86" s="16"/>
      <c r="N86" s="16"/>
    </row>
    <row r="87" spans="1:14" ht="15.75" customHeight="1">
      <c r="A87" s="70"/>
      <c r="J87" s="43"/>
      <c r="K87" s="16"/>
      <c r="L87" s="16"/>
      <c r="M87" s="16"/>
      <c r="N87" s="16"/>
    </row>
    <row r="88" spans="1:14" ht="15.75" customHeight="1">
      <c r="A88" s="70"/>
      <c r="J88" s="43"/>
      <c r="K88" s="16"/>
      <c r="L88" s="16"/>
      <c r="M88" s="16"/>
      <c r="N88" s="16"/>
    </row>
    <row r="89" spans="1:14" ht="15.75" customHeight="1">
      <c r="A89" s="70"/>
      <c r="J89" s="43"/>
      <c r="K89" s="16"/>
      <c r="L89" s="16"/>
      <c r="M89" s="16"/>
      <c r="N89" s="16"/>
    </row>
    <row r="90" spans="1:14" ht="15.75" customHeight="1">
      <c r="A90" s="70"/>
      <c r="J90" s="43"/>
      <c r="K90" s="16"/>
      <c r="L90" s="16"/>
      <c r="M90" s="16"/>
      <c r="N90" s="16"/>
    </row>
    <row r="91" spans="1:14" ht="15.75" customHeight="1">
      <c r="A91" s="70"/>
      <c r="J91" s="43"/>
      <c r="K91" s="16"/>
      <c r="L91" s="16"/>
      <c r="M91" s="16"/>
      <c r="N91" s="16"/>
    </row>
    <row r="92" spans="1:14" ht="15.75" customHeight="1">
      <c r="A92" s="70"/>
      <c r="J92" s="43"/>
      <c r="K92" s="16"/>
      <c r="L92" s="16"/>
      <c r="M92" s="16"/>
      <c r="N92" s="16"/>
    </row>
    <row r="93" spans="1:14" ht="15.75" customHeight="1">
      <c r="A93" s="70"/>
      <c r="B93" s="16"/>
      <c r="C93" s="16"/>
      <c r="D93" s="16"/>
      <c r="E93" s="16"/>
      <c r="F93" s="16"/>
      <c r="G93" s="16"/>
      <c r="H93" s="16"/>
      <c r="I93" s="16"/>
      <c r="J93" s="43"/>
      <c r="K93" s="16"/>
      <c r="L93" s="16"/>
      <c r="M93" s="16"/>
      <c r="N93" s="16"/>
    </row>
    <row r="94" spans="1:14" ht="15.75" customHeight="1">
      <c r="A94" s="70"/>
      <c r="B94" s="16"/>
      <c r="C94" s="16"/>
      <c r="D94" s="16"/>
      <c r="E94" s="16"/>
      <c r="F94" s="16"/>
      <c r="G94" s="16"/>
      <c r="H94" s="16"/>
      <c r="I94" s="16"/>
      <c r="J94" s="43"/>
      <c r="K94" s="16"/>
      <c r="L94" s="16"/>
      <c r="M94" s="16"/>
      <c r="N94" s="16"/>
    </row>
    <row r="95" spans="1:14" ht="15.75" customHeight="1">
      <c r="A95" s="70"/>
      <c r="B95" s="16"/>
      <c r="C95" s="16"/>
      <c r="D95" s="16"/>
      <c r="E95" s="16"/>
      <c r="F95" s="16"/>
      <c r="G95" s="16"/>
      <c r="H95" s="16"/>
      <c r="I95" s="16"/>
      <c r="J95" s="43"/>
      <c r="K95" s="16"/>
      <c r="L95" s="16"/>
      <c r="M95" s="16"/>
      <c r="N95" s="16"/>
    </row>
    <row r="96" spans="1:14" ht="15.75" customHeight="1">
      <c r="A96" s="70"/>
      <c r="B96" s="16"/>
      <c r="C96" s="16"/>
      <c r="D96" s="16"/>
      <c r="E96" s="16"/>
      <c r="F96" s="16"/>
      <c r="G96" s="16"/>
      <c r="H96" s="16"/>
      <c r="I96" s="16"/>
      <c r="J96" s="43"/>
      <c r="K96" s="16"/>
      <c r="L96" s="16"/>
      <c r="M96" s="16"/>
      <c r="N96" s="16"/>
    </row>
    <row r="97" spans="1:14" ht="15.75" customHeight="1">
      <c r="A97" s="70"/>
      <c r="B97" s="16"/>
      <c r="C97" s="16"/>
      <c r="D97" s="16"/>
      <c r="E97" s="16"/>
      <c r="F97" s="16"/>
      <c r="G97" s="16"/>
      <c r="H97" s="16"/>
      <c r="I97" s="16"/>
      <c r="J97" s="43"/>
      <c r="K97" s="16"/>
      <c r="L97" s="16"/>
      <c r="M97" s="16"/>
      <c r="N97" s="16"/>
    </row>
    <row r="98" spans="1:10" ht="15.75" customHeight="1" thickBot="1">
      <c r="A98" s="60"/>
      <c r="B98" s="21"/>
      <c r="C98" s="21"/>
      <c r="D98" s="21"/>
      <c r="E98" s="21"/>
      <c r="F98" s="21"/>
      <c r="G98" s="21"/>
      <c r="H98" s="21"/>
      <c r="I98" s="21"/>
      <c r="J98" s="61"/>
    </row>
    <row r="99" ht="15.75" customHeight="1"/>
    <row r="100" ht="15.75" customHeight="1"/>
  </sheetData>
  <sheetProtection password="D98F" sheet="1" objects="1" scenarios="1"/>
  <mergeCells count="8">
    <mergeCell ref="F61:G61"/>
    <mergeCell ref="A58:A59"/>
    <mergeCell ref="B58:B59"/>
    <mergeCell ref="H58:H59"/>
    <mergeCell ref="D1:G1"/>
    <mergeCell ref="H1:I2"/>
    <mergeCell ref="D2:G2"/>
    <mergeCell ref="I58:I59"/>
  </mergeCells>
  <conditionalFormatting sqref="E47:E48">
    <cfRule type="cellIs" priority="1" dxfId="1" operator="equal" stopIfTrue="1">
      <formula>"Compact"</formula>
    </cfRule>
    <cfRule type="cellIs" priority="2" dxfId="1" operator="equal" stopIfTrue="1">
      <formula>"Non compact"</formula>
    </cfRule>
    <cfRule type="cellIs" priority="3" dxfId="0" operator="equal" stopIfTrue="1">
      <formula>"Slender"</formula>
    </cfRule>
  </conditionalFormatting>
  <conditionalFormatting sqref="B49">
    <cfRule type="cellIs" priority="4" dxfId="1" operator="equal" stopIfTrue="1">
      <formula>"Compact"</formula>
    </cfRule>
    <cfRule type="cellIs" priority="5" dxfId="1" operator="equal" stopIfTrue="1">
      <formula>"Non compact"</formula>
    </cfRule>
    <cfRule type="cellIs" priority="6" dxfId="1" operator="equal" stopIfTrue="1">
      <formula>"Slender"</formula>
    </cfRule>
  </conditionalFormatting>
  <conditionalFormatting sqref="H70 H80">
    <cfRule type="cellIs" priority="7" dxfId="1" operator="equal" stopIfTrue="1">
      <formula>"SAFE"</formula>
    </cfRule>
    <cfRule type="cellIs" priority="8" dxfId="0" operator="equal" stopIfTrue="1">
      <formula>"Unsafe"</formula>
    </cfRule>
  </conditionalFormatting>
  <dataValidations count="4">
    <dataValidation type="list" allowBlank="1" showInputMessage="1" showErrorMessage="1" sqref="C16">
      <formula1>$O$6:$O$34</formula1>
    </dataValidation>
    <dataValidation type="list" allowBlank="1" showInputMessage="1" showErrorMessage="1" sqref="B7">
      <formula1>$O$36:$O$37</formula1>
    </dataValidation>
    <dataValidation type="list" allowBlank="1" showInputMessage="1" showErrorMessage="1" sqref="G7">
      <formula1>$O$2:$O$4</formula1>
    </dataValidation>
    <dataValidation type="list" allowBlank="1" showInputMessage="1" showErrorMessage="1" sqref="C32">
      <formula1>$O$7:$O$8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5" r:id="rId4"/>
  <colBreaks count="1" manualBreakCount="1">
    <brk id="15" max="65535" man="1"/>
  </colBreaks>
  <drawing r:id="rId3"/>
  <legacyDrawing r:id="rId2"/>
  <oleObjects>
    <oleObject progId="AutoCAD.Drawing.17" shapeId="18254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Baky</cp:lastModifiedBy>
  <cp:lastPrinted>2009-06-25T07:50:39Z</cp:lastPrinted>
  <dcterms:created xsi:type="dcterms:W3CDTF">1997-10-17T07:03:38Z</dcterms:created>
  <dcterms:modified xsi:type="dcterms:W3CDTF">2011-06-18T12:23:41Z</dcterms:modified>
  <cp:category/>
  <cp:version/>
  <cp:contentType/>
  <cp:contentStatus/>
</cp:coreProperties>
</file>