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31" windowWidth="7140" windowHeight="4440" tabRatio="903" activeTab="0"/>
  </bookViews>
  <sheets>
    <sheet name="COMPOSITE SECTION" sheetId="1" r:id="rId1"/>
  </sheets>
  <definedNames>
    <definedName name="_xlnm.Print_Area" localSheetId="0">'COMPOSITE SECTION'!$A$1:$J$123</definedName>
    <definedName name="_xlnm.Print_Titles" localSheetId="0">'COMPOSITE SECTION'!$1:$4</definedName>
    <definedName name="Z_B381FCE2_D8C1_4124_915B_856606DE7547_.wvu.PrintArea" localSheetId="0" hidden="1">'COMPOSITE SECTION'!$A$1:$J$121</definedName>
    <definedName name="Z_B381FCE2_D8C1_4124_915B_856606DE7547_.wvu.PrintTitles" localSheetId="0" hidden="1">'COMPOSITE SECTION'!$1:$4</definedName>
  </definedNames>
  <calcPr fullCalcOnLoad="1"/>
</workbook>
</file>

<file path=xl/sharedStrings.xml><?xml version="1.0" encoding="utf-8"?>
<sst xmlns="http://schemas.openxmlformats.org/spreadsheetml/2006/main" count="278" uniqueCount="135">
  <si>
    <t>m</t>
  </si>
  <si>
    <t>=</t>
  </si>
  <si>
    <t>mm</t>
  </si>
  <si>
    <t>cm</t>
  </si>
  <si>
    <t>Y</t>
  </si>
  <si>
    <r>
      <t>Lu</t>
    </r>
    <r>
      <rPr>
        <vertAlign val="subscript"/>
        <sz val="11"/>
        <rFont val="Times New Roman"/>
        <family val="1"/>
      </rPr>
      <t>max</t>
    </r>
  </si>
  <si>
    <r>
      <t>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</si>
  <si>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3</t>
    </r>
  </si>
  <si>
    <r>
      <t>t/cm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</si>
  <si>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4</t>
    </r>
  </si>
  <si>
    <t>Cb</t>
  </si>
  <si>
    <t>Rt</t>
  </si>
  <si>
    <t>Af</t>
  </si>
  <si>
    <t>F1</t>
  </si>
  <si>
    <t>Lu/Rt</t>
  </si>
  <si>
    <t>F2</t>
  </si>
  <si>
    <t>F3</t>
  </si>
  <si>
    <t>Fltb</t>
  </si>
  <si>
    <r>
      <t>( 20.b</t>
    </r>
    <r>
      <rPr>
        <vertAlign val="subscript"/>
        <sz val="11"/>
        <rFont val="Times New Roman"/>
        <family val="1"/>
      </rPr>
      <t xml:space="preserve">f </t>
    </r>
    <r>
      <rPr>
        <sz val="11"/>
        <rFont val="Times New Roman"/>
        <family val="1"/>
      </rPr>
      <t>) / (√ fy )  =</t>
    </r>
  </si>
  <si>
    <r>
      <t>( 1380.A</t>
    </r>
    <r>
      <rPr>
        <vertAlign val="subscript"/>
        <sz val="11"/>
        <rFont val="Times New Roman"/>
        <family val="1"/>
      </rPr>
      <t xml:space="preserve">f </t>
    </r>
    <r>
      <rPr>
        <sz val="11"/>
        <rFont val="Times New Roman"/>
        <family val="1"/>
      </rPr>
      <t>) / ( fy.d ) x C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   =</t>
    </r>
  </si>
  <si>
    <r>
      <t>d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/t</t>
    </r>
    <r>
      <rPr>
        <vertAlign val="subscript"/>
        <sz val="11"/>
        <rFont val="Times New Roman"/>
        <family val="1"/>
      </rPr>
      <t>w</t>
    </r>
  </si>
  <si>
    <r>
      <t>C/t</t>
    </r>
    <r>
      <rPr>
        <vertAlign val="subscript"/>
        <sz val="11"/>
        <rFont val="Times New Roman"/>
        <family val="1"/>
      </rPr>
      <t>f</t>
    </r>
  </si>
  <si>
    <r>
      <t>F</t>
    </r>
    <r>
      <rPr>
        <vertAlign val="subscript"/>
        <sz val="11"/>
        <rFont val="Times New Roman"/>
        <family val="1"/>
      </rPr>
      <t xml:space="preserve">bcx </t>
    </r>
  </si>
  <si>
    <t>Fltb1</t>
  </si>
  <si>
    <t>If</t>
  </si>
  <si>
    <t>Fltb2</t>
  </si>
  <si>
    <t>F</t>
  </si>
  <si>
    <t>Fsec</t>
  </si>
  <si>
    <r>
      <t>t</t>
    </r>
    <r>
      <rPr>
        <vertAlign val="subscript"/>
        <sz val="11"/>
        <rFont val="Times New Roman"/>
        <family val="1"/>
      </rPr>
      <t>FLU</t>
    </r>
  </si>
  <si>
    <r>
      <t>b</t>
    </r>
    <r>
      <rPr>
        <vertAlign val="subscript"/>
        <sz val="11"/>
        <rFont val="Times New Roman"/>
        <family val="1"/>
      </rPr>
      <t>FLU</t>
    </r>
  </si>
  <si>
    <r>
      <t>b</t>
    </r>
    <r>
      <rPr>
        <vertAlign val="subscript"/>
        <sz val="11"/>
        <rFont val="Times New Roman"/>
        <family val="1"/>
      </rPr>
      <t>FLL</t>
    </r>
  </si>
  <si>
    <r>
      <t>t</t>
    </r>
    <r>
      <rPr>
        <vertAlign val="subscript"/>
        <sz val="11"/>
        <rFont val="Times New Roman"/>
        <family val="1"/>
      </rPr>
      <t>FLL</t>
    </r>
  </si>
  <si>
    <t>Web is</t>
  </si>
  <si>
    <t>Flange is</t>
  </si>
  <si>
    <t>Refrences</t>
  </si>
  <si>
    <t>Calc. By</t>
  </si>
  <si>
    <t>ECG</t>
  </si>
  <si>
    <t>Engineering Consultants Group</t>
  </si>
  <si>
    <t>Bldg. 2, Block 10, El Sefarat District</t>
  </si>
  <si>
    <t>P.O.Box No. 1167, Cairo 11511, Egypt.</t>
  </si>
  <si>
    <t>Date</t>
  </si>
  <si>
    <t>Checked By</t>
  </si>
  <si>
    <t>Project Name</t>
  </si>
  <si>
    <t>Job Ref.</t>
  </si>
  <si>
    <t>Rev.</t>
  </si>
  <si>
    <t>Sheet No.</t>
  </si>
  <si>
    <t>table(2.1a)</t>
  </si>
  <si>
    <t>table(2.1c)</t>
  </si>
  <si>
    <t>table(2.2)</t>
  </si>
  <si>
    <t>ECP 16</t>
  </si>
  <si>
    <t>eqn. 2.18</t>
  </si>
  <si>
    <t>ECP</t>
  </si>
  <si>
    <t>M.Nour</t>
  </si>
  <si>
    <t>CHECKING AND PACKING HALL</t>
  </si>
  <si>
    <r>
      <t>t</t>
    </r>
    <r>
      <rPr>
        <vertAlign val="subscript"/>
        <sz val="11"/>
        <rFont val="Times New Roman"/>
        <family val="1"/>
      </rPr>
      <t>web</t>
    </r>
  </si>
  <si>
    <r>
      <t>h</t>
    </r>
    <r>
      <rPr>
        <vertAlign val="subscript"/>
        <sz val="11"/>
        <rFont val="Times New Roman"/>
        <family val="1"/>
      </rPr>
      <t>web</t>
    </r>
  </si>
  <si>
    <t>Steel grade</t>
  </si>
  <si>
    <t>St.37</t>
  </si>
  <si>
    <t>St.44</t>
  </si>
  <si>
    <t>St.52</t>
  </si>
  <si>
    <r>
      <t>F</t>
    </r>
    <r>
      <rPr>
        <vertAlign val="subscript"/>
        <sz val="11"/>
        <rFont val="Times New Roman"/>
        <family val="1"/>
      </rPr>
      <t>y</t>
    </r>
  </si>
  <si>
    <r>
      <t>F</t>
    </r>
    <r>
      <rPr>
        <vertAlign val="subscript"/>
        <sz val="11"/>
        <rFont val="Times New Roman"/>
        <family val="1"/>
      </rPr>
      <t>u</t>
    </r>
  </si>
  <si>
    <r>
      <t>Y</t>
    </r>
    <r>
      <rPr>
        <vertAlign val="subscript"/>
        <sz val="11"/>
        <rFont val="Times New Roman"/>
        <family val="1"/>
      </rPr>
      <t>1</t>
    </r>
  </si>
  <si>
    <r>
      <t>Y</t>
    </r>
    <r>
      <rPr>
        <vertAlign val="subscript"/>
        <sz val="11"/>
        <rFont val="Times New Roman"/>
        <family val="1"/>
      </rPr>
      <t>2</t>
    </r>
  </si>
  <si>
    <t>1)- MATRIAL PROPERTIES :-</t>
  </si>
  <si>
    <t>Steel.</t>
  </si>
  <si>
    <t>Concrete.</t>
  </si>
  <si>
    <r>
      <t>F</t>
    </r>
    <r>
      <rPr>
        <vertAlign val="subscript"/>
        <sz val="11"/>
        <rFont val="Times New Roman"/>
        <family val="1"/>
      </rPr>
      <t>cu</t>
    </r>
  </si>
  <si>
    <r>
      <t>kg/cm</t>
    </r>
    <r>
      <rPr>
        <vertAlign val="superscript"/>
        <sz val="11"/>
        <rFont val="Times New Roman"/>
        <family val="1"/>
      </rPr>
      <t>2</t>
    </r>
  </si>
  <si>
    <r>
      <t>F</t>
    </r>
    <r>
      <rPr>
        <vertAlign val="subscript"/>
        <sz val="11"/>
        <rFont val="Times New Roman"/>
        <family val="1"/>
      </rPr>
      <t>c</t>
    </r>
  </si>
  <si>
    <r>
      <t>E</t>
    </r>
    <r>
      <rPr>
        <vertAlign val="subscript"/>
        <sz val="11"/>
        <rFont val="Times New Roman"/>
        <family val="1"/>
      </rPr>
      <t>c</t>
    </r>
  </si>
  <si>
    <t>n</t>
  </si>
  <si>
    <t>Span</t>
  </si>
  <si>
    <t>Spacing</t>
  </si>
  <si>
    <r>
      <t>t</t>
    </r>
    <r>
      <rPr>
        <vertAlign val="subscript"/>
        <sz val="11"/>
        <rFont val="Times New Roman"/>
        <family val="1"/>
      </rPr>
      <t>s</t>
    </r>
  </si>
  <si>
    <t>2)- DIMENSIONS AND SECTIONS :-</t>
  </si>
  <si>
    <t>Beam data.</t>
  </si>
  <si>
    <r>
      <t>B</t>
    </r>
    <r>
      <rPr>
        <vertAlign val="subscript"/>
        <sz val="11"/>
        <rFont val="Times New Roman"/>
        <family val="1"/>
      </rPr>
      <t>e</t>
    </r>
  </si>
  <si>
    <r>
      <t>t</t>
    </r>
    <r>
      <rPr>
        <vertAlign val="subscript"/>
        <sz val="11"/>
        <rFont val="Times New Roman"/>
        <family val="1"/>
      </rPr>
      <t>c</t>
    </r>
  </si>
  <si>
    <r>
      <t>L</t>
    </r>
    <r>
      <rPr>
        <vertAlign val="subscript"/>
        <sz val="11"/>
        <rFont val="Times New Roman"/>
        <family val="1"/>
      </rPr>
      <t xml:space="preserve">u.act  </t>
    </r>
    <r>
      <rPr>
        <sz val="11"/>
        <rFont val="Times New Roman"/>
        <family val="1"/>
      </rPr>
      <t>(Stage 1)</t>
    </r>
  </si>
  <si>
    <t>3)- SECTION PROPERTIES :-</t>
  </si>
  <si>
    <t>Steel section (Stage 1)</t>
  </si>
  <si>
    <t>overall depth =</t>
  </si>
  <si>
    <t>Composite section (Stage 2)</t>
  </si>
  <si>
    <r>
      <t>Y</t>
    </r>
    <r>
      <rPr>
        <vertAlign val="subscript"/>
        <sz val="11"/>
        <rFont val="Times New Roman"/>
        <family val="1"/>
      </rPr>
      <t>3</t>
    </r>
  </si>
  <si>
    <r>
      <t>Y</t>
    </r>
    <r>
      <rPr>
        <vertAlign val="subscript"/>
        <sz val="11"/>
        <rFont val="Times New Roman"/>
        <family val="1"/>
      </rPr>
      <t>4</t>
    </r>
  </si>
  <si>
    <r>
      <t>A</t>
    </r>
    <r>
      <rPr>
        <vertAlign val="subscript"/>
        <sz val="11"/>
        <rFont val="Times New Roman"/>
        <family val="1"/>
      </rPr>
      <t>s</t>
    </r>
  </si>
  <si>
    <r>
      <t>A</t>
    </r>
    <r>
      <rPr>
        <vertAlign val="subscript"/>
        <sz val="11"/>
        <rFont val="Times New Roman"/>
        <family val="1"/>
      </rPr>
      <t>v</t>
    </r>
  </si>
  <si>
    <r>
      <t>I</t>
    </r>
    <r>
      <rPr>
        <vertAlign val="subscript"/>
        <sz val="11"/>
        <rFont val="Times New Roman"/>
        <family val="1"/>
      </rPr>
      <t>v</t>
    </r>
  </si>
  <si>
    <r>
      <t>I</t>
    </r>
    <r>
      <rPr>
        <vertAlign val="subscript"/>
        <sz val="11"/>
        <rFont val="Times New Roman"/>
        <family val="1"/>
      </rPr>
      <t>s</t>
    </r>
  </si>
  <si>
    <r>
      <t>S</t>
    </r>
    <r>
      <rPr>
        <vertAlign val="subscript"/>
        <sz val="11"/>
        <rFont val="Times New Roman"/>
        <family val="1"/>
      </rPr>
      <t>s.upper</t>
    </r>
  </si>
  <si>
    <r>
      <t>S</t>
    </r>
    <r>
      <rPr>
        <vertAlign val="subscript"/>
        <sz val="11"/>
        <rFont val="Times New Roman"/>
        <family val="1"/>
      </rPr>
      <t>s.lower</t>
    </r>
  </si>
  <si>
    <r>
      <t>Y</t>
    </r>
    <r>
      <rPr>
        <vertAlign val="subscript"/>
        <sz val="11"/>
        <rFont val="Times New Roman"/>
        <family val="1"/>
      </rPr>
      <t>5</t>
    </r>
  </si>
  <si>
    <r>
      <t>S</t>
    </r>
    <r>
      <rPr>
        <vertAlign val="subscript"/>
        <sz val="11"/>
        <rFont val="Times New Roman"/>
        <family val="1"/>
      </rPr>
      <t>c.upper</t>
    </r>
  </si>
  <si>
    <t>5)- CHECK STRESS :-</t>
  </si>
  <si>
    <t>4)- STRAINING ACTIONS :-</t>
  </si>
  <si>
    <t>- Stage (1)</t>
  </si>
  <si>
    <r>
      <t>M</t>
    </r>
    <r>
      <rPr>
        <vertAlign val="subscript"/>
        <sz val="11"/>
        <rFont val="Times New Roman"/>
        <family val="1"/>
      </rPr>
      <t>1</t>
    </r>
  </si>
  <si>
    <r>
      <t>Q</t>
    </r>
    <r>
      <rPr>
        <vertAlign val="subscript"/>
        <sz val="11"/>
        <rFont val="Times New Roman"/>
        <family val="1"/>
      </rPr>
      <t>1</t>
    </r>
  </si>
  <si>
    <t>m.t</t>
  </si>
  <si>
    <t>t</t>
  </si>
  <si>
    <t>The bending moment and shear force for stage 1</t>
  </si>
  <si>
    <t>- Stage (2)</t>
  </si>
  <si>
    <r>
      <t>M</t>
    </r>
    <r>
      <rPr>
        <vertAlign val="subscript"/>
        <sz val="11"/>
        <rFont val="Times New Roman"/>
        <family val="1"/>
      </rPr>
      <t>2</t>
    </r>
  </si>
  <si>
    <r>
      <t>Q</t>
    </r>
    <r>
      <rPr>
        <vertAlign val="subscript"/>
        <sz val="11"/>
        <rFont val="Times New Roman"/>
        <family val="1"/>
      </rPr>
      <t>2</t>
    </r>
  </si>
  <si>
    <t>The bending moment and shear force for stage 2</t>
  </si>
  <si>
    <t>Sec is</t>
  </si>
  <si>
    <t>- Allowable stress for stage (1)</t>
  </si>
  <si>
    <t>- Check steel section: stage (1)</t>
  </si>
  <si>
    <r>
      <t>f</t>
    </r>
    <r>
      <rPr>
        <vertAlign val="subscript"/>
        <sz val="11"/>
        <rFont val="Times New Roman"/>
        <family val="1"/>
      </rPr>
      <t>s.upper</t>
    </r>
  </si>
  <si>
    <r>
      <t>f</t>
    </r>
    <r>
      <rPr>
        <vertAlign val="subscript"/>
        <sz val="11"/>
        <rFont val="Times New Roman"/>
        <family val="1"/>
      </rPr>
      <t>s.lower</t>
    </r>
  </si>
  <si>
    <t>- Check composite section: stage (2)</t>
  </si>
  <si>
    <r>
      <t>f</t>
    </r>
    <r>
      <rPr>
        <vertAlign val="subscript"/>
        <sz val="11"/>
        <rFont val="Times New Roman"/>
        <family val="1"/>
      </rPr>
      <t>c.upper</t>
    </r>
  </si>
  <si>
    <t>- Check shear stress:</t>
  </si>
  <si>
    <r>
      <t>q</t>
    </r>
    <r>
      <rPr>
        <vertAlign val="subscript"/>
        <sz val="11"/>
        <rFont val="Times New Roman"/>
        <family val="1"/>
      </rPr>
      <t>w</t>
    </r>
  </si>
  <si>
    <t xml:space="preserve">      COMPOSITE BEAM :-</t>
  </si>
  <si>
    <t>6)- CHECK OF STUD CONNECTOR :-</t>
  </si>
  <si>
    <t>span/(16--&gt;22).</t>
  </si>
  <si>
    <r>
      <t>d</t>
    </r>
    <r>
      <rPr>
        <vertAlign val="subscript"/>
        <sz val="11"/>
        <rFont val="Times New Roman"/>
        <family val="1"/>
      </rPr>
      <t>s</t>
    </r>
  </si>
  <si>
    <t>wild size (S)</t>
  </si>
  <si>
    <r>
      <t xml:space="preserve">is due to </t>
    </r>
    <r>
      <rPr>
        <b/>
        <sz val="10"/>
        <rFont val="Arial"/>
        <family val="2"/>
      </rPr>
      <t>super dead load</t>
    </r>
    <r>
      <rPr>
        <sz val="10"/>
        <rFont val="Arial"/>
        <family val="0"/>
      </rPr>
      <t xml:space="preserve"> and </t>
    </r>
    <r>
      <rPr>
        <b/>
        <sz val="10"/>
        <rFont val="Arial"/>
        <family val="2"/>
      </rPr>
      <t>live load</t>
    </r>
    <r>
      <rPr>
        <sz val="10"/>
        <rFont val="Arial"/>
        <family val="0"/>
      </rPr>
      <t>.</t>
    </r>
  </si>
  <si>
    <r>
      <t xml:space="preserve">is due to </t>
    </r>
    <r>
      <rPr>
        <b/>
        <sz val="10"/>
        <rFont val="Arial"/>
        <family val="2"/>
      </rPr>
      <t>ow of concerete</t>
    </r>
    <r>
      <rPr>
        <sz val="10"/>
        <rFont val="Arial"/>
        <family val="0"/>
      </rPr>
      <t xml:space="preserve"> and </t>
    </r>
    <r>
      <rPr>
        <b/>
        <sz val="10"/>
        <rFont val="Arial"/>
        <family val="2"/>
      </rPr>
      <t>ow of steel</t>
    </r>
    <r>
      <rPr>
        <sz val="10"/>
        <rFont val="Arial"/>
        <family val="0"/>
      </rPr>
      <t>.</t>
    </r>
  </si>
  <si>
    <r>
      <t xml:space="preserve">this work sheet for </t>
    </r>
    <r>
      <rPr>
        <b/>
        <sz val="10"/>
        <rFont val="Arial"/>
        <family val="2"/>
      </rPr>
      <t>unshored system</t>
    </r>
    <r>
      <rPr>
        <sz val="10"/>
        <rFont val="Arial"/>
        <family val="0"/>
      </rPr>
      <t xml:space="preserve"> only.</t>
    </r>
  </si>
  <si>
    <r>
      <t>max d</t>
    </r>
    <r>
      <rPr>
        <vertAlign val="subscript"/>
        <sz val="11"/>
        <rFont val="Times New Roman"/>
        <family val="1"/>
      </rPr>
      <t>s</t>
    </r>
  </si>
  <si>
    <t>thickness of the top flange of the steel beam.</t>
  </si>
  <si>
    <r>
      <t xml:space="preserve">the value of </t>
    </r>
    <r>
      <rPr>
        <b/>
        <sz val="11"/>
        <rFont val="Times New Roman"/>
        <family val="1"/>
      </rPr>
      <t>ds</t>
    </r>
    <r>
      <rPr>
        <sz val="11"/>
        <rFont val="Times New Roman"/>
        <family val="1"/>
      </rPr>
      <t xml:space="preserve"> shall not exceed twice the</t>
    </r>
  </si>
  <si>
    <t>h</t>
  </si>
  <si>
    <t>min h</t>
  </si>
  <si>
    <r>
      <t>d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>'</t>
    </r>
  </si>
  <si>
    <r>
      <t>A</t>
    </r>
    <r>
      <rPr>
        <vertAlign val="subscript"/>
        <sz val="11"/>
        <rFont val="Times New Roman"/>
        <family val="1"/>
      </rPr>
      <t>sc</t>
    </r>
  </si>
  <si>
    <r>
      <t>A</t>
    </r>
    <r>
      <rPr>
        <vertAlign val="subscript"/>
        <sz val="11"/>
        <rFont val="Times New Roman"/>
        <family val="1"/>
      </rPr>
      <t>w</t>
    </r>
  </si>
  <si>
    <t>no of rows</t>
  </si>
  <si>
    <r>
      <t>R</t>
    </r>
    <r>
      <rPr>
        <vertAlign val="subscript"/>
        <sz val="11"/>
        <rFont val="Times New Roman"/>
        <family val="1"/>
      </rPr>
      <t>sc</t>
    </r>
  </si>
  <si>
    <r>
      <t>R</t>
    </r>
    <r>
      <rPr>
        <vertAlign val="subscript"/>
        <sz val="11"/>
        <rFont val="Times New Roman"/>
        <family val="1"/>
      </rPr>
      <t>w</t>
    </r>
  </si>
  <si>
    <t>pitch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</si>
</sst>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L.E.&quot;;\-#,##0\ &quot;L.E.&quot;"/>
    <numFmt numFmtId="181" formatCode="#,##0\ &quot;L.E.&quot;;[Red]\-#,##0\ &quot;L.E.&quot;"/>
    <numFmt numFmtId="182" formatCode="#,##0.00\ &quot;L.E.&quot;;\-#,##0.00\ &quot;L.E.&quot;"/>
    <numFmt numFmtId="183" formatCode="#,##0.00\ &quot;L.E.&quot;;[Red]\-#,##0.00\ &quot;L.E.&quot;"/>
    <numFmt numFmtId="184" formatCode="_-* #,##0\ &quot;L.E.&quot;_-;\-* #,##0\ &quot;L.E.&quot;_-;_-* &quot;-&quot;\ &quot;L.E.&quot;_-;_-@_-"/>
    <numFmt numFmtId="185" formatCode="_-* #,##0\ _L_._E_._-;\-* #,##0\ _L_._E_._-;_-* &quot;-&quot;\ _L_._E_._-;_-@_-"/>
    <numFmt numFmtId="186" formatCode="_-* #,##0.00\ &quot;L.E.&quot;_-;\-* #,##0.00\ &quot;L.E.&quot;_-;_-* &quot;-&quot;??\ &quot;L.E.&quot;_-;_-@_-"/>
    <numFmt numFmtId="187" formatCode="_-* #,##0.00\ _L_._E_._-;\-* #,##0.00\ _L_._E_._-;_-* &quot;-&quot;??\ _L_._E_.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ل.س.&quot;\ #,##0_-;&quot;ل.س.&quot;\ #,##0\-"/>
    <numFmt numFmtId="195" formatCode="&quot;ل.س.&quot;\ #,##0_-;[Red]&quot;ل.س.&quot;\ #,##0\-"/>
    <numFmt numFmtId="196" formatCode="&quot;ل.س.&quot;\ #,##0.00_-;&quot;ل.س.&quot;\ #,##0.00\-"/>
    <numFmt numFmtId="197" formatCode="&quot;ل.س.&quot;\ #,##0.00_-;[Red]&quot;ل.س.&quot;\ #,##0.00\-"/>
    <numFmt numFmtId="198" formatCode="_-&quot;ل.س.&quot;\ * #,##0_-;_-&quot;ل.س.&quot;\ * #,##0\-;_-&quot;ل.س.&quot;\ * &quot;-&quot;_-;_-@_-"/>
    <numFmt numFmtId="199" formatCode="_-&quot;ل.س.&quot;\ * #,##0.00_-;_-&quot;ل.س.&quot;\ * #,##0.00\-;_-&quot;ل.س.&quot;\ * &quot;-&quot;??_-;_-@_-"/>
    <numFmt numFmtId="200" formatCode="00000"/>
    <numFmt numFmtId="201" formatCode="0.000"/>
    <numFmt numFmtId="202" formatCode="B1mmm\-yy"/>
    <numFmt numFmtId="203" formatCode="mmmm\-yy"/>
    <numFmt numFmtId="204" formatCode="0.0"/>
    <numFmt numFmtId="205" formatCode="0.0000"/>
    <numFmt numFmtId="206" formatCode="[$-409]dddd\,\ mmmm\ dd\,\ yyyy"/>
    <numFmt numFmtId="207" formatCode="0.000\ \t"/>
    <numFmt numFmtId="208" formatCode="\X\ 0"/>
    <numFmt numFmtId="209" formatCode="0.00000000"/>
    <numFmt numFmtId="210" formatCode="0.0000000"/>
    <numFmt numFmtId="211" formatCode="0.000000"/>
    <numFmt numFmtId="212" formatCode="0.00000"/>
    <numFmt numFmtId="213" formatCode="0.000000000"/>
    <numFmt numFmtId="214" formatCode="0.00000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vertAlign val="subscript"/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1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i/>
      <u val="single"/>
      <sz val="11"/>
      <name val="Times New Roman"/>
      <family val="1"/>
    </font>
    <font>
      <sz val="11"/>
      <name val="GreekC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double"/>
      <sz val="10"/>
      <name val="Arial"/>
      <family val="2"/>
    </font>
    <font>
      <b/>
      <sz val="16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vertAlign val="subscript"/>
      <sz val="10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4" fillId="1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70">
    <xf numFmtId="201" fontId="0" fillId="0" borderId="0" xfId="0" applyAlignment="1">
      <alignment/>
    </xf>
    <xf numFmtId="201" fontId="38" fillId="0" borderId="10" xfId="0" applyFont="1" applyFill="1" applyBorder="1" applyAlignment="1" applyProtection="1">
      <alignment horizontal="left"/>
      <protection hidden="1"/>
    </xf>
    <xf numFmtId="201" fontId="39" fillId="0" borderId="11" xfId="0" applyFont="1" applyFill="1" applyBorder="1" applyAlignment="1" applyProtection="1">
      <alignment horizontal="left"/>
      <protection hidden="1"/>
    </xf>
    <xf numFmtId="201" fontId="39" fillId="0" borderId="12" xfId="0" applyFont="1" applyFill="1" applyBorder="1" applyAlignment="1" applyProtection="1">
      <alignment horizontal="left"/>
      <protection hidden="1"/>
    </xf>
    <xf numFmtId="201" fontId="0" fillId="0" borderId="13" xfId="0" applyFont="1" applyFill="1" applyBorder="1" applyAlignment="1" applyProtection="1">
      <alignment horizontal="center" vertical="center"/>
      <protection hidden="1"/>
    </xf>
    <xf numFmtId="201" fontId="0" fillId="0" borderId="14" xfId="0" applyFont="1" applyFill="1" applyBorder="1" applyAlignment="1" applyProtection="1">
      <alignment horizontal="center" vertical="center"/>
      <protection hidden="1"/>
    </xf>
    <xf numFmtId="201" fontId="45" fillId="0" borderId="11" xfId="0" applyFont="1" applyFill="1" applyBorder="1" applyAlignment="1" applyProtection="1">
      <alignment horizontal="left"/>
      <protection hidden="1"/>
    </xf>
    <xf numFmtId="201" fontId="9" fillId="0" borderId="14" xfId="0" applyFont="1" applyBorder="1" applyAlignment="1" applyProtection="1">
      <alignment horizontal="center" vertical="center"/>
      <protection locked="0"/>
    </xf>
    <xf numFmtId="201" fontId="0" fillId="0" borderId="15" xfId="0" applyBorder="1" applyAlignment="1" applyProtection="1">
      <alignment/>
      <protection locked="0"/>
    </xf>
    <xf numFmtId="201" fontId="9" fillId="0" borderId="16" xfId="0" applyFont="1" applyBorder="1" applyAlignment="1" applyProtection="1">
      <alignment horizontal="center" vertical="center"/>
      <protection locked="0"/>
    </xf>
    <xf numFmtId="201" fontId="0" fillId="0" borderId="17" xfId="0" applyBorder="1" applyAlignment="1" applyProtection="1">
      <alignment/>
      <protection locked="0"/>
    </xf>
    <xf numFmtId="201" fontId="0" fillId="0" borderId="18" xfId="0" applyBorder="1" applyAlignment="1" applyProtection="1">
      <alignment/>
      <protection locked="0"/>
    </xf>
    <xf numFmtId="201" fontId="0" fillId="0" borderId="19" xfId="0" applyFont="1" applyFill="1" applyBorder="1" applyAlignment="1" applyProtection="1">
      <alignment horizontal="left" vertical="center"/>
      <protection locked="0"/>
    </xf>
    <xf numFmtId="201" fontId="0" fillId="0" borderId="20" xfId="0" applyBorder="1" applyAlignment="1" applyProtection="1">
      <alignment/>
      <protection hidden="1"/>
    </xf>
    <xf numFmtId="201" fontId="0" fillId="0" borderId="0" xfId="0" applyBorder="1" applyAlignment="1" applyProtection="1">
      <alignment/>
      <protection hidden="1"/>
    </xf>
    <xf numFmtId="201" fontId="5" fillId="0" borderId="21" xfId="0" applyFont="1" applyBorder="1" applyAlignment="1" applyProtection="1">
      <alignment horizontal="center" vertical="center"/>
      <protection hidden="1"/>
    </xf>
    <xf numFmtId="201" fontId="43" fillId="0" borderId="21" xfId="0" applyFont="1" applyBorder="1" applyAlignment="1" applyProtection="1">
      <alignment horizontal="center" vertical="center"/>
      <protection hidden="1"/>
    </xf>
    <xf numFmtId="201" fontId="5" fillId="0" borderId="22" xfId="0" applyFont="1" applyBorder="1" applyAlignment="1" applyProtection="1">
      <alignment horizontal="center" vertical="center"/>
      <protection hidden="1"/>
    </xf>
    <xf numFmtId="201" fontId="0" fillId="0" borderId="23" xfId="0" applyBorder="1" applyAlignment="1" applyProtection="1">
      <alignment/>
      <protection hidden="1"/>
    </xf>
    <xf numFmtId="201" fontId="5" fillId="0" borderId="0" xfId="0" applyFont="1" applyBorder="1" applyAlignment="1" applyProtection="1">
      <alignment horizontal="center"/>
      <protection hidden="1"/>
    </xf>
    <xf numFmtId="201" fontId="5" fillId="0" borderId="0" xfId="0" applyFont="1" applyBorder="1" applyAlignment="1" applyProtection="1">
      <alignment/>
      <protection hidden="1"/>
    </xf>
    <xf numFmtId="201" fontId="9" fillId="0" borderId="11" xfId="0" applyFont="1" applyBorder="1" applyAlignment="1" applyProtection="1">
      <alignment/>
      <protection hidden="1"/>
    </xf>
    <xf numFmtId="201" fontId="9" fillId="0" borderId="0" xfId="0" applyFont="1" applyBorder="1" applyAlignment="1" applyProtection="1">
      <alignment/>
      <protection hidden="1"/>
    </xf>
    <xf numFmtId="201" fontId="9" fillId="0" borderId="0" xfId="0" applyFont="1" applyBorder="1" applyAlignment="1" applyProtection="1">
      <alignment/>
      <protection hidden="1"/>
    </xf>
    <xf numFmtId="201" fontId="9" fillId="0" borderId="0" xfId="0" applyFont="1" applyBorder="1" applyAlignment="1" applyProtection="1">
      <alignment horizontal="center"/>
      <protection hidden="1"/>
    </xf>
    <xf numFmtId="2" fontId="9" fillId="0" borderId="0" xfId="0" applyNumberFormat="1" applyFont="1" applyBorder="1" applyAlignment="1" applyProtection="1">
      <alignment horizontal="center"/>
      <protection hidden="1"/>
    </xf>
    <xf numFmtId="201" fontId="9" fillId="0" borderId="0" xfId="0" applyFont="1" applyBorder="1" applyAlignment="1" applyProtection="1">
      <alignment horizontal="left"/>
      <protection hidden="1"/>
    </xf>
    <xf numFmtId="201" fontId="8" fillId="0" borderId="0" xfId="0" applyFont="1" applyBorder="1" applyAlignment="1" applyProtection="1">
      <alignment/>
      <protection hidden="1"/>
    </xf>
    <xf numFmtId="201" fontId="9" fillId="0" borderId="0" xfId="0" applyFont="1" applyBorder="1" applyAlignment="1" applyProtection="1">
      <alignment horizontal="center"/>
      <protection hidden="1"/>
    </xf>
    <xf numFmtId="201" fontId="14" fillId="0" borderId="0" xfId="0" applyFont="1" applyBorder="1" applyAlignment="1" applyProtection="1">
      <alignment horizontal="left"/>
      <protection hidden="1"/>
    </xf>
    <xf numFmtId="201" fontId="14" fillId="0" borderId="0" xfId="0" applyFont="1" applyBorder="1" applyAlignment="1" applyProtection="1" quotePrefix="1">
      <alignment horizontal="center"/>
      <protection hidden="1"/>
    </xf>
    <xf numFmtId="201" fontId="14" fillId="0" borderId="0" xfId="0" applyFont="1" applyBorder="1" applyAlignment="1" applyProtection="1">
      <alignment horizontal="left"/>
      <protection hidden="1"/>
    </xf>
    <xf numFmtId="201" fontId="12" fillId="0" borderId="0" xfId="0" applyFont="1" applyBorder="1" applyAlignment="1" applyProtection="1">
      <alignment horizontal="left"/>
      <protection hidden="1"/>
    </xf>
    <xf numFmtId="201" fontId="18" fillId="0" borderId="0" xfId="0" applyFont="1" applyBorder="1" applyAlignment="1" applyProtection="1">
      <alignment horizontal="center"/>
      <protection hidden="1"/>
    </xf>
    <xf numFmtId="201" fontId="14" fillId="0" borderId="0" xfId="0" applyFont="1" applyBorder="1" applyAlignment="1" applyProtection="1">
      <alignment/>
      <protection hidden="1"/>
    </xf>
    <xf numFmtId="201" fontId="0" fillId="0" borderId="0" xfId="0" applyBorder="1" applyAlignment="1" applyProtection="1">
      <alignment horizontal="center"/>
      <protection hidden="1"/>
    </xf>
    <xf numFmtId="201" fontId="14" fillId="0" borderId="0" xfId="0" applyFont="1" applyBorder="1" applyAlignment="1" applyProtection="1">
      <alignment horizontal="center"/>
      <protection hidden="1"/>
    </xf>
    <xf numFmtId="2" fontId="15" fillId="0" borderId="0" xfId="0" applyNumberFormat="1" applyFont="1" applyBorder="1" applyAlignment="1" applyProtection="1">
      <alignment horizontal="center"/>
      <protection hidden="1"/>
    </xf>
    <xf numFmtId="201" fontId="10" fillId="0" borderId="0" xfId="0" applyFont="1" applyBorder="1" applyAlignment="1" applyProtection="1">
      <alignment/>
      <protection hidden="1"/>
    </xf>
    <xf numFmtId="201" fontId="14" fillId="0" borderId="0" xfId="0" applyFont="1" applyBorder="1" applyAlignment="1" applyProtection="1">
      <alignment horizontal="center"/>
      <protection hidden="1"/>
    </xf>
    <xf numFmtId="201" fontId="9" fillId="0" borderId="0" xfId="0" applyFont="1" applyAlignment="1" applyProtection="1">
      <alignment/>
      <protection hidden="1"/>
    </xf>
    <xf numFmtId="201" fontId="9" fillId="0" borderId="0" xfId="0" applyFont="1" applyAlignment="1" applyProtection="1" quotePrefix="1">
      <alignment horizontal="center"/>
      <protection hidden="1"/>
    </xf>
    <xf numFmtId="201" fontId="9" fillId="0" borderId="0" xfId="0" applyFont="1" applyAlignment="1" applyProtection="1">
      <alignment horizontal="center"/>
      <protection hidden="1"/>
    </xf>
    <xf numFmtId="201" fontId="9" fillId="0" borderId="0" xfId="0" applyFont="1" applyAlignment="1" applyProtection="1" quotePrefix="1">
      <alignment/>
      <protection hidden="1"/>
    </xf>
    <xf numFmtId="201" fontId="0" fillId="0" borderId="0" xfId="0" applyAlignment="1" applyProtection="1">
      <alignment/>
      <protection hidden="1"/>
    </xf>
    <xf numFmtId="201" fontId="9" fillId="0" borderId="0" xfId="0" applyFont="1" applyAlignment="1" applyProtection="1">
      <alignment horizontal="right"/>
      <protection hidden="1"/>
    </xf>
    <xf numFmtId="201" fontId="0" fillId="0" borderId="0" xfId="0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201" fontId="5" fillId="0" borderId="0" xfId="0" applyFont="1" applyBorder="1" applyAlignment="1" applyProtection="1">
      <alignment horizontal="center"/>
      <protection hidden="1"/>
    </xf>
    <xf numFmtId="1" fontId="8" fillId="0" borderId="0" xfId="0" applyNumberFormat="1" applyFont="1" applyBorder="1" applyAlignment="1" applyProtection="1">
      <alignment horizontal="center"/>
      <protection hidden="1"/>
    </xf>
    <xf numFmtId="204" fontId="9" fillId="0" borderId="0" xfId="0" applyNumberFormat="1" applyFont="1" applyBorder="1" applyAlignment="1" applyProtection="1">
      <alignment horizontal="center"/>
      <protection hidden="1"/>
    </xf>
    <xf numFmtId="201" fontId="16" fillId="0" borderId="0" xfId="0" applyFont="1" applyBorder="1" applyAlignment="1" applyProtection="1">
      <alignment horizontal="left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1" fontId="8" fillId="0" borderId="11" xfId="0" applyNumberFormat="1" applyFont="1" applyBorder="1" applyAlignment="1" applyProtection="1">
      <alignment horizontal="center"/>
      <protection hidden="1"/>
    </xf>
    <xf numFmtId="1" fontId="9" fillId="0" borderId="11" xfId="0" applyNumberFormat="1" applyFont="1" applyBorder="1" applyAlignment="1" applyProtection="1">
      <alignment horizontal="center"/>
      <protection hidden="1"/>
    </xf>
    <xf numFmtId="201" fontId="9" fillId="0" borderId="11" xfId="0" applyFont="1" applyBorder="1" applyAlignment="1" applyProtection="1">
      <alignment horizontal="center"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201" fontId="9" fillId="0" borderId="0" xfId="0" applyFont="1" applyBorder="1" applyAlignment="1" applyProtection="1">
      <alignment horizontal="center" vertical="center"/>
      <protection hidden="1"/>
    </xf>
    <xf numFmtId="201" fontId="9" fillId="0" borderId="0" xfId="0" applyFont="1" applyAlignment="1" applyProtection="1">
      <alignment horizontal="center" vertical="center"/>
      <protection hidden="1"/>
    </xf>
    <xf numFmtId="201" fontId="10" fillId="0" borderId="0" xfId="0" applyFont="1" applyBorder="1" applyAlignment="1" applyProtection="1">
      <alignment horizontal="center"/>
      <protection hidden="1"/>
    </xf>
    <xf numFmtId="201" fontId="37" fillId="0" borderId="24" xfId="0" applyFont="1" applyFill="1" applyBorder="1" applyAlignment="1" applyProtection="1">
      <alignment horizontal="left" vertical="center"/>
      <protection hidden="1"/>
    </xf>
    <xf numFmtId="201" fontId="10" fillId="0" borderId="0" xfId="0" applyFont="1" applyBorder="1" applyAlignment="1" applyProtection="1">
      <alignment vertical="center"/>
      <protection locked="0"/>
    </xf>
    <xf numFmtId="201" fontId="9" fillId="0" borderId="0" xfId="0" applyFont="1" applyBorder="1" applyAlignment="1" applyProtection="1">
      <alignment horizontal="right" vertical="center"/>
      <protection hidden="1"/>
    </xf>
    <xf numFmtId="201" fontId="0" fillId="0" borderId="0" xfId="0" applyFont="1" applyBorder="1" applyAlignment="1" applyProtection="1">
      <alignment horizontal="center" vertical="center"/>
      <protection hidden="1"/>
    </xf>
    <xf numFmtId="201" fontId="9" fillId="0" borderId="0" xfId="0" applyFont="1" applyBorder="1" applyAlignment="1" applyProtection="1">
      <alignment vertical="center"/>
      <protection hidden="1"/>
    </xf>
    <xf numFmtId="201" fontId="5" fillId="0" borderId="0" xfId="0" applyFont="1" applyBorder="1" applyAlignment="1" applyProtection="1">
      <alignment vertical="center"/>
      <protection hidden="1"/>
    </xf>
    <xf numFmtId="201" fontId="0" fillId="0" borderId="0" xfId="0" applyFont="1" applyAlignment="1" applyProtection="1">
      <alignment vertical="center"/>
      <protection hidden="1"/>
    </xf>
    <xf numFmtId="201" fontId="4" fillId="0" borderId="0" xfId="0" applyFont="1" applyBorder="1" applyAlignment="1" applyProtection="1">
      <alignment vertical="center"/>
      <protection hidden="1"/>
    </xf>
    <xf numFmtId="201" fontId="17" fillId="0" borderId="0" xfId="0" applyFont="1" applyBorder="1" applyAlignment="1" applyProtection="1">
      <alignment horizontal="right" vertical="center"/>
      <protection hidden="1"/>
    </xf>
    <xf numFmtId="201" fontId="7" fillId="0" borderId="0" xfId="0" applyFont="1" applyBorder="1" applyAlignment="1" applyProtection="1">
      <alignment vertical="center"/>
      <protection hidden="1"/>
    </xf>
    <xf numFmtId="201" fontId="9" fillId="0" borderId="11" xfId="0" applyFont="1" applyBorder="1" applyAlignment="1" applyProtection="1">
      <alignment vertical="center"/>
      <protection hidden="1"/>
    </xf>
    <xf numFmtId="201" fontId="9" fillId="0" borderId="0" xfId="0" applyFont="1" applyAlignment="1" applyProtection="1">
      <alignment vertical="center"/>
      <protection hidden="1"/>
    </xf>
    <xf numFmtId="201" fontId="12" fillId="0" borderId="25" xfId="0" applyFont="1" applyBorder="1" applyAlignment="1" applyProtection="1">
      <alignment horizontal="center" vertical="center"/>
      <protection hidden="1"/>
    </xf>
    <xf numFmtId="201" fontId="4" fillId="0" borderId="11" xfId="0" applyFont="1" applyBorder="1" applyAlignment="1" applyProtection="1">
      <alignment vertical="center"/>
      <protection hidden="1"/>
    </xf>
    <xf numFmtId="201" fontId="5" fillId="0" borderId="0" xfId="0" applyFont="1" applyBorder="1" applyAlignment="1" applyProtection="1">
      <alignment horizontal="center" vertical="center"/>
      <protection hidden="1"/>
    </xf>
    <xf numFmtId="201" fontId="4" fillId="0" borderId="0" xfId="0" applyFont="1" applyAlignment="1" applyProtection="1">
      <alignment vertical="center"/>
      <protection hidden="1"/>
    </xf>
    <xf numFmtId="201" fontId="0" fillId="0" borderId="25" xfId="0" applyFont="1" applyBorder="1" applyAlignment="1" applyProtection="1">
      <alignment vertical="center"/>
      <protection hidden="1"/>
    </xf>
    <xf numFmtId="201" fontId="12" fillId="0" borderId="0" xfId="0" applyFont="1" applyBorder="1" applyAlignment="1" applyProtection="1">
      <alignment vertical="center"/>
      <protection hidden="1"/>
    </xf>
    <xf numFmtId="201" fontId="4" fillId="0" borderId="0" xfId="0" applyFont="1" applyAlignment="1" applyProtection="1">
      <alignment horizontal="center" vertical="center"/>
      <protection hidden="1"/>
    </xf>
    <xf numFmtId="201" fontId="9" fillId="0" borderId="25" xfId="0" applyFont="1" applyBorder="1" applyAlignment="1" applyProtection="1">
      <alignment vertical="center"/>
      <protection hidden="1"/>
    </xf>
    <xf numFmtId="2" fontId="10" fillId="0" borderId="0" xfId="0" applyNumberFormat="1" applyFont="1" applyBorder="1" applyAlignment="1" applyProtection="1">
      <alignment horizontal="center" vertical="center"/>
      <protection locked="0"/>
    </xf>
    <xf numFmtId="201" fontId="10" fillId="0" borderId="0" xfId="0" applyFont="1" applyAlignment="1" applyProtection="1">
      <alignment horizontal="center" vertical="center"/>
      <protection hidden="1"/>
    </xf>
    <xf numFmtId="201" fontId="4" fillId="0" borderId="11" xfId="0" applyFont="1" applyBorder="1" applyAlignment="1" applyProtection="1">
      <alignment horizontal="left" vertical="center"/>
      <protection hidden="1"/>
    </xf>
    <xf numFmtId="201" fontId="0" fillId="0" borderId="0" xfId="0" applyFont="1" applyBorder="1" applyAlignment="1" applyProtection="1">
      <alignment vertical="center"/>
      <protection hidden="1"/>
    </xf>
    <xf numFmtId="201" fontId="8" fillId="0" borderId="0" xfId="0" applyFont="1" applyBorder="1" applyAlignment="1" applyProtection="1">
      <alignment vertical="center"/>
      <protection hidden="1"/>
    </xf>
    <xf numFmtId="1" fontId="10" fillId="0" borderId="0" xfId="0" applyNumberFormat="1" applyFont="1" applyBorder="1" applyAlignment="1" applyProtection="1">
      <alignment horizontal="center" vertical="center"/>
      <protection locked="0"/>
    </xf>
    <xf numFmtId="2" fontId="10" fillId="0" borderId="0" xfId="0" applyNumberFormat="1" applyFont="1" applyBorder="1" applyAlignment="1" applyProtection="1">
      <alignment horizontal="center" vertical="center"/>
      <protection hidden="1"/>
    </xf>
    <xf numFmtId="201" fontId="8" fillId="0" borderId="26" xfId="0" applyFont="1" applyBorder="1" applyAlignment="1" applyProtection="1">
      <alignment vertical="center"/>
      <protection hidden="1"/>
    </xf>
    <xf numFmtId="201" fontId="0" fillId="0" borderId="0" xfId="0" applyBorder="1" applyAlignment="1" applyProtection="1">
      <alignment vertical="center"/>
      <protection hidden="1"/>
    </xf>
    <xf numFmtId="201" fontId="0" fillId="0" borderId="25" xfId="0" applyBorder="1" applyAlignment="1" applyProtection="1">
      <alignment vertical="center"/>
      <protection hidden="1"/>
    </xf>
    <xf numFmtId="201" fontId="8" fillId="0" borderId="25" xfId="0" applyFont="1" applyBorder="1" applyAlignment="1" applyProtection="1">
      <alignment vertical="center"/>
      <protection hidden="1"/>
    </xf>
    <xf numFmtId="201" fontId="9" fillId="0" borderId="11" xfId="0" applyFont="1" applyBorder="1" applyAlignment="1" applyProtection="1">
      <alignment horizontal="center" vertical="center"/>
      <protection hidden="1"/>
    </xf>
    <xf numFmtId="201" fontId="9" fillId="0" borderId="0" xfId="0" applyFont="1" applyBorder="1" applyAlignment="1" applyProtection="1">
      <alignment horizontal="center" vertical="center"/>
      <protection hidden="1"/>
    </xf>
    <xf numFmtId="201" fontId="14" fillId="0" borderId="0" xfId="0" applyFont="1" applyBorder="1" applyAlignment="1" applyProtection="1">
      <alignment horizontal="left" vertical="center"/>
      <protection hidden="1"/>
    </xf>
    <xf numFmtId="201" fontId="41" fillId="0" borderId="25" xfId="0" applyFont="1" applyBorder="1" applyAlignment="1" applyProtection="1">
      <alignment horizontal="center" vertical="center"/>
      <protection hidden="1"/>
    </xf>
    <xf numFmtId="201" fontId="5" fillId="0" borderId="11" xfId="0" applyFont="1" applyBorder="1" applyAlignment="1" applyProtection="1">
      <alignment horizontal="center" vertical="center"/>
      <protection hidden="1"/>
    </xf>
    <xf numFmtId="201" fontId="14" fillId="0" borderId="0" xfId="0" applyFont="1" applyBorder="1" applyAlignment="1" applyProtection="1" quotePrefix="1">
      <alignment horizontal="center" vertical="center"/>
      <protection hidden="1"/>
    </xf>
    <xf numFmtId="2" fontId="10" fillId="0" borderId="0" xfId="0" applyNumberFormat="1" applyFont="1" applyAlignment="1" applyProtection="1">
      <alignment horizontal="center" vertical="center"/>
      <protection locked="0"/>
    </xf>
    <xf numFmtId="201" fontId="0" fillId="0" borderId="0" xfId="0" applyAlignment="1" applyProtection="1">
      <alignment vertical="center"/>
      <protection hidden="1"/>
    </xf>
    <xf numFmtId="201" fontId="9" fillId="0" borderId="25" xfId="0" applyFont="1" applyBorder="1" applyAlignment="1" applyProtection="1">
      <alignment horizontal="center" vertical="center"/>
      <protection hidden="1"/>
    </xf>
    <xf numFmtId="201" fontId="9" fillId="0" borderId="0" xfId="0" applyFont="1" applyBorder="1" applyAlignment="1" applyProtection="1">
      <alignment horizontal="left" vertical="center"/>
      <protection hidden="1"/>
    </xf>
    <xf numFmtId="201" fontId="14" fillId="0" borderId="0" xfId="0" applyFont="1" applyBorder="1" applyAlignment="1" applyProtection="1">
      <alignment horizontal="center" vertical="center"/>
      <protection hidden="1"/>
    </xf>
    <xf numFmtId="201" fontId="10" fillId="0" borderId="0" xfId="0" applyFont="1" applyAlignment="1" applyProtection="1">
      <alignment vertical="center"/>
      <protection hidden="1"/>
    </xf>
    <xf numFmtId="201" fontId="10" fillId="0" borderId="25" xfId="0" applyFont="1" applyBorder="1" applyAlignment="1" applyProtection="1">
      <alignment vertical="center"/>
      <protection hidden="1"/>
    </xf>
    <xf numFmtId="201" fontId="14" fillId="0" borderId="0" xfId="0" applyFont="1" applyBorder="1" applyAlignment="1" applyProtection="1">
      <alignment horizontal="left" vertical="center"/>
      <protection hidden="1"/>
    </xf>
    <xf numFmtId="201" fontId="0" fillId="0" borderId="0" xfId="0" applyAlignment="1" applyProtection="1">
      <alignment horizontal="center" vertical="center"/>
      <protection hidden="1"/>
    </xf>
    <xf numFmtId="201" fontId="4" fillId="0" borderId="11" xfId="0" applyFont="1" applyBorder="1" applyAlignment="1" applyProtection="1">
      <alignment horizontal="left"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201" fontId="14" fillId="0" borderId="0" xfId="0" applyFont="1" applyBorder="1" applyAlignment="1" applyProtection="1" quotePrefix="1">
      <alignment horizontal="left" vertical="center"/>
      <protection hidden="1"/>
    </xf>
    <xf numFmtId="49" fontId="4" fillId="0" borderId="11" xfId="0" applyNumberFormat="1" applyFont="1" applyBorder="1" applyAlignment="1" applyProtection="1">
      <alignment horizontal="left" vertical="center"/>
      <protection hidden="1"/>
    </xf>
    <xf numFmtId="201" fontId="46" fillId="0" borderId="0" xfId="0" applyFont="1" applyBorder="1" applyAlignment="1" applyProtection="1">
      <alignment horizontal="center" vertical="center"/>
      <protection hidden="1"/>
    </xf>
    <xf numFmtId="201" fontId="9" fillId="0" borderId="0" xfId="0" applyNumberFormat="1" applyFont="1" applyBorder="1" applyAlignment="1" applyProtection="1">
      <alignment horizontal="center"/>
      <protection hidden="1"/>
    </xf>
    <xf numFmtId="201" fontId="14" fillId="0" borderId="25" xfId="0" applyFont="1" applyBorder="1" applyAlignment="1" applyProtection="1">
      <alignment horizontal="center"/>
      <protection hidden="1"/>
    </xf>
    <xf numFmtId="201" fontId="9" fillId="0" borderId="25" xfId="0" applyFont="1" applyBorder="1" applyAlignment="1" applyProtection="1">
      <alignment/>
      <protection hidden="1"/>
    </xf>
    <xf numFmtId="201" fontId="9" fillId="0" borderId="25" xfId="0" applyFont="1" applyBorder="1" applyAlignment="1" applyProtection="1">
      <alignment horizontal="center"/>
      <protection hidden="1"/>
    </xf>
    <xf numFmtId="201" fontId="4" fillId="0" borderId="11" xfId="0" applyFont="1" applyBorder="1" applyAlignment="1" applyProtection="1">
      <alignment horizontal="left"/>
      <protection hidden="1"/>
    </xf>
    <xf numFmtId="201" fontId="9" fillId="0" borderId="11" xfId="0" applyFont="1" applyBorder="1" applyAlignment="1" applyProtection="1">
      <alignment horizontal="center"/>
      <protection hidden="1"/>
    </xf>
    <xf numFmtId="201" fontId="1" fillId="0" borderId="0" xfId="0" applyFont="1" applyBorder="1" applyAlignment="1" applyProtection="1">
      <alignment vertical="center"/>
      <protection hidden="1"/>
    </xf>
    <xf numFmtId="201" fontId="0" fillId="0" borderId="25" xfId="0" applyBorder="1" applyAlignment="1" applyProtection="1">
      <alignment/>
      <protection hidden="1"/>
    </xf>
    <xf numFmtId="201" fontId="41" fillId="0" borderId="25" xfId="0" applyFont="1" applyBorder="1" applyAlignment="1" applyProtection="1">
      <alignment horizontal="center"/>
      <protection hidden="1"/>
    </xf>
    <xf numFmtId="201" fontId="10" fillId="0" borderId="25" xfId="0" applyFont="1" applyBorder="1" applyAlignment="1" applyProtection="1">
      <alignment horizontal="center"/>
      <protection hidden="1"/>
    </xf>
    <xf numFmtId="201" fontId="9" fillId="0" borderId="11" xfId="0" applyFont="1" applyBorder="1" applyAlignment="1" applyProtection="1">
      <alignment horizontal="center"/>
      <protection hidden="1"/>
    </xf>
    <xf numFmtId="201" fontId="5" fillId="0" borderId="11" xfId="0" applyFont="1" applyBorder="1" applyAlignment="1" applyProtection="1">
      <alignment horizontal="center"/>
      <protection hidden="1"/>
    </xf>
    <xf numFmtId="201" fontId="0" fillId="0" borderId="0" xfId="0" applyBorder="1" applyAlignment="1" applyProtection="1">
      <alignment/>
      <protection hidden="1"/>
    </xf>
    <xf numFmtId="201" fontId="9" fillId="0" borderId="0" xfId="0" applyFont="1" applyFill="1" applyBorder="1" applyAlignment="1" applyProtection="1">
      <alignment horizontal="center"/>
      <protection hidden="1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Border="1" applyAlignment="1" applyProtection="1">
      <alignment horizontal="center"/>
      <protection hidden="1"/>
    </xf>
    <xf numFmtId="201" fontId="0" fillId="0" borderId="24" xfId="0" applyBorder="1" applyAlignment="1" applyProtection="1">
      <alignment/>
      <protection hidden="1"/>
    </xf>
    <xf numFmtId="201" fontId="0" fillId="0" borderId="27" xfId="0" applyBorder="1" applyAlignment="1" applyProtection="1">
      <alignment/>
      <protection hidden="1"/>
    </xf>
    <xf numFmtId="1" fontId="0" fillId="0" borderId="0" xfId="0" applyNumberFormat="1" applyAlignment="1" applyProtection="1">
      <alignment horizontal="center"/>
      <protection hidden="1"/>
    </xf>
    <xf numFmtId="201" fontId="4" fillId="0" borderId="10" xfId="0" applyFont="1" applyBorder="1" applyAlignment="1" applyProtection="1">
      <alignment vertical="center"/>
      <protection hidden="1"/>
    </xf>
    <xf numFmtId="201" fontId="10" fillId="0" borderId="0" xfId="0" applyFont="1" applyBorder="1" applyAlignment="1" applyProtection="1">
      <alignment vertical="center"/>
      <protection hidden="1"/>
    </xf>
    <xf numFmtId="1" fontId="10" fillId="0" borderId="0" xfId="0" applyNumberFormat="1" applyFont="1" applyBorder="1" applyAlignment="1" applyProtection="1">
      <alignment horizontal="center" vertical="center"/>
      <protection hidden="1"/>
    </xf>
    <xf numFmtId="1" fontId="9" fillId="0" borderId="0" xfId="0" applyNumberFormat="1" applyFont="1" applyBorder="1" applyAlignment="1" applyProtection="1">
      <alignment horizontal="center" vertical="center"/>
      <protection hidden="1"/>
    </xf>
    <xf numFmtId="201" fontId="4" fillId="0" borderId="0" xfId="0" applyFont="1" applyBorder="1" applyAlignment="1" applyProtection="1">
      <alignment/>
      <protection hidden="1"/>
    </xf>
    <xf numFmtId="201" fontId="5" fillId="0" borderId="13" xfId="0" applyFont="1" applyBorder="1" applyAlignment="1" applyProtection="1">
      <alignment horizontal="center" vertical="center"/>
      <protection locked="0"/>
    </xf>
    <xf numFmtId="201" fontId="9" fillId="0" borderId="12" xfId="0" applyFont="1" applyBorder="1" applyAlignment="1" applyProtection="1">
      <alignment horizontal="center" vertical="center"/>
      <protection hidden="1"/>
    </xf>
    <xf numFmtId="201" fontId="9" fillId="0" borderId="23" xfId="0" applyFont="1" applyBorder="1" applyAlignment="1" applyProtection="1">
      <alignment horizontal="center" vertical="center"/>
      <protection hidden="1"/>
    </xf>
    <xf numFmtId="2" fontId="9" fillId="0" borderId="23" xfId="0" applyNumberFormat="1" applyFont="1" applyBorder="1" applyAlignment="1" applyProtection="1">
      <alignment horizontal="center" vertical="center"/>
      <protection hidden="1"/>
    </xf>
    <xf numFmtId="201" fontId="9" fillId="0" borderId="23" xfId="0" applyFont="1" applyBorder="1" applyAlignment="1" applyProtection="1">
      <alignment vertical="center"/>
      <protection hidden="1"/>
    </xf>
    <xf numFmtId="201" fontId="0" fillId="0" borderId="23" xfId="0" applyFont="1" applyBorder="1" applyAlignment="1" applyProtection="1">
      <alignment vertical="center"/>
      <protection hidden="1"/>
    </xf>
    <xf numFmtId="201" fontId="8" fillId="0" borderId="28" xfId="0" applyFont="1" applyBorder="1" applyAlignment="1" applyProtection="1">
      <alignment vertical="center"/>
      <protection hidden="1"/>
    </xf>
    <xf numFmtId="201" fontId="0" fillId="0" borderId="27" xfId="0" applyBorder="1" applyAlignment="1" applyProtection="1">
      <alignment vertical="center"/>
      <protection hidden="1"/>
    </xf>
    <xf numFmtId="201" fontId="0" fillId="0" borderId="11" xfId="0" applyBorder="1" applyAlignment="1" applyProtection="1">
      <alignment horizontal="center"/>
      <protection hidden="1"/>
    </xf>
    <xf numFmtId="2" fontId="9" fillId="0" borderId="23" xfId="0" applyNumberFormat="1" applyFont="1" applyBorder="1" applyAlignment="1" applyProtection="1">
      <alignment horizontal="center"/>
      <protection hidden="1"/>
    </xf>
    <xf numFmtId="201" fontId="9" fillId="0" borderId="23" xfId="0" applyFont="1" applyBorder="1" applyAlignment="1" applyProtection="1">
      <alignment/>
      <protection hidden="1"/>
    </xf>
    <xf numFmtId="201" fontId="9" fillId="0" borderId="23" xfId="0" applyFont="1" applyBorder="1" applyAlignment="1" applyProtection="1">
      <alignment horizontal="center"/>
      <protection hidden="1"/>
    </xf>
    <xf numFmtId="201" fontId="6" fillId="0" borderId="23" xfId="0" applyFont="1" applyBorder="1" applyAlignment="1" applyProtection="1">
      <alignment/>
      <protection hidden="1"/>
    </xf>
    <xf numFmtId="201" fontId="10" fillId="0" borderId="25" xfId="0" applyFont="1" applyBorder="1" applyAlignment="1" applyProtection="1">
      <alignment/>
      <protection hidden="1"/>
    </xf>
    <xf numFmtId="201" fontId="6" fillId="0" borderId="27" xfId="0" applyFont="1" applyBorder="1" applyAlignment="1" applyProtection="1">
      <alignment/>
      <protection hidden="1"/>
    </xf>
    <xf numFmtId="201" fontId="18" fillId="0" borderId="11" xfId="0" applyFont="1" applyBorder="1" applyAlignment="1" applyProtection="1">
      <alignment horizontal="center"/>
      <protection hidden="1"/>
    </xf>
    <xf numFmtId="2" fontId="4" fillId="0" borderId="12" xfId="0" applyNumberFormat="1" applyFont="1" applyBorder="1" applyAlignment="1" applyProtection="1">
      <alignment horizontal="left"/>
      <protection hidden="1"/>
    </xf>
    <xf numFmtId="201" fontId="14" fillId="0" borderId="0" xfId="0" applyFont="1" applyBorder="1" applyAlignment="1" applyProtection="1">
      <alignment horizontal="center" vertical="center"/>
      <protection hidden="1"/>
    </xf>
    <xf numFmtId="201" fontId="14" fillId="0" borderId="0" xfId="0" applyFont="1" applyBorder="1" applyAlignment="1" applyProtection="1">
      <alignment horizontal="center"/>
      <protection hidden="1"/>
    </xf>
    <xf numFmtId="201" fontId="4" fillId="0" borderId="10" xfId="0" applyFont="1" applyBorder="1" applyAlignment="1" applyProtection="1">
      <alignment horizontal="center"/>
      <protection locked="0"/>
    </xf>
    <xf numFmtId="201" fontId="5" fillId="0" borderId="20" xfId="0" applyFont="1" applyBorder="1" applyAlignment="1" applyProtection="1">
      <alignment horizontal="center"/>
      <protection locked="0"/>
    </xf>
    <xf numFmtId="201" fontId="5" fillId="0" borderId="29" xfId="0" applyFont="1" applyBorder="1" applyAlignment="1" applyProtection="1">
      <alignment horizontal="center"/>
      <protection locked="0"/>
    </xf>
    <xf numFmtId="201" fontId="40" fillId="0" borderId="10" xfId="0" applyFont="1" applyBorder="1" applyAlignment="1" applyProtection="1">
      <alignment horizontal="center" vertical="center"/>
      <protection hidden="1"/>
    </xf>
    <xf numFmtId="201" fontId="40" fillId="0" borderId="29" xfId="0" applyFont="1" applyBorder="1" applyAlignment="1" applyProtection="1">
      <alignment horizontal="center" vertical="center"/>
      <protection hidden="1"/>
    </xf>
    <xf numFmtId="201" fontId="40" fillId="0" borderId="12" xfId="0" applyFont="1" applyBorder="1" applyAlignment="1" applyProtection="1">
      <alignment horizontal="center" vertical="center"/>
      <protection hidden="1"/>
    </xf>
    <xf numFmtId="201" fontId="40" fillId="0" borderId="28" xfId="0" applyFont="1" applyBorder="1" applyAlignment="1" applyProtection="1">
      <alignment horizontal="center" vertical="center"/>
      <protection hidden="1"/>
    </xf>
    <xf numFmtId="0" fontId="44" fillId="0" borderId="12" xfId="57" applyFont="1" applyBorder="1" applyAlignment="1" applyProtection="1">
      <alignment horizontal="center"/>
      <protection locked="0"/>
    </xf>
    <xf numFmtId="0" fontId="43" fillId="0" borderId="23" xfId="57" applyFont="1" applyBorder="1" applyAlignment="1" applyProtection="1">
      <alignment horizontal="center"/>
      <protection locked="0"/>
    </xf>
    <xf numFmtId="0" fontId="43" fillId="0" borderId="28" xfId="57" applyFont="1" applyBorder="1" applyAlignment="1" applyProtection="1">
      <alignment horizontal="center"/>
      <protection locked="0"/>
    </xf>
    <xf numFmtId="201" fontId="4" fillId="0" borderId="0" xfId="0" applyFont="1" applyBorder="1" applyAlignment="1" applyProtection="1">
      <alignment horizontal="center" vertical="center"/>
      <protection hidden="1"/>
    </xf>
    <xf numFmtId="201" fontId="0" fillId="0" borderId="0" xfId="0" applyAlignment="1" applyProtection="1">
      <alignment horizontal="center" vertical="center"/>
      <protection hidden="1"/>
    </xf>
    <xf numFmtId="201" fontId="9" fillId="0" borderId="11" xfId="0" applyFont="1" applyBorder="1" applyAlignment="1" applyProtection="1">
      <alignment horizontal="center"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2" fontId="9" fillId="0" borderId="0" xfId="0" applyNumberFormat="1" applyFont="1" applyAlignment="1" applyProtection="1">
      <alignment horizontal="center" vertical="center"/>
      <protection hidden="1"/>
    </xf>
    <xf numFmtId="201" fontId="9" fillId="0" borderId="0" xfId="0" applyFont="1" applyAlignment="1" applyProtection="1">
      <alignment horizontal="center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 load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73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371975" y="1479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43</xdr:row>
      <xdr:rowOff>0</xdr:rowOff>
    </xdr:from>
    <xdr:to>
      <xdr:col>5</xdr:col>
      <xdr:colOff>857250</xdr:colOff>
      <xdr:row>43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162550" y="8791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990600"/>
          <a:ext cx="20669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74</xdr:row>
      <xdr:rowOff>76200</xdr:rowOff>
    </xdr:from>
    <xdr:to>
      <xdr:col>7</xdr:col>
      <xdr:colOff>19050</xdr:colOff>
      <xdr:row>75</xdr:row>
      <xdr:rowOff>200025</xdr:rowOff>
    </xdr:to>
    <xdr:sp>
      <xdr:nvSpPr>
        <xdr:cNvPr id="4" name="AutoShape 6"/>
        <xdr:cNvSpPr>
          <a:spLocks/>
        </xdr:cNvSpPr>
      </xdr:nvSpPr>
      <xdr:spPr>
        <a:xfrm>
          <a:off x="5429250" y="15068550"/>
          <a:ext cx="3619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32</xdr:row>
      <xdr:rowOff>0</xdr:rowOff>
    </xdr:from>
    <xdr:ext cx="76200" cy="200025"/>
    <xdr:sp>
      <xdr:nvSpPr>
        <xdr:cNvPr id="5" name="TextBox 7"/>
        <xdr:cNvSpPr txBox="1">
          <a:spLocks noChangeArrowheads="1"/>
        </xdr:cNvSpPr>
      </xdr:nvSpPr>
      <xdr:spPr>
        <a:xfrm>
          <a:off x="4371975" y="6591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32</xdr:row>
      <xdr:rowOff>95250</xdr:rowOff>
    </xdr:from>
    <xdr:to>
      <xdr:col>5</xdr:col>
      <xdr:colOff>857250</xdr:colOff>
      <xdr:row>33</xdr:row>
      <xdr:rowOff>38100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162550" y="66865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5</xdr:col>
      <xdr:colOff>857250</xdr:colOff>
      <xdr:row>45</xdr:row>
      <xdr:rowOff>0</xdr:rowOff>
    </xdr:from>
    <xdr:to>
      <xdr:col>5</xdr:col>
      <xdr:colOff>857250</xdr:colOff>
      <xdr:row>45</xdr:row>
      <xdr:rowOff>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5162550" y="9191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2</xdr:col>
      <xdr:colOff>666750</xdr:colOff>
      <xdr:row>74</xdr:row>
      <xdr:rowOff>19050</xdr:rowOff>
    </xdr:from>
    <xdr:to>
      <xdr:col>2</xdr:col>
      <xdr:colOff>904875</xdr:colOff>
      <xdr:row>74</xdr:row>
      <xdr:rowOff>19050</xdr:rowOff>
    </xdr:to>
    <xdr:sp>
      <xdr:nvSpPr>
        <xdr:cNvPr id="8" name="Line 11"/>
        <xdr:cNvSpPr>
          <a:spLocks/>
        </xdr:cNvSpPr>
      </xdr:nvSpPr>
      <xdr:spPr>
        <a:xfrm>
          <a:off x="2733675" y="15011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32</xdr:row>
      <xdr:rowOff>0</xdr:rowOff>
    </xdr:from>
    <xdr:ext cx="76200" cy="200025"/>
    <xdr:sp>
      <xdr:nvSpPr>
        <xdr:cNvPr id="9" name="TextBox 12"/>
        <xdr:cNvSpPr txBox="1">
          <a:spLocks noChangeArrowheads="1"/>
        </xdr:cNvSpPr>
      </xdr:nvSpPr>
      <xdr:spPr>
        <a:xfrm>
          <a:off x="4371975" y="6591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32</xdr:row>
      <xdr:rowOff>95250</xdr:rowOff>
    </xdr:from>
    <xdr:to>
      <xdr:col>5</xdr:col>
      <xdr:colOff>857250</xdr:colOff>
      <xdr:row>33</xdr:row>
      <xdr:rowOff>38100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5162550" y="66865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5</xdr:col>
      <xdr:colOff>66675</xdr:colOff>
      <xdr:row>30</xdr:row>
      <xdr:rowOff>66675</xdr:rowOff>
    </xdr:from>
    <xdr:ext cx="76200" cy="200025"/>
    <xdr:sp>
      <xdr:nvSpPr>
        <xdr:cNvPr id="11" name="TextBox 27"/>
        <xdr:cNvSpPr txBox="1">
          <a:spLocks noChangeArrowheads="1"/>
        </xdr:cNvSpPr>
      </xdr:nvSpPr>
      <xdr:spPr>
        <a:xfrm>
          <a:off x="4371975" y="625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32</xdr:row>
      <xdr:rowOff>95250</xdr:rowOff>
    </xdr:from>
    <xdr:to>
      <xdr:col>5</xdr:col>
      <xdr:colOff>857250</xdr:colOff>
      <xdr:row>33</xdr:row>
      <xdr:rowOff>38100</xdr:rowOff>
    </xdr:to>
    <xdr:sp>
      <xdr:nvSpPr>
        <xdr:cNvPr id="12" name="TextBox 28"/>
        <xdr:cNvSpPr txBox="1">
          <a:spLocks noChangeArrowheads="1"/>
        </xdr:cNvSpPr>
      </xdr:nvSpPr>
      <xdr:spPr>
        <a:xfrm>
          <a:off x="5162550" y="66865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5</xdr:col>
      <xdr:colOff>66675</xdr:colOff>
      <xdr:row>42</xdr:row>
      <xdr:rowOff>66675</xdr:rowOff>
    </xdr:from>
    <xdr:ext cx="76200" cy="200025"/>
    <xdr:sp>
      <xdr:nvSpPr>
        <xdr:cNvPr id="13" name="TextBox 31"/>
        <xdr:cNvSpPr txBox="1">
          <a:spLocks noChangeArrowheads="1"/>
        </xdr:cNvSpPr>
      </xdr:nvSpPr>
      <xdr:spPr>
        <a:xfrm>
          <a:off x="4371975" y="865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43</xdr:row>
      <xdr:rowOff>95250</xdr:rowOff>
    </xdr:from>
    <xdr:to>
      <xdr:col>5</xdr:col>
      <xdr:colOff>857250</xdr:colOff>
      <xdr:row>44</xdr:row>
      <xdr:rowOff>38100</xdr:rowOff>
    </xdr:to>
    <xdr:sp>
      <xdr:nvSpPr>
        <xdr:cNvPr id="14" name="TextBox 32"/>
        <xdr:cNvSpPr txBox="1">
          <a:spLocks noChangeArrowheads="1"/>
        </xdr:cNvSpPr>
      </xdr:nvSpPr>
      <xdr:spPr>
        <a:xfrm>
          <a:off x="5162550" y="8886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5</xdr:col>
      <xdr:colOff>66675</xdr:colOff>
      <xdr:row>43</xdr:row>
      <xdr:rowOff>66675</xdr:rowOff>
    </xdr:from>
    <xdr:ext cx="76200" cy="200025"/>
    <xdr:sp>
      <xdr:nvSpPr>
        <xdr:cNvPr id="15" name="TextBox 33"/>
        <xdr:cNvSpPr txBox="1">
          <a:spLocks noChangeArrowheads="1"/>
        </xdr:cNvSpPr>
      </xdr:nvSpPr>
      <xdr:spPr>
        <a:xfrm>
          <a:off x="4371975" y="8858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66675</xdr:colOff>
      <xdr:row>28</xdr:row>
      <xdr:rowOff>66675</xdr:rowOff>
    </xdr:from>
    <xdr:ext cx="76200" cy="200025"/>
    <xdr:sp>
      <xdr:nvSpPr>
        <xdr:cNvPr id="16" name="TextBox 37"/>
        <xdr:cNvSpPr txBox="1">
          <a:spLocks noChangeArrowheads="1"/>
        </xdr:cNvSpPr>
      </xdr:nvSpPr>
      <xdr:spPr>
        <a:xfrm>
          <a:off x="4371975" y="585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30</xdr:row>
      <xdr:rowOff>95250</xdr:rowOff>
    </xdr:from>
    <xdr:to>
      <xdr:col>5</xdr:col>
      <xdr:colOff>857250</xdr:colOff>
      <xdr:row>32</xdr:row>
      <xdr:rowOff>38100</xdr:rowOff>
    </xdr:to>
    <xdr:sp>
      <xdr:nvSpPr>
        <xdr:cNvPr id="17" name="TextBox 42"/>
        <xdr:cNvSpPr txBox="1">
          <a:spLocks noChangeArrowheads="1"/>
        </xdr:cNvSpPr>
      </xdr:nvSpPr>
      <xdr:spPr>
        <a:xfrm>
          <a:off x="5162550" y="6286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12</xdr:col>
      <xdr:colOff>66675</xdr:colOff>
      <xdr:row>39</xdr:row>
      <xdr:rowOff>0</xdr:rowOff>
    </xdr:from>
    <xdr:ext cx="76200" cy="200025"/>
    <xdr:sp>
      <xdr:nvSpPr>
        <xdr:cNvPr id="18" name="TextBox 98"/>
        <xdr:cNvSpPr txBox="1">
          <a:spLocks noChangeArrowheads="1"/>
        </xdr:cNvSpPr>
      </xdr:nvSpPr>
      <xdr:spPr>
        <a:xfrm>
          <a:off x="9182100" y="799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609600</xdr:colOff>
      <xdr:row>39</xdr:row>
      <xdr:rowOff>95250</xdr:rowOff>
    </xdr:from>
    <xdr:to>
      <xdr:col>12</xdr:col>
      <xdr:colOff>609600</xdr:colOff>
      <xdr:row>40</xdr:row>
      <xdr:rowOff>38100</xdr:rowOff>
    </xdr:to>
    <xdr:sp>
      <xdr:nvSpPr>
        <xdr:cNvPr id="19" name="TextBox 99"/>
        <xdr:cNvSpPr txBox="1">
          <a:spLocks noChangeArrowheads="1"/>
        </xdr:cNvSpPr>
      </xdr:nvSpPr>
      <xdr:spPr>
        <a:xfrm>
          <a:off x="9725025" y="80867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12</xdr:col>
      <xdr:colOff>66675</xdr:colOff>
      <xdr:row>39</xdr:row>
      <xdr:rowOff>0</xdr:rowOff>
    </xdr:from>
    <xdr:ext cx="76200" cy="200025"/>
    <xdr:sp>
      <xdr:nvSpPr>
        <xdr:cNvPr id="20" name="TextBox 100"/>
        <xdr:cNvSpPr txBox="1">
          <a:spLocks noChangeArrowheads="1"/>
        </xdr:cNvSpPr>
      </xdr:nvSpPr>
      <xdr:spPr>
        <a:xfrm>
          <a:off x="9182100" y="799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609600</xdr:colOff>
      <xdr:row>39</xdr:row>
      <xdr:rowOff>95250</xdr:rowOff>
    </xdr:from>
    <xdr:to>
      <xdr:col>12</xdr:col>
      <xdr:colOff>609600</xdr:colOff>
      <xdr:row>40</xdr:row>
      <xdr:rowOff>38100</xdr:rowOff>
    </xdr:to>
    <xdr:sp>
      <xdr:nvSpPr>
        <xdr:cNvPr id="21" name="TextBox 101"/>
        <xdr:cNvSpPr txBox="1">
          <a:spLocks noChangeArrowheads="1"/>
        </xdr:cNvSpPr>
      </xdr:nvSpPr>
      <xdr:spPr>
        <a:xfrm>
          <a:off x="9725025" y="80867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12</xdr:col>
      <xdr:colOff>609600</xdr:colOff>
      <xdr:row>39</xdr:row>
      <xdr:rowOff>95250</xdr:rowOff>
    </xdr:from>
    <xdr:to>
      <xdr:col>12</xdr:col>
      <xdr:colOff>609600</xdr:colOff>
      <xdr:row>40</xdr:row>
      <xdr:rowOff>38100</xdr:rowOff>
    </xdr:to>
    <xdr:sp>
      <xdr:nvSpPr>
        <xdr:cNvPr id="22" name="TextBox 102"/>
        <xdr:cNvSpPr txBox="1">
          <a:spLocks noChangeArrowheads="1"/>
        </xdr:cNvSpPr>
      </xdr:nvSpPr>
      <xdr:spPr>
        <a:xfrm>
          <a:off x="9725025" y="80867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12</xdr:col>
      <xdr:colOff>66675</xdr:colOff>
      <xdr:row>48</xdr:row>
      <xdr:rowOff>66675</xdr:rowOff>
    </xdr:from>
    <xdr:ext cx="76200" cy="200025"/>
    <xdr:sp>
      <xdr:nvSpPr>
        <xdr:cNvPr id="23" name="TextBox 104"/>
        <xdr:cNvSpPr txBox="1">
          <a:spLocks noChangeArrowheads="1"/>
        </xdr:cNvSpPr>
      </xdr:nvSpPr>
      <xdr:spPr>
        <a:xfrm>
          <a:off x="918210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609600</xdr:colOff>
      <xdr:row>49</xdr:row>
      <xdr:rowOff>95250</xdr:rowOff>
    </xdr:from>
    <xdr:to>
      <xdr:col>12</xdr:col>
      <xdr:colOff>609600</xdr:colOff>
      <xdr:row>50</xdr:row>
      <xdr:rowOff>38100</xdr:rowOff>
    </xdr:to>
    <xdr:sp>
      <xdr:nvSpPr>
        <xdr:cNvPr id="24" name="TextBox 105"/>
        <xdr:cNvSpPr txBox="1">
          <a:spLocks noChangeArrowheads="1"/>
        </xdr:cNvSpPr>
      </xdr:nvSpPr>
      <xdr:spPr>
        <a:xfrm>
          <a:off x="9725025" y="100869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5</xdr:col>
      <xdr:colOff>66675</xdr:colOff>
      <xdr:row>30</xdr:row>
      <xdr:rowOff>0</xdr:rowOff>
    </xdr:from>
    <xdr:ext cx="76200" cy="200025"/>
    <xdr:sp>
      <xdr:nvSpPr>
        <xdr:cNvPr id="25" name="TextBox 137"/>
        <xdr:cNvSpPr txBox="1">
          <a:spLocks noChangeArrowheads="1"/>
        </xdr:cNvSpPr>
      </xdr:nvSpPr>
      <xdr:spPr>
        <a:xfrm>
          <a:off x="4371975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30</xdr:row>
      <xdr:rowOff>95250</xdr:rowOff>
    </xdr:from>
    <xdr:to>
      <xdr:col>5</xdr:col>
      <xdr:colOff>857250</xdr:colOff>
      <xdr:row>31</xdr:row>
      <xdr:rowOff>38100</xdr:rowOff>
    </xdr:to>
    <xdr:sp>
      <xdr:nvSpPr>
        <xdr:cNvPr id="26" name="TextBox 138"/>
        <xdr:cNvSpPr txBox="1">
          <a:spLocks noChangeArrowheads="1"/>
        </xdr:cNvSpPr>
      </xdr:nvSpPr>
      <xdr:spPr>
        <a:xfrm>
          <a:off x="5162550" y="62865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5</xdr:col>
      <xdr:colOff>66675</xdr:colOff>
      <xdr:row>30</xdr:row>
      <xdr:rowOff>0</xdr:rowOff>
    </xdr:from>
    <xdr:ext cx="76200" cy="200025"/>
    <xdr:sp>
      <xdr:nvSpPr>
        <xdr:cNvPr id="27" name="TextBox 139"/>
        <xdr:cNvSpPr txBox="1">
          <a:spLocks noChangeArrowheads="1"/>
        </xdr:cNvSpPr>
      </xdr:nvSpPr>
      <xdr:spPr>
        <a:xfrm>
          <a:off x="4371975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30</xdr:row>
      <xdr:rowOff>95250</xdr:rowOff>
    </xdr:from>
    <xdr:to>
      <xdr:col>5</xdr:col>
      <xdr:colOff>857250</xdr:colOff>
      <xdr:row>31</xdr:row>
      <xdr:rowOff>38100</xdr:rowOff>
    </xdr:to>
    <xdr:sp>
      <xdr:nvSpPr>
        <xdr:cNvPr id="28" name="TextBox 140"/>
        <xdr:cNvSpPr txBox="1">
          <a:spLocks noChangeArrowheads="1"/>
        </xdr:cNvSpPr>
      </xdr:nvSpPr>
      <xdr:spPr>
        <a:xfrm>
          <a:off x="5162550" y="62865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5</xdr:col>
      <xdr:colOff>857250</xdr:colOff>
      <xdr:row>30</xdr:row>
      <xdr:rowOff>95250</xdr:rowOff>
    </xdr:from>
    <xdr:to>
      <xdr:col>5</xdr:col>
      <xdr:colOff>857250</xdr:colOff>
      <xdr:row>31</xdr:row>
      <xdr:rowOff>38100</xdr:rowOff>
    </xdr:to>
    <xdr:sp>
      <xdr:nvSpPr>
        <xdr:cNvPr id="29" name="TextBox 141"/>
        <xdr:cNvSpPr txBox="1">
          <a:spLocks noChangeArrowheads="1"/>
        </xdr:cNvSpPr>
      </xdr:nvSpPr>
      <xdr:spPr>
        <a:xfrm>
          <a:off x="5162550" y="62865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5</xdr:col>
      <xdr:colOff>66675</xdr:colOff>
      <xdr:row>39</xdr:row>
      <xdr:rowOff>66675</xdr:rowOff>
    </xdr:from>
    <xdr:ext cx="76200" cy="200025"/>
    <xdr:sp>
      <xdr:nvSpPr>
        <xdr:cNvPr id="30" name="TextBox 142"/>
        <xdr:cNvSpPr txBox="1">
          <a:spLocks noChangeArrowheads="1"/>
        </xdr:cNvSpPr>
      </xdr:nvSpPr>
      <xdr:spPr>
        <a:xfrm>
          <a:off x="4371975" y="805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40</xdr:row>
      <xdr:rowOff>95250</xdr:rowOff>
    </xdr:from>
    <xdr:to>
      <xdr:col>5</xdr:col>
      <xdr:colOff>857250</xdr:colOff>
      <xdr:row>41</xdr:row>
      <xdr:rowOff>38100</xdr:rowOff>
    </xdr:to>
    <xdr:sp>
      <xdr:nvSpPr>
        <xdr:cNvPr id="31" name="TextBox 143"/>
        <xdr:cNvSpPr txBox="1">
          <a:spLocks noChangeArrowheads="1"/>
        </xdr:cNvSpPr>
      </xdr:nvSpPr>
      <xdr:spPr>
        <a:xfrm>
          <a:off x="5162550" y="82867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5</xdr:col>
      <xdr:colOff>466725</xdr:colOff>
      <xdr:row>38</xdr:row>
      <xdr:rowOff>161925</xdr:rowOff>
    </xdr:from>
    <xdr:to>
      <xdr:col>7</xdr:col>
      <xdr:colOff>0</xdr:colOff>
      <xdr:row>39</xdr:row>
      <xdr:rowOff>38100</xdr:rowOff>
    </xdr:to>
    <xdr:sp>
      <xdr:nvSpPr>
        <xdr:cNvPr id="32" name="Rectangle 144"/>
        <xdr:cNvSpPr>
          <a:spLocks/>
        </xdr:cNvSpPr>
      </xdr:nvSpPr>
      <xdr:spPr>
        <a:xfrm>
          <a:off x="4772025" y="7953375"/>
          <a:ext cx="10001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33</xdr:row>
      <xdr:rowOff>142875</xdr:rowOff>
    </xdr:from>
    <xdr:to>
      <xdr:col>5</xdr:col>
      <xdr:colOff>323850</xdr:colOff>
      <xdr:row>35</xdr:row>
      <xdr:rowOff>0</xdr:rowOff>
    </xdr:to>
    <xdr:sp>
      <xdr:nvSpPr>
        <xdr:cNvPr id="33" name="TextBox 145"/>
        <xdr:cNvSpPr txBox="1">
          <a:spLocks noChangeArrowheads="1"/>
        </xdr:cNvSpPr>
      </xdr:nvSpPr>
      <xdr:spPr>
        <a:xfrm>
          <a:off x="4248150" y="6934200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WEB</a:t>
          </a:r>
        </a:p>
      </xdr:txBody>
    </xdr:sp>
    <xdr:clientData/>
  </xdr:twoCellAnchor>
  <xdr:twoCellAnchor>
    <xdr:from>
      <xdr:col>7</xdr:col>
      <xdr:colOff>628650</xdr:colOff>
      <xdr:row>33</xdr:row>
      <xdr:rowOff>152400</xdr:rowOff>
    </xdr:from>
    <xdr:to>
      <xdr:col>8</xdr:col>
      <xdr:colOff>190500</xdr:colOff>
      <xdr:row>34</xdr:row>
      <xdr:rowOff>114300</xdr:rowOff>
    </xdr:to>
    <xdr:sp>
      <xdr:nvSpPr>
        <xdr:cNvPr id="34" name="TextBox 146"/>
        <xdr:cNvSpPr txBox="1">
          <a:spLocks noChangeArrowheads="1"/>
        </xdr:cNvSpPr>
      </xdr:nvSpPr>
      <xdr:spPr>
        <a:xfrm>
          <a:off x="6400800" y="69437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5</xdr:col>
      <xdr:colOff>466725</xdr:colOff>
      <xdr:row>31</xdr:row>
      <xdr:rowOff>76200</xdr:rowOff>
    </xdr:from>
    <xdr:to>
      <xdr:col>5</xdr:col>
      <xdr:colOff>466725</xdr:colOff>
      <xdr:row>31</xdr:row>
      <xdr:rowOff>171450</xdr:rowOff>
    </xdr:to>
    <xdr:sp>
      <xdr:nvSpPr>
        <xdr:cNvPr id="35" name="Line 147"/>
        <xdr:cNvSpPr>
          <a:spLocks/>
        </xdr:cNvSpPr>
      </xdr:nvSpPr>
      <xdr:spPr>
        <a:xfrm flipV="1">
          <a:off x="4772025" y="6467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31</xdr:row>
      <xdr:rowOff>123825</xdr:rowOff>
    </xdr:from>
    <xdr:to>
      <xdr:col>6</xdr:col>
      <xdr:colOff>600075</xdr:colOff>
      <xdr:row>31</xdr:row>
      <xdr:rowOff>123825</xdr:rowOff>
    </xdr:to>
    <xdr:sp>
      <xdr:nvSpPr>
        <xdr:cNvPr id="36" name="Line 148"/>
        <xdr:cNvSpPr>
          <a:spLocks/>
        </xdr:cNvSpPr>
      </xdr:nvSpPr>
      <xdr:spPr>
        <a:xfrm>
          <a:off x="4772025" y="65151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39</xdr:row>
      <xdr:rowOff>57150</xdr:rowOff>
    </xdr:from>
    <xdr:to>
      <xdr:col>5</xdr:col>
      <xdr:colOff>476250</xdr:colOff>
      <xdr:row>39</xdr:row>
      <xdr:rowOff>152400</xdr:rowOff>
    </xdr:to>
    <xdr:sp>
      <xdr:nvSpPr>
        <xdr:cNvPr id="37" name="Line 149"/>
        <xdr:cNvSpPr>
          <a:spLocks/>
        </xdr:cNvSpPr>
      </xdr:nvSpPr>
      <xdr:spPr>
        <a:xfrm flipV="1">
          <a:off x="4781550" y="8048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57150</xdr:rowOff>
    </xdr:from>
    <xdr:to>
      <xdr:col>7</xdr:col>
      <xdr:colOff>0</xdr:colOff>
      <xdr:row>39</xdr:row>
      <xdr:rowOff>152400</xdr:rowOff>
    </xdr:to>
    <xdr:sp>
      <xdr:nvSpPr>
        <xdr:cNvPr id="38" name="Line 150"/>
        <xdr:cNvSpPr>
          <a:spLocks/>
        </xdr:cNvSpPr>
      </xdr:nvSpPr>
      <xdr:spPr>
        <a:xfrm flipV="1">
          <a:off x="5772150" y="8048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39</xdr:row>
      <xdr:rowOff>142875</xdr:rowOff>
    </xdr:from>
    <xdr:to>
      <xdr:col>7</xdr:col>
      <xdr:colOff>9525</xdr:colOff>
      <xdr:row>39</xdr:row>
      <xdr:rowOff>142875</xdr:rowOff>
    </xdr:to>
    <xdr:sp>
      <xdr:nvSpPr>
        <xdr:cNvPr id="39" name="Line 151"/>
        <xdr:cNvSpPr>
          <a:spLocks/>
        </xdr:cNvSpPr>
      </xdr:nvSpPr>
      <xdr:spPr>
        <a:xfrm>
          <a:off x="4781550" y="81343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32</xdr:row>
      <xdr:rowOff>38100</xdr:rowOff>
    </xdr:from>
    <xdr:to>
      <xdr:col>5</xdr:col>
      <xdr:colOff>419100</xdr:colOff>
      <xdr:row>32</xdr:row>
      <xdr:rowOff>38100</xdr:rowOff>
    </xdr:to>
    <xdr:sp>
      <xdr:nvSpPr>
        <xdr:cNvPr id="40" name="Line 152"/>
        <xdr:cNvSpPr>
          <a:spLocks/>
        </xdr:cNvSpPr>
      </xdr:nvSpPr>
      <xdr:spPr>
        <a:xfrm flipH="1">
          <a:off x="4467225" y="6629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32</xdr:row>
      <xdr:rowOff>104775</xdr:rowOff>
    </xdr:from>
    <xdr:to>
      <xdr:col>5</xdr:col>
      <xdr:colOff>419100</xdr:colOff>
      <xdr:row>32</xdr:row>
      <xdr:rowOff>104775</xdr:rowOff>
    </xdr:to>
    <xdr:sp>
      <xdr:nvSpPr>
        <xdr:cNvPr id="41" name="Line 153"/>
        <xdr:cNvSpPr>
          <a:spLocks/>
        </xdr:cNvSpPr>
      </xdr:nvSpPr>
      <xdr:spPr>
        <a:xfrm flipH="1">
          <a:off x="4467225" y="66960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38</xdr:row>
      <xdr:rowOff>161925</xdr:rowOff>
    </xdr:from>
    <xdr:to>
      <xdr:col>5</xdr:col>
      <xdr:colOff>419100</xdr:colOff>
      <xdr:row>38</xdr:row>
      <xdr:rowOff>161925</xdr:rowOff>
    </xdr:to>
    <xdr:sp>
      <xdr:nvSpPr>
        <xdr:cNvPr id="42" name="Line 154"/>
        <xdr:cNvSpPr>
          <a:spLocks/>
        </xdr:cNvSpPr>
      </xdr:nvSpPr>
      <xdr:spPr>
        <a:xfrm flipH="1">
          <a:off x="4467225" y="79533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39</xdr:row>
      <xdr:rowOff>38100</xdr:rowOff>
    </xdr:from>
    <xdr:to>
      <xdr:col>5</xdr:col>
      <xdr:colOff>428625</xdr:colOff>
      <xdr:row>39</xdr:row>
      <xdr:rowOff>38100</xdr:rowOff>
    </xdr:to>
    <xdr:sp>
      <xdr:nvSpPr>
        <xdr:cNvPr id="43" name="Line 155"/>
        <xdr:cNvSpPr>
          <a:spLocks/>
        </xdr:cNvSpPr>
      </xdr:nvSpPr>
      <xdr:spPr>
        <a:xfrm flipH="1">
          <a:off x="4476750" y="8029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32</xdr:row>
      <xdr:rowOff>95250</xdr:rowOff>
    </xdr:from>
    <xdr:to>
      <xdr:col>5</xdr:col>
      <xdr:colOff>257175</xdr:colOff>
      <xdr:row>38</xdr:row>
      <xdr:rowOff>171450</xdr:rowOff>
    </xdr:to>
    <xdr:sp>
      <xdr:nvSpPr>
        <xdr:cNvPr id="44" name="Line 156"/>
        <xdr:cNvSpPr>
          <a:spLocks/>
        </xdr:cNvSpPr>
      </xdr:nvSpPr>
      <xdr:spPr>
        <a:xfrm flipV="1">
          <a:off x="4562475" y="668655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31</xdr:row>
      <xdr:rowOff>95250</xdr:rowOff>
    </xdr:from>
    <xdr:to>
      <xdr:col>5</xdr:col>
      <xdr:colOff>257175</xdr:colOff>
      <xdr:row>32</xdr:row>
      <xdr:rowOff>47625</xdr:rowOff>
    </xdr:to>
    <xdr:sp>
      <xdr:nvSpPr>
        <xdr:cNvPr id="45" name="Line 157"/>
        <xdr:cNvSpPr>
          <a:spLocks/>
        </xdr:cNvSpPr>
      </xdr:nvSpPr>
      <xdr:spPr>
        <a:xfrm flipV="1">
          <a:off x="4562475" y="6486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38</xdr:row>
      <xdr:rowOff>200025</xdr:rowOff>
    </xdr:from>
    <xdr:to>
      <xdr:col>5</xdr:col>
      <xdr:colOff>257175</xdr:colOff>
      <xdr:row>39</xdr:row>
      <xdr:rowOff>95250</xdr:rowOff>
    </xdr:to>
    <xdr:sp>
      <xdr:nvSpPr>
        <xdr:cNvPr id="46" name="Line 158"/>
        <xdr:cNvSpPr>
          <a:spLocks/>
        </xdr:cNvSpPr>
      </xdr:nvSpPr>
      <xdr:spPr>
        <a:xfrm flipV="1">
          <a:off x="4562475" y="7991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39</xdr:row>
      <xdr:rowOff>76200</xdr:rowOff>
    </xdr:from>
    <xdr:to>
      <xdr:col>5</xdr:col>
      <xdr:colOff>257175</xdr:colOff>
      <xdr:row>40</xdr:row>
      <xdr:rowOff>19050</xdr:rowOff>
    </xdr:to>
    <xdr:sp>
      <xdr:nvSpPr>
        <xdr:cNvPr id="47" name="Line 159"/>
        <xdr:cNvSpPr>
          <a:spLocks/>
        </xdr:cNvSpPr>
      </xdr:nvSpPr>
      <xdr:spPr>
        <a:xfrm>
          <a:off x="4562475" y="8067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31</xdr:row>
      <xdr:rowOff>152400</xdr:rowOff>
    </xdr:from>
    <xdr:to>
      <xdr:col>5</xdr:col>
      <xdr:colOff>171450</xdr:colOff>
      <xdr:row>33</xdr:row>
      <xdr:rowOff>0</xdr:rowOff>
    </xdr:to>
    <xdr:sp>
      <xdr:nvSpPr>
        <xdr:cNvPr id="48" name="TextBox 160"/>
        <xdr:cNvSpPr txBox="1">
          <a:spLocks noChangeArrowheads="1"/>
        </xdr:cNvSpPr>
      </xdr:nvSpPr>
      <xdr:spPr>
        <a:xfrm>
          <a:off x="4152900" y="6543675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4</xdr:col>
      <xdr:colOff>438150</xdr:colOff>
      <xdr:row>38</xdr:row>
      <xdr:rowOff>76200</xdr:rowOff>
    </xdr:from>
    <xdr:to>
      <xdr:col>5</xdr:col>
      <xdr:colOff>266700</xdr:colOff>
      <xdr:row>39</xdr:row>
      <xdr:rowOff>104775</xdr:rowOff>
    </xdr:to>
    <xdr:sp>
      <xdr:nvSpPr>
        <xdr:cNvPr id="49" name="TextBox 161"/>
        <xdr:cNvSpPr txBox="1">
          <a:spLocks noChangeArrowheads="1"/>
        </xdr:cNvSpPr>
      </xdr:nvSpPr>
      <xdr:spPr>
        <a:xfrm>
          <a:off x="4105275" y="78676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FL.L</a:t>
          </a:r>
        </a:p>
      </xdr:txBody>
    </xdr:sp>
    <xdr:clientData/>
  </xdr:twoCellAnchor>
  <xdr:twoCellAnchor>
    <xdr:from>
      <xdr:col>4</xdr:col>
      <xdr:colOff>104775</xdr:colOff>
      <xdr:row>34</xdr:row>
      <xdr:rowOff>161925</xdr:rowOff>
    </xdr:from>
    <xdr:to>
      <xdr:col>8</xdr:col>
      <xdr:colOff>9525</xdr:colOff>
      <xdr:row>34</xdr:row>
      <xdr:rowOff>161925</xdr:rowOff>
    </xdr:to>
    <xdr:sp>
      <xdr:nvSpPr>
        <xdr:cNvPr id="50" name="Line 162"/>
        <xdr:cNvSpPr>
          <a:spLocks/>
        </xdr:cNvSpPr>
      </xdr:nvSpPr>
      <xdr:spPr>
        <a:xfrm>
          <a:off x="3771900" y="7153275"/>
          <a:ext cx="264795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171450</xdr:rowOff>
    </xdr:from>
    <xdr:to>
      <xdr:col>4</xdr:col>
      <xdr:colOff>209550</xdr:colOff>
      <xdr:row>34</xdr:row>
      <xdr:rowOff>171450</xdr:rowOff>
    </xdr:to>
    <xdr:sp>
      <xdr:nvSpPr>
        <xdr:cNvPr id="51" name="TextBox 163"/>
        <xdr:cNvSpPr txBox="1">
          <a:spLocks noChangeArrowheads="1"/>
        </xdr:cNvSpPr>
      </xdr:nvSpPr>
      <xdr:spPr>
        <a:xfrm>
          <a:off x="3676650" y="69627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5</xdr:col>
      <xdr:colOff>800100</xdr:colOff>
      <xdr:row>30</xdr:row>
      <xdr:rowOff>123825</xdr:rowOff>
    </xdr:from>
    <xdr:to>
      <xdr:col>6</xdr:col>
      <xdr:colOff>314325</xdr:colOff>
      <xdr:row>32</xdr:row>
      <xdr:rowOff>0</xdr:rowOff>
    </xdr:to>
    <xdr:sp>
      <xdr:nvSpPr>
        <xdr:cNvPr id="52" name="TextBox 164"/>
        <xdr:cNvSpPr txBox="1">
          <a:spLocks noChangeArrowheads="1"/>
        </xdr:cNvSpPr>
      </xdr:nvSpPr>
      <xdr:spPr>
        <a:xfrm>
          <a:off x="5105400" y="6315075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6</xdr:col>
      <xdr:colOff>76200</xdr:colOff>
      <xdr:row>32</xdr:row>
      <xdr:rowOff>114300</xdr:rowOff>
    </xdr:from>
    <xdr:to>
      <xdr:col>6</xdr:col>
      <xdr:colOff>152400</xdr:colOff>
      <xdr:row>38</xdr:row>
      <xdr:rowOff>161925</xdr:rowOff>
    </xdr:to>
    <xdr:sp>
      <xdr:nvSpPr>
        <xdr:cNvPr id="53" name="Rectangle 165"/>
        <xdr:cNvSpPr>
          <a:spLocks/>
        </xdr:cNvSpPr>
      </xdr:nvSpPr>
      <xdr:spPr>
        <a:xfrm>
          <a:off x="5238750" y="6705600"/>
          <a:ext cx="76200" cy="1247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85725</xdr:rowOff>
    </xdr:from>
    <xdr:to>
      <xdr:col>7</xdr:col>
      <xdr:colOff>0</xdr:colOff>
      <xdr:row>31</xdr:row>
      <xdr:rowOff>180975</xdr:rowOff>
    </xdr:to>
    <xdr:sp>
      <xdr:nvSpPr>
        <xdr:cNvPr id="54" name="Line 166"/>
        <xdr:cNvSpPr>
          <a:spLocks/>
        </xdr:cNvSpPr>
      </xdr:nvSpPr>
      <xdr:spPr>
        <a:xfrm flipV="1">
          <a:off x="5772150" y="6477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32</xdr:row>
      <xdr:rowOff>38100</xdr:rowOff>
    </xdr:from>
    <xdr:to>
      <xdr:col>7</xdr:col>
      <xdr:colOff>19050</xdr:colOff>
      <xdr:row>32</xdr:row>
      <xdr:rowOff>104775</xdr:rowOff>
    </xdr:to>
    <xdr:sp>
      <xdr:nvSpPr>
        <xdr:cNvPr id="55" name="Rectangle 167"/>
        <xdr:cNvSpPr>
          <a:spLocks/>
        </xdr:cNvSpPr>
      </xdr:nvSpPr>
      <xdr:spPr>
        <a:xfrm>
          <a:off x="4791075" y="6629400"/>
          <a:ext cx="10001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39</xdr:row>
      <xdr:rowOff>104775</xdr:rowOff>
    </xdr:from>
    <xdr:to>
      <xdr:col>6</xdr:col>
      <xdr:colOff>304800</xdr:colOff>
      <xdr:row>40</xdr:row>
      <xdr:rowOff>180975</xdr:rowOff>
    </xdr:to>
    <xdr:sp>
      <xdr:nvSpPr>
        <xdr:cNvPr id="56" name="TextBox 168"/>
        <xdr:cNvSpPr txBox="1">
          <a:spLocks noChangeArrowheads="1"/>
        </xdr:cNvSpPr>
      </xdr:nvSpPr>
      <xdr:spPr>
        <a:xfrm>
          <a:off x="5095875" y="8096250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FL.L</a:t>
          </a:r>
        </a:p>
      </xdr:txBody>
    </xdr:sp>
    <xdr:clientData/>
  </xdr:twoCellAnchor>
  <xdr:twoCellAnchor>
    <xdr:from>
      <xdr:col>7</xdr:col>
      <xdr:colOff>219075</xdr:colOff>
      <xdr:row>32</xdr:row>
      <xdr:rowOff>19050</xdr:rowOff>
    </xdr:from>
    <xdr:to>
      <xdr:col>7</xdr:col>
      <xdr:colOff>219075</xdr:colOff>
      <xdr:row>34</xdr:row>
      <xdr:rowOff>171450</xdr:rowOff>
    </xdr:to>
    <xdr:sp>
      <xdr:nvSpPr>
        <xdr:cNvPr id="57" name="Line 169"/>
        <xdr:cNvSpPr>
          <a:spLocks/>
        </xdr:cNvSpPr>
      </xdr:nvSpPr>
      <xdr:spPr>
        <a:xfrm flipV="1">
          <a:off x="5991225" y="66103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32</xdr:row>
      <xdr:rowOff>38100</xdr:rowOff>
    </xdr:from>
    <xdr:to>
      <xdr:col>7</xdr:col>
      <xdr:colOff>352425</xdr:colOff>
      <xdr:row>32</xdr:row>
      <xdr:rowOff>38100</xdr:rowOff>
    </xdr:to>
    <xdr:sp>
      <xdr:nvSpPr>
        <xdr:cNvPr id="58" name="Line 170"/>
        <xdr:cNvSpPr>
          <a:spLocks/>
        </xdr:cNvSpPr>
      </xdr:nvSpPr>
      <xdr:spPr>
        <a:xfrm flipH="1">
          <a:off x="5867400" y="6629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32</xdr:row>
      <xdr:rowOff>161925</xdr:rowOff>
    </xdr:from>
    <xdr:to>
      <xdr:col>7</xdr:col>
      <xdr:colOff>619125</xdr:colOff>
      <xdr:row>34</xdr:row>
      <xdr:rowOff>19050</xdr:rowOff>
    </xdr:to>
    <xdr:sp>
      <xdr:nvSpPr>
        <xdr:cNvPr id="59" name="TextBox 171"/>
        <xdr:cNvSpPr txBox="1">
          <a:spLocks noChangeArrowheads="1"/>
        </xdr:cNvSpPr>
      </xdr:nvSpPr>
      <xdr:spPr>
        <a:xfrm>
          <a:off x="6010275" y="6753225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219075</xdr:colOff>
      <xdr:row>34</xdr:row>
      <xdr:rowOff>171450</xdr:rowOff>
    </xdr:from>
    <xdr:to>
      <xdr:col>7</xdr:col>
      <xdr:colOff>219075</xdr:colOff>
      <xdr:row>39</xdr:row>
      <xdr:rowOff>47625</xdr:rowOff>
    </xdr:to>
    <xdr:sp>
      <xdr:nvSpPr>
        <xdr:cNvPr id="60" name="Line 172"/>
        <xdr:cNvSpPr>
          <a:spLocks/>
        </xdr:cNvSpPr>
      </xdr:nvSpPr>
      <xdr:spPr>
        <a:xfrm flipV="1">
          <a:off x="5991225" y="71628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39</xdr:row>
      <xdr:rowOff>38100</xdr:rowOff>
    </xdr:from>
    <xdr:to>
      <xdr:col>7</xdr:col>
      <xdr:colOff>342900</xdr:colOff>
      <xdr:row>39</xdr:row>
      <xdr:rowOff>38100</xdr:rowOff>
    </xdr:to>
    <xdr:sp>
      <xdr:nvSpPr>
        <xdr:cNvPr id="61" name="Line 173"/>
        <xdr:cNvSpPr>
          <a:spLocks/>
        </xdr:cNvSpPr>
      </xdr:nvSpPr>
      <xdr:spPr>
        <a:xfrm flipH="1">
          <a:off x="5857875" y="8029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35</xdr:row>
      <xdr:rowOff>171450</xdr:rowOff>
    </xdr:from>
    <xdr:to>
      <xdr:col>7</xdr:col>
      <xdr:colOff>590550</xdr:colOff>
      <xdr:row>38</xdr:row>
      <xdr:rowOff>28575</xdr:rowOff>
    </xdr:to>
    <xdr:sp>
      <xdr:nvSpPr>
        <xdr:cNvPr id="62" name="TextBox 174"/>
        <xdr:cNvSpPr txBox="1">
          <a:spLocks noChangeArrowheads="1"/>
        </xdr:cNvSpPr>
      </xdr:nvSpPr>
      <xdr:spPr>
        <a:xfrm>
          <a:off x="5981700" y="7362825"/>
          <a:ext cx="3810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W163"/>
  <sheetViews>
    <sheetView showGridLines="0" tabSelected="1" view="pageBreakPreview" zoomScaleSheetLayoutView="100" workbookViewId="0" topLeftCell="A91">
      <selection activeCell="L13" sqref="L13"/>
    </sheetView>
  </sheetViews>
  <sheetFormatPr defaultColWidth="9.140625" defaultRowHeight="12.75"/>
  <cols>
    <col min="1" max="1" width="17.7109375" style="44" customWidth="1"/>
    <col min="2" max="2" width="13.28125" style="44" customWidth="1"/>
    <col min="3" max="3" width="14.8515625" style="44" bestFit="1" customWidth="1"/>
    <col min="4" max="4" width="9.140625" style="44" customWidth="1"/>
    <col min="5" max="5" width="9.57421875" style="44" bestFit="1" customWidth="1"/>
    <col min="6" max="6" width="12.8515625" style="44" customWidth="1"/>
    <col min="7" max="7" width="9.140625" style="44" customWidth="1"/>
    <col min="8" max="8" width="9.57421875" style="44" bestFit="1" customWidth="1"/>
    <col min="9" max="10" width="9.28125" style="44" customWidth="1"/>
    <col min="11" max="11" width="9.140625" style="44" customWidth="1"/>
    <col min="12" max="12" width="12.8515625" style="44" customWidth="1"/>
    <col min="13" max="13" width="9.140625" style="44" customWidth="1"/>
    <col min="14" max="14" width="9.7109375" style="44" bestFit="1" customWidth="1"/>
    <col min="15" max="15" width="9.140625" style="44" customWidth="1"/>
    <col min="16" max="16" width="9.28125" style="44" bestFit="1" customWidth="1"/>
    <col min="17" max="17" width="9.421875" style="44" bestFit="1" customWidth="1"/>
    <col min="18" max="18" width="10.7109375" style="44" bestFit="1" customWidth="1"/>
    <col min="19" max="19" width="9.57421875" style="44" bestFit="1" customWidth="1"/>
    <col min="20" max="16384" width="9.140625" style="44" customWidth="1"/>
  </cols>
  <sheetData>
    <row r="1" spans="1:15" ht="19.5" customHeight="1">
      <c r="A1" s="1" t="s">
        <v>36</v>
      </c>
      <c r="B1" s="13"/>
      <c r="C1" s="13"/>
      <c r="D1" s="154" t="s">
        <v>42</v>
      </c>
      <c r="E1" s="155"/>
      <c r="F1" s="155"/>
      <c r="G1" s="156"/>
      <c r="H1" s="157" t="s">
        <v>43</v>
      </c>
      <c r="I1" s="158"/>
      <c r="J1" s="127"/>
      <c r="K1" s="21"/>
      <c r="M1" s="44" t="s">
        <v>57</v>
      </c>
      <c r="N1" s="44">
        <v>2.4</v>
      </c>
      <c r="O1" s="44">
        <v>3.6</v>
      </c>
    </row>
    <row r="2" spans="1:23" ht="19.5" customHeight="1" thickBot="1">
      <c r="A2" s="6" t="s">
        <v>37</v>
      </c>
      <c r="B2" s="14"/>
      <c r="C2" s="14"/>
      <c r="D2" s="161" t="s">
        <v>53</v>
      </c>
      <c r="E2" s="162"/>
      <c r="F2" s="162"/>
      <c r="G2" s="163"/>
      <c r="H2" s="159"/>
      <c r="I2" s="160"/>
      <c r="J2" s="118"/>
      <c r="K2" s="21"/>
      <c r="L2" s="52"/>
      <c r="M2" s="44" t="s">
        <v>58</v>
      </c>
      <c r="N2" s="44">
        <v>2.8</v>
      </c>
      <c r="O2" s="44">
        <v>4.4</v>
      </c>
      <c r="P2" s="48"/>
      <c r="Q2" s="48"/>
      <c r="R2" s="48"/>
      <c r="S2" s="48"/>
      <c r="T2" s="48"/>
      <c r="U2" s="48"/>
      <c r="V2" s="48"/>
      <c r="W2" s="48"/>
    </row>
    <row r="3" spans="1:23" ht="19.5" customHeight="1">
      <c r="A3" s="2" t="s">
        <v>38</v>
      </c>
      <c r="B3" s="14"/>
      <c r="C3" s="14"/>
      <c r="D3" s="135" t="s">
        <v>35</v>
      </c>
      <c r="E3" s="15" t="s">
        <v>40</v>
      </c>
      <c r="F3" s="16" t="s">
        <v>41</v>
      </c>
      <c r="G3" s="17" t="s">
        <v>40</v>
      </c>
      <c r="H3" s="4" t="s">
        <v>44</v>
      </c>
      <c r="I3" s="12"/>
      <c r="J3" s="118"/>
      <c r="K3" s="53"/>
      <c r="L3" s="25"/>
      <c r="M3" s="44" t="s">
        <v>59</v>
      </c>
      <c r="N3" s="44">
        <v>3.6</v>
      </c>
      <c r="O3" s="44">
        <v>5.2</v>
      </c>
      <c r="P3" s="50"/>
      <c r="Q3" s="47"/>
      <c r="R3" s="50"/>
      <c r="S3" s="47"/>
      <c r="T3" s="50"/>
      <c r="U3" s="25"/>
      <c r="V3" s="50"/>
      <c r="W3" s="25"/>
    </row>
    <row r="4" spans="1:23" ht="19.5" customHeight="1" thickBot="1">
      <c r="A4" s="3" t="s">
        <v>39</v>
      </c>
      <c r="B4" s="18"/>
      <c r="C4" s="18"/>
      <c r="D4" s="7" t="s">
        <v>52</v>
      </c>
      <c r="E4" s="8"/>
      <c r="F4" s="9"/>
      <c r="G4" s="10"/>
      <c r="H4" s="5" t="s">
        <v>45</v>
      </c>
      <c r="I4" s="11"/>
      <c r="J4" s="128"/>
      <c r="K4" s="53"/>
      <c r="L4" s="25"/>
      <c r="N4" s="129">
        <v>100</v>
      </c>
      <c r="O4" s="47">
        <v>120</v>
      </c>
      <c r="P4" s="47">
        <v>140</v>
      </c>
      <c r="Q4" s="47">
        <v>160</v>
      </c>
      <c r="R4" s="47">
        <v>180</v>
      </c>
      <c r="S4" s="47">
        <v>200</v>
      </c>
      <c r="T4" s="47">
        <v>220</v>
      </c>
      <c r="U4" s="47">
        <v>240</v>
      </c>
      <c r="V4" s="50"/>
      <c r="W4" s="25"/>
    </row>
    <row r="5" spans="1:23" ht="15.75" customHeight="1">
      <c r="A5" s="130" t="s">
        <v>115</v>
      </c>
      <c r="B5" s="74"/>
      <c r="C5" s="65"/>
      <c r="D5" s="65"/>
      <c r="E5" s="66"/>
      <c r="F5" s="67"/>
      <c r="G5" s="68"/>
      <c r="H5" s="69"/>
      <c r="I5" s="69"/>
      <c r="J5" s="60" t="s">
        <v>34</v>
      </c>
      <c r="K5" s="53"/>
      <c r="L5" s="25"/>
      <c r="M5" s="49">
        <v>200</v>
      </c>
      <c r="N5" s="129">
        <v>55</v>
      </c>
      <c r="O5" s="47">
        <v>60</v>
      </c>
      <c r="P5" s="47">
        <v>60</v>
      </c>
      <c r="Q5" s="47">
        <v>60</v>
      </c>
      <c r="R5" s="47">
        <v>60</v>
      </c>
      <c r="S5" s="47">
        <v>65</v>
      </c>
      <c r="T5" s="47">
        <v>80</v>
      </c>
      <c r="U5" s="47">
        <v>80</v>
      </c>
      <c r="V5" s="50"/>
      <c r="W5" s="25"/>
    </row>
    <row r="6" spans="1:23" ht="15.75" customHeight="1">
      <c r="A6" s="70"/>
      <c r="B6" s="71"/>
      <c r="C6" s="64"/>
      <c r="D6" s="64"/>
      <c r="E6" s="64"/>
      <c r="F6" s="57"/>
      <c r="G6" s="131"/>
      <c r="H6" s="64"/>
      <c r="I6" s="64"/>
      <c r="J6" s="72" t="s">
        <v>51</v>
      </c>
      <c r="K6" s="53"/>
      <c r="L6" s="25"/>
      <c r="M6" s="49">
        <v>250</v>
      </c>
      <c r="N6" s="129">
        <v>70</v>
      </c>
      <c r="O6" s="47">
        <v>75</v>
      </c>
      <c r="P6" s="47">
        <v>75</v>
      </c>
      <c r="Q6" s="47">
        <v>75</v>
      </c>
      <c r="R6" s="47">
        <v>75</v>
      </c>
      <c r="S6" s="47">
        <v>80</v>
      </c>
      <c r="T6" s="47">
        <v>95</v>
      </c>
      <c r="U6" s="47">
        <v>95</v>
      </c>
      <c r="V6" s="50"/>
      <c r="W6" s="25"/>
    </row>
    <row r="7" spans="1:23" ht="15.75" customHeight="1">
      <c r="A7" s="70"/>
      <c r="B7" s="71"/>
      <c r="C7" s="64"/>
      <c r="D7" s="64"/>
      <c r="E7" s="64"/>
      <c r="F7" s="57"/>
      <c r="G7" s="131"/>
      <c r="H7" s="64"/>
      <c r="I7" s="64"/>
      <c r="J7" s="72"/>
      <c r="K7" s="53"/>
      <c r="L7" s="25"/>
      <c r="M7" s="49">
        <v>300</v>
      </c>
      <c r="N7" s="47">
        <v>80</v>
      </c>
      <c r="O7" s="47">
        <v>85</v>
      </c>
      <c r="P7" s="47">
        <v>85</v>
      </c>
      <c r="Q7" s="47">
        <v>85</v>
      </c>
      <c r="R7" s="47">
        <v>85</v>
      </c>
      <c r="S7" s="47">
        <v>90</v>
      </c>
      <c r="T7" s="47">
        <v>105</v>
      </c>
      <c r="U7" s="47">
        <v>105</v>
      </c>
      <c r="V7" s="50"/>
      <c r="W7" s="25"/>
    </row>
    <row r="8" spans="1:23" ht="15.75" customHeight="1">
      <c r="A8" s="70"/>
      <c r="B8" s="71"/>
      <c r="C8" s="64"/>
      <c r="D8" s="64"/>
      <c r="E8" s="64"/>
      <c r="F8" s="57"/>
      <c r="G8" s="131"/>
      <c r="H8" s="64"/>
      <c r="I8" s="64"/>
      <c r="J8" s="72"/>
      <c r="K8" s="53"/>
      <c r="L8" s="25"/>
      <c r="M8" s="49">
        <v>400</v>
      </c>
      <c r="N8" s="47"/>
      <c r="O8" s="50"/>
      <c r="P8" s="50"/>
      <c r="Q8" s="47"/>
      <c r="R8" s="50"/>
      <c r="S8" s="47"/>
      <c r="T8" s="50"/>
      <c r="U8" s="25"/>
      <c r="V8" s="50"/>
      <c r="W8" s="25"/>
    </row>
    <row r="9" spans="1:23" ht="15.75" customHeight="1">
      <c r="A9" s="70"/>
      <c r="B9" s="71"/>
      <c r="C9" s="64"/>
      <c r="D9" s="64"/>
      <c r="E9" s="64"/>
      <c r="F9" s="57"/>
      <c r="G9" s="131"/>
      <c r="H9" s="64"/>
      <c r="I9" s="64"/>
      <c r="J9" s="72"/>
      <c r="K9" s="53"/>
      <c r="L9" s="25"/>
      <c r="M9" s="49"/>
      <c r="N9" s="47"/>
      <c r="O9" s="50"/>
      <c r="P9" s="50"/>
      <c r="Q9" s="47"/>
      <c r="R9" s="50"/>
      <c r="S9" s="47"/>
      <c r="T9" s="50"/>
      <c r="U9" s="25"/>
      <c r="V9" s="50"/>
      <c r="W9" s="25"/>
    </row>
    <row r="10" spans="1:23" ht="15.75" customHeight="1">
      <c r="A10" s="70"/>
      <c r="B10" s="71"/>
      <c r="C10" s="64"/>
      <c r="D10" s="64"/>
      <c r="E10" s="64"/>
      <c r="F10" s="57"/>
      <c r="G10" s="131"/>
      <c r="H10" s="64"/>
      <c r="I10" s="64"/>
      <c r="J10" s="72"/>
      <c r="K10" s="53"/>
      <c r="L10" s="25"/>
      <c r="M10" s="49"/>
      <c r="N10" s="47"/>
      <c r="O10" s="50"/>
      <c r="P10" s="50"/>
      <c r="Q10" s="47"/>
      <c r="R10" s="50"/>
      <c r="S10" s="47"/>
      <c r="T10" s="50"/>
      <c r="U10" s="25"/>
      <c r="V10" s="50"/>
      <c r="W10" s="25"/>
    </row>
    <row r="11" spans="1:23" ht="15.75" customHeight="1">
      <c r="A11" s="70"/>
      <c r="B11" s="71"/>
      <c r="C11" s="64"/>
      <c r="D11" s="64"/>
      <c r="E11" s="64"/>
      <c r="F11" s="57"/>
      <c r="G11" s="131"/>
      <c r="H11" s="64"/>
      <c r="I11" s="64"/>
      <c r="J11" s="72"/>
      <c r="K11" s="53"/>
      <c r="L11" s="25"/>
      <c r="M11" s="49"/>
      <c r="N11" s="47"/>
      <c r="O11" s="50"/>
      <c r="P11" s="50"/>
      <c r="Q11" s="47"/>
      <c r="R11" s="50"/>
      <c r="S11" s="47"/>
      <c r="T11" s="50"/>
      <c r="U11" s="25"/>
      <c r="V11" s="50"/>
      <c r="W11" s="25"/>
    </row>
    <row r="12" spans="1:23" ht="15.75" customHeight="1">
      <c r="A12" s="70"/>
      <c r="B12" s="71"/>
      <c r="C12" s="64"/>
      <c r="D12" s="64"/>
      <c r="E12" s="64"/>
      <c r="F12" s="57"/>
      <c r="G12" s="131"/>
      <c r="H12" s="64"/>
      <c r="I12" s="64"/>
      <c r="J12" s="72"/>
      <c r="K12" s="53"/>
      <c r="L12" s="25"/>
      <c r="M12" s="49"/>
      <c r="N12" s="47"/>
      <c r="O12" s="50"/>
      <c r="P12" s="50"/>
      <c r="Q12" s="47"/>
      <c r="R12" s="50"/>
      <c r="S12" s="47"/>
      <c r="T12" s="50"/>
      <c r="U12" s="25"/>
      <c r="V12" s="50"/>
      <c r="W12" s="25"/>
    </row>
    <row r="13" spans="1:23" ht="15.75" customHeight="1">
      <c r="A13" s="70"/>
      <c r="B13" s="71"/>
      <c r="C13" s="64"/>
      <c r="D13" s="64"/>
      <c r="E13" s="64"/>
      <c r="F13" s="57"/>
      <c r="G13" s="131"/>
      <c r="H13" s="64"/>
      <c r="I13" s="64"/>
      <c r="J13" s="72"/>
      <c r="K13" s="53"/>
      <c r="L13" s="25"/>
      <c r="M13" s="49"/>
      <c r="N13" s="47"/>
      <c r="O13" s="50"/>
      <c r="P13" s="50"/>
      <c r="Q13" s="47"/>
      <c r="R13" s="50"/>
      <c r="S13" s="47"/>
      <c r="T13" s="50"/>
      <c r="U13" s="25"/>
      <c r="V13" s="50"/>
      <c r="W13" s="25"/>
    </row>
    <row r="14" spans="1:23" ht="15.75" customHeight="1">
      <c r="A14" s="70"/>
      <c r="B14" s="71"/>
      <c r="C14" s="64"/>
      <c r="D14" s="64"/>
      <c r="E14" s="64"/>
      <c r="F14" s="57"/>
      <c r="G14" s="131"/>
      <c r="H14" s="64"/>
      <c r="I14" s="64"/>
      <c r="J14" s="72"/>
      <c r="K14" s="53"/>
      <c r="L14" s="25"/>
      <c r="M14" s="49"/>
      <c r="N14" s="47"/>
      <c r="O14" s="50"/>
      <c r="P14" s="50"/>
      <c r="Q14" s="47"/>
      <c r="R14" s="50"/>
      <c r="S14" s="47"/>
      <c r="T14" s="50"/>
      <c r="U14" s="25"/>
      <c r="V14" s="50"/>
      <c r="W14" s="25"/>
    </row>
    <row r="15" spans="1:23" ht="15.75" customHeight="1">
      <c r="A15" s="70"/>
      <c r="B15" s="71"/>
      <c r="C15" s="64"/>
      <c r="D15" s="64"/>
      <c r="E15" s="64"/>
      <c r="F15" s="57"/>
      <c r="G15" s="131"/>
      <c r="H15" s="64"/>
      <c r="I15" s="64"/>
      <c r="J15" s="72"/>
      <c r="K15" s="53"/>
      <c r="L15" s="25"/>
      <c r="M15" s="49"/>
      <c r="N15" s="47"/>
      <c r="O15" s="50"/>
      <c r="P15" s="50"/>
      <c r="Q15" s="47"/>
      <c r="R15" s="50"/>
      <c r="S15" s="47"/>
      <c r="T15" s="50"/>
      <c r="U15" s="25"/>
      <c r="V15" s="50"/>
      <c r="W15" s="25"/>
    </row>
    <row r="16" spans="1:23" ht="15.75" customHeight="1">
      <c r="A16" s="70"/>
      <c r="B16" s="71"/>
      <c r="C16" s="64"/>
      <c r="D16" s="64"/>
      <c r="E16" s="64"/>
      <c r="F16" s="57"/>
      <c r="G16" s="131"/>
      <c r="H16" s="64"/>
      <c r="I16" s="64"/>
      <c r="J16" s="72"/>
      <c r="K16" s="53"/>
      <c r="L16" s="25"/>
      <c r="M16" s="49"/>
      <c r="N16" s="47"/>
      <c r="O16" s="50"/>
      <c r="P16" s="50"/>
      <c r="Q16" s="47"/>
      <c r="R16" s="50"/>
      <c r="S16" s="47"/>
      <c r="T16" s="50"/>
      <c r="U16" s="25"/>
      <c r="V16" s="50"/>
      <c r="W16" s="25"/>
    </row>
    <row r="17" spans="1:23" ht="15.75" customHeight="1">
      <c r="A17" s="70"/>
      <c r="B17" s="71"/>
      <c r="C17" s="64"/>
      <c r="D17" s="64"/>
      <c r="E17" s="64"/>
      <c r="F17" s="57"/>
      <c r="G17" s="131"/>
      <c r="H17" s="64"/>
      <c r="I17" s="64"/>
      <c r="J17" s="72"/>
      <c r="K17" s="53"/>
      <c r="L17" s="25"/>
      <c r="M17" s="49"/>
      <c r="N17" s="47"/>
      <c r="O17" s="50"/>
      <c r="P17" s="50"/>
      <c r="Q17" s="47"/>
      <c r="R17" s="50"/>
      <c r="S17" s="47"/>
      <c r="T17" s="50"/>
      <c r="U17" s="25"/>
      <c r="V17" s="50"/>
      <c r="W17" s="25"/>
    </row>
    <row r="18" spans="1:23" ht="15.75" customHeight="1">
      <c r="A18" s="73" t="s">
        <v>64</v>
      </c>
      <c r="B18" s="71"/>
      <c r="C18" s="64"/>
      <c r="D18" s="64"/>
      <c r="E18" s="64"/>
      <c r="F18" s="57"/>
      <c r="G18" s="131"/>
      <c r="H18" s="64"/>
      <c r="I18" s="64"/>
      <c r="J18" s="72"/>
      <c r="K18" s="53"/>
      <c r="L18" s="25"/>
      <c r="M18" s="49"/>
      <c r="N18" s="47"/>
      <c r="O18" s="50"/>
      <c r="P18" s="50"/>
      <c r="Q18" s="47"/>
      <c r="R18" s="50"/>
      <c r="S18" s="47"/>
      <c r="T18" s="50"/>
      <c r="U18" s="25"/>
      <c r="V18" s="50"/>
      <c r="W18" s="25"/>
    </row>
    <row r="19" spans="1:23" ht="15.75" customHeight="1">
      <c r="A19" s="106" t="s">
        <v>65</v>
      </c>
      <c r="B19" s="131"/>
      <c r="C19" s="64"/>
      <c r="D19" s="64"/>
      <c r="E19" s="64"/>
      <c r="F19" s="57"/>
      <c r="G19" s="131"/>
      <c r="H19" s="64"/>
      <c r="I19" s="64"/>
      <c r="J19" s="72"/>
      <c r="K19" s="53"/>
      <c r="L19" s="25"/>
      <c r="M19" s="49"/>
      <c r="N19" s="47"/>
      <c r="O19" s="50"/>
      <c r="P19" s="50"/>
      <c r="Q19" s="47"/>
      <c r="R19" s="50"/>
      <c r="S19" s="47"/>
      <c r="T19" s="50"/>
      <c r="U19" s="25"/>
      <c r="V19" s="50"/>
      <c r="W19" s="25"/>
    </row>
    <row r="20" spans="1:23" ht="15.75" customHeight="1">
      <c r="A20" s="55" t="s">
        <v>56</v>
      </c>
      <c r="B20" s="61" t="s">
        <v>57</v>
      </c>
      <c r="C20" s="64"/>
      <c r="D20" s="64"/>
      <c r="E20" s="64"/>
      <c r="F20" s="57"/>
      <c r="G20" s="131"/>
      <c r="H20" s="64"/>
      <c r="I20" s="64"/>
      <c r="J20" s="72"/>
      <c r="K20" s="53"/>
      <c r="L20" s="25"/>
      <c r="M20" s="49"/>
      <c r="N20" s="47"/>
      <c r="O20" s="50"/>
      <c r="P20" s="50"/>
      <c r="Q20" s="47"/>
      <c r="R20" s="50"/>
      <c r="S20" s="47"/>
      <c r="T20" s="50"/>
      <c r="U20" s="25"/>
      <c r="V20" s="50"/>
      <c r="W20" s="25"/>
    </row>
    <row r="21" spans="1:23" ht="15.75" customHeight="1">
      <c r="A21" s="55" t="s">
        <v>60</v>
      </c>
      <c r="B21" s="63" t="s">
        <v>1</v>
      </c>
      <c r="C21" s="56">
        <f>VLOOKUP(B20,M1:O3,2,FALSE)</f>
        <v>2.4</v>
      </c>
      <c r="D21" s="23" t="s">
        <v>8</v>
      </c>
      <c r="E21" s="75"/>
      <c r="F21" s="62"/>
      <c r="G21" s="63"/>
      <c r="H21" s="56"/>
      <c r="I21" s="64"/>
      <c r="J21" s="76"/>
      <c r="K21" s="53"/>
      <c r="L21" s="25"/>
      <c r="M21" s="49"/>
      <c r="N21" s="47"/>
      <c r="O21" s="50"/>
      <c r="P21" s="50"/>
      <c r="Q21" s="47"/>
      <c r="R21" s="50"/>
      <c r="S21" s="47"/>
      <c r="T21" s="50"/>
      <c r="U21" s="25"/>
      <c r="V21" s="50"/>
      <c r="W21" s="25"/>
    </row>
    <row r="22" spans="1:23" ht="15.75" customHeight="1">
      <c r="A22" s="55" t="s">
        <v>61</v>
      </c>
      <c r="B22" s="63" t="s">
        <v>1</v>
      </c>
      <c r="C22" s="56">
        <f>VLOOKUP(B20,M1:O3,3,FALSE)</f>
        <v>3.6</v>
      </c>
      <c r="D22" s="23" t="s">
        <v>8</v>
      </c>
      <c r="E22" s="66"/>
      <c r="F22" s="62"/>
      <c r="G22" s="63"/>
      <c r="H22" s="56"/>
      <c r="I22" s="64"/>
      <c r="J22" s="76"/>
      <c r="K22" s="54"/>
      <c r="L22" s="25"/>
      <c r="M22" s="47"/>
      <c r="N22" s="47"/>
      <c r="O22" s="50"/>
      <c r="P22" s="50"/>
      <c r="Q22" s="47"/>
      <c r="R22" s="50"/>
      <c r="S22" s="47"/>
      <c r="T22" s="50"/>
      <c r="U22" s="25"/>
      <c r="V22" s="50"/>
      <c r="W22" s="25"/>
    </row>
    <row r="23" spans="1:23" ht="15.75" customHeight="1">
      <c r="A23" s="106" t="s">
        <v>66</v>
      </c>
      <c r="B23" s="77"/>
      <c r="C23" s="64"/>
      <c r="D23" s="64"/>
      <c r="E23" s="78"/>
      <c r="F23" s="75"/>
      <c r="G23" s="71"/>
      <c r="H23" s="71"/>
      <c r="I23" s="71"/>
      <c r="J23" s="79"/>
      <c r="K23" s="53"/>
      <c r="L23" s="25"/>
      <c r="M23" s="49"/>
      <c r="N23" s="47"/>
      <c r="O23" s="50"/>
      <c r="P23" s="50"/>
      <c r="Q23" s="47"/>
      <c r="R23" s="50"/>
      <c r="S23" s="47"/>
      <c r="T23" s="50"/>
      <c r="U23" s="25"/>
      <c r="V23" s="50"/>
      <c r="W23" s="25"/>
    </row>
    <row r="24" spans="1:23" ht="15.75" customHeight="1">
      <c r="A24" s="55" t="s">
        <v>67</v>
      </c>
      <c r="B24" s="63" t="s">
        <v>1</v>
      </c>
      <c r="C24" s="85">
        <v>300</v>
      </c>
      <c r="D24" s="23" t="s">
        <v>68</v>
      </c>
      <c r="E24" s="81"/>
      <c r="F24" s="71"/>
      <c r="G24" s="71"/>
      <c r="H24" s="71"/>
      <c r="I24" s="71"/>
      <c r="J24" s="79"/>
      <c r="K24" s="54"/>
      <c r="L24" s="25"/>
      <c r="M24" s="47"/>
      <c r="N24" s="47"/>
      <c r="O24" s="50"/>
      <c r="P24" s="50"/>
      <c r="Q24" s="47"/>
      <c r="R24" s="50"/>
      <c r="S24" s="47"/>
      <c r="T24" s="50"/>
      <c r="U24" s="25"/>
      <c r="V24" s="50"/>
      <c r="W24" s="25"/>
    </row>
    <row r="25" spans="1:23" ht="15.75" customHeight="1">
      <c r="A25" s="55" t="s">
        <v>69</v>
      </c>
      <c r="B25" s="63" t="s">
        <v>1</v>
      </c>
      <c r="C25" s="107">
        <f>IF(C24=200,HLOOKUP(C41,N4:U7,2,FALSE),IF(C24=250,HLOOKUP(C41,N4:U7,3,FALSE),HLOOKUP(C41,N4:U7,4,FALSE)))</f>
        <v>85</v>
      </c>
      <c r="D25" s="23" t="s">
        <v>68</v>
      </c>
      <c r="E25" s="81"/>
      <c r="F25" s="71"/>
      <c r="G25" s="71"/>
      <c r="H25" s="71"/>
      <c r="I25" s="71"/>
      <c r="J25" s="79"/>
      <c r="K25" s="54"/>
      <c r="L25" s="25"/>
      <c r="M25" s="47"/>
      <c r="N25" s="47"/>
      <c r="O25" s="50"/>
      <c r="P25" s="50"/>
      <c r="Q25" s="47"/>
      <c r="R25" s="50"/>
      <c r="S25" s="47"/>
      <c r="T25" s="50"/>
      <c r="U25" s="25"/>
      <c r="V25" s="50"/>
      <c r="W25" s="25"/>
    </row>
    <row r="26" spans="1:23" ht="15.75" customHeight="1">
      <c r="A26" s="55" t="s">
        <v>70</v>
      </c>
      <c r="B26" s="63" t="s">
        <v>1</v>
      </c>
      <c r="C26" s="107">
        <f>14000*(C24)^0.5</f>
        <v>242487.11305964284</v>
      </c>
      <c r="D26" s="23" t="s">
        <v>68</v>
      </c>
      <c r="E26" s="81"/>
      <c r="F26" s="71"/>
      <c r="G26" s="71"/>
      <c r="H26" s="71"/>
      <c r="I26" s="71"/>
      <c r="J26" s="79"/>
      <c r="K26" s="54"/>
      <c r="L26" s="25"/>
      <c r="M26" s="47"/>
      <c r="N26" s="47"/>
      <c r="O26" s="50"/>
      <c r="P26" s="50"/>
      <c r="Q26" s="47"/>
      <c r="R26" s="50"/>
      <c r="S26" s="47"/>
      <c r="T26" s="50"/>
      <c r="U26" s="25"/>
      <c r="V26" s="50"/>
      <c r="W26" s="25"/>
    </row>
    <row r="27" spans="1:23" ht="15.75" customHeight="1">
      <c r="A27" s="55" t="s">
        <v>71</v>
      </c>
      <c r="B27" s="63" t="s">
        <v>1</v>
      </c>
      <c r="C27" s="58">
        <f>2100000/C26</f>
        <v>8.660254037844386</v>
      </c>
      <c r="D27" s="71"/>
      <c r="E27" s="71"/>
      <c r="F27" s="71"/>
      <c r="G27" s="71"/>
      <c r="H27" s="71"/>
      <c r="I27" s="71"/>
      <c r="J27" s="79"/>
      <c r="K27" s="54"/>
      <c r="L27" s="25"/>
      <c r="M27" s="47"/>
      <c r="N27" s="47"/>
      <c r="O27" s="50"/>
      <c r="P27" s="50"/>
      <c r="Q27" s="47"/>
      <c r="R27" s="50"/>
      <c r="S27" s="47"/>
      <c r="T27" s="50"/>
      <c r="U27" s="25"/>
      <c r="V27" s="50"/>
      <c r="W27" s="25"/>
    </row>
    <row r="28" spans="1:23" ht="15.75" customHeight="1">
      <c r="A28" s="82" t="s">
        <v>75</v>
      </c>
      <c r="B28" s="56"/>
      <c r="C28" s="64"/>
      <c r="D28" s="64"/>
      <c r="E28" s="83"/>
      <c r="F28" s="83"/>
      <c r="G28" s="83"/>
      <c r="H28" s="83"/>
      <c r="I28" s="84"/>
      <c r="J28" s="79"/>
      <c r="K28" s="54"/>
      <c r="L28" s="25"/>
      <c r="M28" s="47"/>
      <c r="N28" s="47"/>
      <c r="O28" s="50"/>
      <c r="P28" s="50"/>
      <c r="Q28" s="47"/>
      <c r="R28" s="50"/>
      <c r="S28" s="47"/>
      <c r="T28" s="50"/>
      <c r="U28" s="25"/>
      <c r="V28" s="50"/>
      <c r="W28" s="25"/>
    </row>
    <row r="29" spans="1:23" ht="15.75" customHeight="1">
      <c r="A29" s="106" t="s">
        <v>76</v>
      </c>
      <c r="B29" s="58"/>
      <c r="C29" s="132"/>
      <c r="D29" s="64"/>
      <c r="E29" s="22"/>
      <c r="F29" s="22"/>
      <c r="G29" s="40"/>
      <c r="H29" s="40"/>
      <c r="I29" s="45"/>
      <c r="J29" s="79"/>
      <c r="K29" s="54"/>
      <c r="L29" s="25"/>
      <c r="M29" s="47"/>
      <c r="N29" s="47"/>
      <c r="O29" s="50"/>
      <c r="P29" s="50"/>
      <c r="Q29" s="47"/>
      <c r="R29" s="50"/>
      <c r="S29" s="47"/>
      <c r="T29" s="50"/>
      <c r="U29" s="25"/>
      <c r="V29" s="50"/>
      <c r="W29" s="25"/>
    </row>
    <row r="30" spans="1:23" ht="15.75" customHeight="1">
      <c r="A30" s="55" t="s">
        <v>72</v>
      </c>
      <c r="B30" s="58" t="s">
        <v>1</v>
      </c>
      <c r="C30" s="80">
        <v>10</v>
      </c>
      <c r="D30" s="64" t="s">
        <v>0</v>
      </c>
      <c r="E30" s="22"/>
      <c r="F30" s="22"/>
      <c r="G30" s="40"/>
      <c r="H30" s="40"/>
      <c r="I30" s="45"/>
      <c r="J30" s="79"/>
      <c r="K30" s="54"/>
      <c r="L30" s="25"/>
      <c r="M30" s="47"/>
      <c r="N30" s="47"/>
      <c r="O30" s="50"/>
      <c r="P30" s="50"/>
      <c r="Q30" s="47"/>
      <c r="R30" s="50"/>
      <c r="S30" s="47"/>
      <c r="T30" s="50"/>
      <c r="U30" s="25"/>
      <c r="V30" s="50"/>
      <c r="W30" s="25"/>
    </row>
    <row r="31" spans="1:23" ht="15.75" customHeight="1">
      <c r="A31" s="55" t="s">
        <v>73</v>
      </c>
      <c r="B31" s="58" t="s">
        <v>1</v>
      </c>
      <c r="C31" s="80">
        <v>2</v>
      </c>
      <c r="D31" s="64" t="s">
        <v>0</v>
      </c>
      <c r="E31" s="64"/>
      <c r="F31" s="64"/>
      <c r="G31" s="64"/>
      <c r="H31" s="64"/>
      <c r="I31" s="64"/>
      <c r="J31" s="79"/>
      <c r="K31" s="53"/>
      <c r="L31" s="25"/>
      <c r="M31" s="49"/>
      <c r="N31" s="47"/>
      <c r="O31" s="50"/>
      <c r="P31" s="50"/>
      <c r="Q31" s="47"/>
      <c r="R31" s="50"/>
      <c r="S31" s="47"/>
      <c r="T31" s="50"/>
      <c r="U31" s="25"/>
      <c r="V31" s="50"/>
      <c r="W31" s="25"/>
    </row>
    <row r="32" spans="1:23" ht="15.75" customHeight="1">
      <c r="A32" s="55" t="s">
        <v>79</v>
      </c>
      <c r="B32" s="58" t="s">
        <v>1</v>
      </c>
      <c r="C32" s="80">
        <v>10</v>
      </c>
      <c r="D32" s="64" t="s">
        <v>0</v>
      </c>
      <c r="E32" s="64"/>
      <c r="F32" s="64"/>
      <c r="G32" s="64"/>
      <c r="H32" s="64"/>
      <c r="I32" s="64"/>
      <c r="J32" s="79"/>
      <c r="K32" s="53"/>
      <c r="L32" s="25"/>
      <c r="M32" s="49"/>
      <c r="N32" s="47"/>
      <c r="O32" s="50"/>
      <c r="P32" s="50"/>
      <c r="Q32" s="47"/>
      <c r="R32" s="50"/>
      <c r="S32" s="47"/>
      <c r="T32" s="50"/>
      <c r="U32" s="25"/>
      <c r="V32" s="50"/>
      <c r="W32" s="25"/>
    </row>
    <row r="33" spans="1:23" ht="15.75" customHeight="1">
      <c r="A33" s="106" t="s">
        <v>65</v>
      </c>
      <c r="B33" s="58"/>
      <c r="C33" s="132"/>
      <c r="D33" s="64"/>
      <c r="E33" s="64"/>
      <c r="F33" s="64"/>
      <c r="G33" s="64"/>
      <c r="H33" s="64"/>
      <c r="I33" s="84"/>
      <c r="J33" s="79"/>
      <c r="K33" s="53"/>
      <c r="L33" s="25"/>
      <c r="M33" s="49"/>
      <c r="N33" s="47"/>
      <c r="O33" s="50"/>
      <c r="P33" s="50"/>
      <c r="Q33" s="47"/>
      <c r="R33" s="50"/>
      <c r="S33" s="47"/>
      <c r="T33" s="50"/>
      <c r="U33" s="25"/>
      <c r="V33" s="50"/>
      <c r="W33" s="25"/>
    </row>
    <row r="34" spans="1:23" ht="15.75" customHeight="1">
      <c r="A34" s="55" t="s">
        <v>29</v>
      </c>
      <c r="B34" s="58" t="s">
        <v>1</v>
      </c>
      <c r="C34" s="85">
        <v>200</v>
      </c>
      <c r="D34" s="64" t="s">
        <v>2</v>
      </c>
      <c r="E34" s="64"/>
      <c r="F34" s="64"/>
      <c r="G34" s="64"/>
      <c r="H34" s="64"/>
      <c r="I34" s="84"/>
      <c r="J34" s="79"/>
      <c r="K34" s="53"/>
      <c r="L34" s="25"/>
      <c r="M34" s="49"/>
      <c r="N34" s="47"/>
      <c r="O34" s="50"/>
      <c r="P34" s="50"/>
      <c r="Q34" s="47"/>
      <c r="R34" s="50"/>
      <c r="S34" s="47"/>
      <c r="T34" s="50"/>
      <c r="U34" s="25"/>
      <c r="V34" s="50"/>
      <c r="W34" s="25"/>
    </row>
    <row r="35" spans="1:23" ht="15.75" customHeight="1">
      <c r="A35" s="55" t="s">
        <v>28</v>
      </c>
      <c r="B35" s="58" t="s">
        <v>1</v>
      </c>
      <c r="C35" s="85">
        <v>14</v>
      </c>
      <c r="D35" s="64" t="s">
        <v>2</v>
      </c>
      <c r="E35" s="83"/>
      <c r="F35" s="83"/>
      <c r="G35" s="83"/>
      <c r="H35" s="83"/>
      <c r="I35" s="84"/>
      <c r="J35" s="79"/>
      <c r="K35" s="49"/>
      <c r="L35" s="25"/>
      <c r="M35" s="49"/>
      <c r="N35" s="47"/>
      <c r="O35" s="50"/>
      <c r="P35" s="50"/>
      <c r="Q35" s="47"/>
      <c r="R35" s="50"/>
      <c r="S35" s="47"/>
      <c r="T35" s="50"/>
      <c r="U35" s="25"/>
      <c r="V35" s="50"/>
      <c r="W35" s="25"/>
    </row>
    <row r="36" spans="1:22" ht="15.75" customHeight="1">
      <c r="A36" s="55" t="s">
        <v>55</v>
      </c>
      <c r="B36" s="58" t="s">
        <v>1</v>
      </c>
      <c r="C36" s="85">
        <v>450</v>
      </c>
      <c r="D36" s="64" t="s">
        <v>2</v>
      </c>
      <c r="E36" s="83"/>
      <c r="F36" s="83"/>
      <c r="G36" s="83"/>
      <c r="H36" s="83"/>
      <c r="I36" s="84"/>
      <c r="J36" s="79"/>
      <c r="K36" s="40"/>
      <c r="L36" s="22"/>
      <c r="M36" s="40"/>
      <c r="N36" s="40"/>
      <c r="O36" s="40"/>
      <c r="P36" s="45"/>
      <c r="Q36" s="25"/>
      <c r="R36" s="40"/>
      <c r="S36" s="40"/>
      <c r="T36" s="40"/>
      <c r="U36" s="40"/>
      <c r="V36" s="40"/>
    </row>
    <row r="37" spans="1:22" ht="15.75" customHeight="1">
      <c r="A37" s="55" t="s">
        <v>54</v>
      </c>
      <c r="B37" s="58" t="s">
        <v>1</v>
      </c>
      <c r="C37" s="85">
        <v>6</v>
      </c>
      <c r="D37" s="64" t="s">
        <v>2</v>
      </c>
      <c r="E37" s="83"/>
      <c r="F37" s="83"/>
      <c r="G37" s="83"/>
      <c r="H37" s="83"/>
      <c r="I37" s="84"/>
      <c r="J37" s="79"/>
      <c r="K37" s="40"/>
      <c r="L37" s="22"/>
      <c r="M37" s="40"/>
      <c r="N37" s="40"/>
      <c r="O37" s="40"/>
      <c r="P37" s="45"/>
      <c r="Q37" s="25"/>
      <c r="R37" s="40"/>
      <c r="S37" s="40"/>
      <c r="T37" s="40"/>
      <c r="U37" s="40"/>
      <c r="V37" s="40"/>
    </row>
    <row r="38" spans="1:22" ht="15.75" customHeight="1">
      <c r="A38" s="55" t="s">
        <v>30</v>
      </c>
      <c r="B38" s="58" t="s">
        <v>1</v>
      </c>
      <c r="C38" s="85">
        <v>200</v>
      </c>
      <c r="D38" s="64" t="s">
        <v>2</v>
      </c>
      <c r="E38" s="83"/>
      <c r="F38" s="83"/>
      <c r="G38" s="83"/>
      <c r="H38" s="83"/>
      <c r="I38" s="84"/>
      <c r="J38" s="79"/>
      <c r="K38" s="40"/>
      <c r="L38" s="22"/>
      <c r="M38" s="40"/>
      <c r="N38" s="40"/>
      <c r="O38" s="40"/>
      <c r="P38" s="45"/>
      <c r="Q38" s="25"/>
      <c r="R38" s="40"/>
      <c r="S38" s="40"/>
      <c r="T38" s="40"/>
      <c r="U38" s="40"/>
      <c r="V38" s="40"/>
    </row>
    <row r="39" spans="1:22" ht="15.75" customHeight="1">
      <c r="A39" s="55" t="s">
        <v>31</v>
      </c>
      <c r="B39" s="58" t="s">
        <v>1</v>
      </c>
      <c r="C39" s="85">
        <v>14</v>
      </c>
      <c r="D39" s="64" t="s">
        <v>2</v>
      </c>
      <c r="E39" s="83"/>
      <c r="F39" s="83"/>
      <c r="G39" s="83"/>
      <c r="H39" s="83"/>
      <c r="I39" s="84"/>
      <c r="J39" s="79"/>
      <c r="K39" s="40"/>
      <c r="L39" s="22"/>
      <c r="M39" s="22"/>
      <c r="N39" s="40"/>
      <c r="O39" s="40"/>
      <c r="P39" s="45"/>
      <c r="Q39" s="40"/>
      <c r="R39" s="40"/>
      <c r="S39" s="40"/>
      <c r="T39" s="40"/>
      <c r="U39" s="40"/>
      <c r="V39" s="40"/>
    </row>
    <row r="40" spans="1:22" ht="15.75" customHeight="1">
      <c r="A40" s="106" t="s">
        <v>66</v>
      </c>
      <c r="B40" s="58"/>
      <c r="C40" s="132"/>
      <c r="D40" s="64"/>
      <c r="E40" s="83"/>
      <c r="F40" s="83"/>
      <c r="G40" s="83"/>
      <c r="H40" s="83"/>
      <c r="I40" s="84"/>
      <c r="J40" s="79"/>
      <c r="K40" s="40"/>
      <c r="L40" s="64"/>
      <c r="M40" s="64"/>
      <c r="N40" s="64"/>
      <c r="O40" s="64"/>
      <c r="P40" s="64"/>
      <c r="Q40" s="40"/>
      <c r="R40" s="40"/>
      <c r="S40" s="40"/>
      <c r="T40" s="40"/>
      <c r="U40" s="40"/>
      <c r="V40" s="40"/>
    </row>
    <row r="41" spans="1:23" ht="15.75" customHeight="1">
      <c r="A41" s="55" t="s">
        <v>74</v>
      </c>
      <c r="B41" s="58" t="s">
        <v>1</v>
      </c>
      <c r="C41" s="85">
        <v>120</v>
      </c>
      <c r="D41" s="64" t="s">
        <v>2</v>
      </c>
      <c r="E41" s="83"/>
      <c r="F41" s="83"/>
      <c r="G41" s="83"/>
      <c r="H41" s="83"/>
      <c r="I41" s="84"/>
      <c r="J41" s="79"/>
      <c r="K41" s="49"/>
      <c r="L41" s="64"/>
      <c r="M41" s="64"/>
      <c r="N41" s="64"/>
      <c r="O41" s="64"/>
      <c r="P41" s="64"/>
      <c r="Q41" s="47"/>
      <c r="R41" s="50"/>
      <c r="S41" s="47"/>
      <c r="T41" s="50"/>
      <c r="U41" s="25"/>
      <c r="V41" s="50"/>
      <c r="W41" s="25"/>
    </row>
    <row r="42" spans="1:23" ht="15.75" customHeight="1">
      <c r="A42" s="55" t="s">
        <v>77</v>
      </c>
      <c r="B42" s="58" t="s">
        <v>1</v>
      </c>
      <c r="C42" s="133">
        <f>MIN(C30*1000/8,C31*1000,(6*C41))</f>
        <v>720</v>
      </c>
      <c r="D42" s="64" t="s">
        <v>2</v>
      </c>
      <c r="E42" s="25"/>
      <c r="F42" s="49"/>
      <c r="G42" s="47"/>
      <c r="H42" s="50"/>
      <c r="I42" s="50"/>
      <c r="J42" s="79"/>
      <c r="K42" s="49"/>
      <c r="L42" s="64"/>
      <c r="M42" s="64"/>
      <c r="N42" s="64"/>
      <c r="O42" s="64"/>
      <c r="P42" s="84"/>
      <c r="Q42" s="47"/>
      <c r="R42" s="50"/>
      <c r="S42" s="47"/>
      <c r="T42" s="50"/>
      <c r="U42" s="25"/>
      <c r="V42" s="50"/>
      <c r="W42" s="25"/>
    </row>
    <row r="43" spans="1:23" ht="15.75" customHeight="1">
      <c r="A43" s="55" t="s">
        <v>4</v>
      </c>
      <c r="B43" s="58" t="s">
        <v>1</v>
      </c>
      <c r="C43" s="80">
        <v>55</v>
      </c>
      <c r="D43" s="64" t="s">
        <v>2</v>
      </c>
      <c r="E43" s="83"/>
      <c r="F43" s="44" t="s">
        <v>122</v>
      </c>
      <c r="H43" s="83"/>
      <c r="I43" s="84"/>
      <c r="J43" s="79"/>
      <c r="K43" s="49"/>
      <c r="L43" s="64"/>
      <c r="M43" s="64"/>
      <c r="N43" s="64"/>
      <c r="O43" s="64"/>
      <c r="P43" s="84"/>
      <c r="Q43" s="47"/>
      <c r="R43" s="50"/>
      <c r="S43" s="47"/>
      <c r="T43" s="50"/>
      <c r="U43" s="25"/>
      <c r="V43" s="50"/>
      <c r="W43" s="25"/>
    </row>
    <row r="44" spans="1:23" ht="15.75" customHeight="1">
      <c r="A44" s="55" t="s">
        <v>78</v>
      </c>
      <c r="B44" s="58" t="s">
        <v>1</v>
      </c>
      <c r="C44" s="107">
        <f>C41-C43</f>
        <v>65</v>
      </c>
      <c r="D44" s="64" t="s">
        <v>2</v>
      </c>
      <c r="E44" s="64"/>
      <c r="F44" s="83" t="s">
        <v>82</v>
      </c>
      <c r="G44" s="117" t="s">
        <v>117</v>
      </c>
      <c r="H44" s="64"/>
      <c r="I44" s="64"/>
      <c r="J44" s="79"/>
      <c r="K44" s="47"/>
      <c r="L44" s="83"/>
      <c r="M44" s="83"/>
      <c r="N44" s="83"/>
      <c r="O44" s="83"/>
      <c r="P44" s="84"/>
      <c r="Q44" s="47"/>
      <c r="R44" s="50"/>
      <c r="S44" s="47"/>
      <c r="T44" s="50"/>
      <c r="U44" s="25"/>
      <c r="V44" s="50"/>
      <c r="W44" s="25"/>
    </row>
    <row r="45" spans="1:23" ht="15.75" customHeight="1">
      <c r="A45" s="82" t="s">
        <v>80</v>
      </c>
      <c r="B45" s="56"/>
      <c r="C45" s="86"/>
      <c r="D45" s="64"/>
      <c r="E45" s="83"/>
      <c r="F45" s="83"/>
      <c r="G45" s="83"/>
      <c r="H45" s="83"/>
      <c r="I45" s="87"/>
      <c r="J45" s="79"/>
      <c r="K45" s="49"/>
      <c r="L45" s="83"/>
      <c r="M45" s="83"/>
      <c r="N45" s="83"/>
      <c r="O45" s="83"/>
      <c r="P45" s="84"/>
      <c r="Q45" s="47"/>
      <c r="R45" s="50"/>
      <c r="S45" s="47"/>
      <c r="T45" s="50"/>
      <c r="U45" s="25"/>
      <c r="V45" s="50"/>
      <c r="W45" s="25"/>
    </row>
    <row r="46" spans="1:23" ht="15.75" customHeight="1">
      <c r="A46" s="106" t="s">
        <v>81</v>
      </c>
      <c r="B46" s="56"/>
      <c r="C46" s="86"/>
      <c r="D46" s="64"/>
      <c r="E46" s="83"/>
      <c r="F46" s="83"/>
      <c r="G46" s="83"/>
      <c r="H46" s="83"/>
      <c r="I46" s="87"/>
      <c r="J46" s="79"/>
      <c r="K46" s="49"/>
      <c r="L46" s="83"/>
      <c r="M46" s="83"/>
      <c r="N46" s="83"/>
      <c r="O46" s="83"/>
      <c r="P46" s="84"/>
      <c r="Q46" s="47"/>
      <c r="R46" s="50"/>
      <c r="S46" s="47"/>
      <c r="T46" s="50"/>
      <c r="U46" s="25"/>
      <c r="V46" s="50"/>
      <c r="W46" s="25"/>
    </row>
    <row r="47" spans="1:23" ht="15.75" customHeight="1">
      <c r="A47" s="55" t="s">
        <v>62</v>
      </c>
      <c r="B47" s="58" t="s">
        <v>1</v>
      </c>
      <c r="C47" s="56">
        <f>(C35+C36+C39)/10-C48</f>
        <v>23.9</v>
      </c>
      <c r="D47" s="71" t="s">
        <v>3</v>
      </c>
      <c r="E47" s="88"/>
      <c r="F47" s="88"/>
      <c r="G47" s="88"/>
      <c r="H47" s="88"/>
      <c r="I47" s="87"/>
      <c r="J47" s="79"/>
      <c r="K47" s="47"/>
      <c r="L47" s="83"/>
      <c r="M47" s="83"/>
      <c r="N47" s="83"/>
      <c r="O47" s="83"/>
      <c r="P47" s="84"/>
      <c r="Q47" s="47"/>
      <c r="R47" s="50"/>
      <c r="S47" s="47"/>
      <c r="T47" s="50"/>
      <c r="U47" s="25"/>
      <c r="V47" s="50"/>
      <c r="W47" s="25"/>
    </row>
    <row r="48" spans="1:23" ht="15.75" customHeight="1">
      <c r="A48" s="55" t="s">
        <v>63</v>
      </c>
      <c r="B48" s="58" t="s">
        <v>1</v>
      </c>
      <c r="C48" s="56">
        <f>((C34*C35*(C39+C36+C35/2)+C36*C37*(C39+C36/2)+C38*C39*C39/2)/(C34*C35+C36*C37+C38*C39))/10</f>
        <v>23.9</v>
      </c>
      <c r="D48" s="71" t="s">
        <v>3</v>
      </c>
      <c r="E48" s="88"/>
      <c r="F48" s="88"/>
      <c r="G48" s="88"/>
      <c r="H48" s="88"/>
      <c r="I48" s="87"/>
      <c r="J48" s="79"/>
      <c r="K48" s="47"/>
      <c r="L48" s="83"/>
      <c r="M48" s="83"/>
      <c r="N48" s="83"/>
      <c r="O48" s="83"/>
      <c r="P48" s="84"/>
      <c r="Q48" s="47"/>
      <c r="R48" s="50"/>
      <c r="S48" s="47"/>
      <c r="T48" s="50"/>
      <c r="U48" s="25"/>
      <c r="V48" s="50"/>
      <c r="W48" s="25"/>
    </row>
    <row r="49" spans="1:23" ht="15.75" customHeight="1">
      <c r="A49" s="55" t="s">
        <v>86</v>
      </c>
      <c r="B49" s="58" t="s">
        <v>1</v>
      </c>
      <c r="C49" s="56">
        <f>(C34*C35+C36*C37+C38*C39)/100</f>
        <v>83</v>
      </c>
      <c r="D49" s="64" t="s">
        <v>6</v>
      </c>
      <c r="E49" s="64"/>
      <c r="F49" s="64"/>
      <c r="G49" s="64"/>
      <c r="H49" s="64"/>
      <c r="I49" s="87"/>
      <c r="J49" s="79"/>
      <c r="K49" s="47"/>
      <c r="L49" s="83"/>
      <c r="M49" s="83"/>
      <c r="N49" s="83"/>
      <c r="O49" s="83"/>
      <c r="P49" s="84"/>
      <c r="Q49" s="47"/>
      <c r="R49" s="50"/>
      <c r="S49" s="47"/>
      <c r="T49" s="50"/>
      <c r="U49" s="25"/>
      <c r="V49" s="50"/>
      <c r="W49" s="25"/>
    </row>
    <row r="50" spans="1:23" ht="15.75" customHeight="1">
      <c r="A50" s="55" t="s">
        <v>89</v>
      </c>
      <c r="B50" s="58" t="s">
        <v>1</v>
      </c>
      <c r="C50" s="56">
        <f>((C34*C35^3/12+C34*C35*(C39+C36+C35/2-C48*10)^2)+(C38*C39^3/12+C38*C39*(C39/2-C48*10)^2)+(C36^3*C37/12+C36*C37*(C39+C36/2-C48*10)^2))/10000</f>
        <v>34706.83666666667</v>
      </c>
      <c r="D50" s="64" t="s">
        <v>9</v>
      </c>
      <c r="E50" s="64"/>
      <c r="F50" s="64"/>
      <c r="G50" s="64"/>
      <c r="H50" s="64"/>
      <c r="I50" s="87"/>
      <c r="J50" s="79"/>
      <c r="K50" s="47"/>
      <c r="L50" s="83"/>
      <c r="M50" s="83"/>
      <c r="N50" s="83"/>
      <c r="O50" s="83"/>
      <c r="P50" s="84"/>
      <c r="Q50" s="47"/>
      <c r="R50" s="50"/>
      <c r="S50" s="47"/>
      <c r="T50" s="50"/>
      <c r="U50" s="25"/>
      <c r="V50" s="50"/>
      <c r="W50" s="25"/>
    </row>
    <row r="51" spans="1:23" ht="15.75" customHeight="1">
      <c r="A51" s="55" t="s">
        <v>90</v>
      </c>
      <c r="B51" s="58" t="s">
        <v>1</v>
      </c>
      <c r="C51" s="56">
        <f>C50/C47</f>
        <v>1452.1688981868901</v>
      </c>
      <c r="D51" s="64" t="s">
        <v>7</v>
      </c>
      <c r="E51" s="83"/>
      <c r="F51" s="83"/>
      <c r="G51" s="83"/>
      <c r="H51" s="83"/>
      <c r="I51" s="87"/>
      <c r="J51" s="89"/>
      <c r="K51" s="49"/>
      <c r="L51" s="25"/>
      <c r="M51" s="49"/>
      <c r="N51" s="47"/>
      <c r="O51" s="50"/>
      <c r="P51" s="50"/>
      <c r="Q51" s="47"/>
      <c r="R51" s="50"/>
      <c r="S51" s="47"/>
      <c r="T51" s="50"/>
      <c r="U51" s="25"/>
      <c r="V51" s="50"/>
      <c r="W51" s="25"/>
    </row>
    <row r="52" spans="1:22" ht="15.75" customHeight="1">
      <c r="A52" s="55" t="s">
        <v>91</v>
      </c>
      <c r="B52" s="57" t="s">
        <v>1</v>
      </c>
      <c r="C52" s="56">
        <f>C50/C48</f>
        <v>1452.1688981868901</v>
      </c>
      <c r="D52" s="64" t="s">
        <v>7</v>
      </c>
      <c r="E52" s="83"/>
      <c r="F52" s="83"/>
      <c r="G52" s="83"/>
      <c r="H52" s="83"/>
      <c r="I52" s="87"/>
      <c r="J52" s="89"/>
      <c r="K52" s="27"/>
      <c r="L52" s="22"/>
      <c r="M52" s="22"/>
      <c r="N52" s="40"/>
      <c r="O52" s="40"/>
      <c r="P52" s="40"/>
      <c r="Q52" s="40"/>
      <c r="R52" s="40"/>
      <c r="S52" s="40"/>
      <c r="T52" s="40"/>
      <c r="U52" s="40"/>
      <c r="V52" s="40"/>
    </row>
    <row r="53" spans="1:22" ht="15.75" customHeight="1">
      <c r="A53" s="106" t="s">
        <v>83</v>
      </c>
      <c r="B53" s="58"/>
      <c r="C53" s="56"/>
      <c r="D53" s="64"/>
      <c r="E53" s="83"/>
      <c r="F53" s="83"/>
      <c r="G53" s="83"/>
      <c r="H53" s="83"/>
      <c r="I53" s="87"/>
      <c r="J53" s="89"/>
      <c r="K53" s="27"/>
      <c r="L53" s="22"/>
      <c r="M53" s="22"/>
      <c r="N53" s="40"/>
      <c r="O53" s="40"/>
      <c r="P53" s="40"/>
      <c r="Q53" s="40"/>
      <c r="R53" s="40"/>
      <c r="S53" s="40"/>
      <c r="T53" s="40"/>
      <c r="U53" s="40"/>
      <c r="V53" s="40"/>
    </row>
    <row r="54" spans="1:22" ht="15.75" customHeight="1">
      <c r="A54" s="55" t="s">
        <v>84</v>
      </c>
      <c r="B54" s="58" t="s">
        <v>1</v>
      </c>
      <c r="C54" s="56">
        <f>C48+C47-C55</f>
        <v>7.57855554148972</v>
      </c>
      <c r="D54" s="71" t="s">
        <v>3</v>
      </c>
      <c r="E54" s="83"/>
      <c r="F54" s="83"/>
      <c r="G54" s="83"/>
      <c r="H54" s="83"/>
      <c r="I54" s="87"/>
      <c r="J54" s="89"/>
      <c r="K54" s="27"/>
      <c r="L54" s="22"/>
      <c r="M54" s="22"/>
      <c r="N54" s="40"/>
      <c r="O54" s="40"/>
      <c r="P54" s="40"/>
      <c r="Q54" s="40"/>
      <c r="R54" s="40"/>
      <c r="S54" s="40"/>
      <c r="T54" s="40"/>
      <c r="U54" s="40"/>
      <c r="V54" s="40"/>
    </row>
    <row r="55" spans="1:22" ht="15.75" customHeight="1">
      <c r="A55" s="55" t="s">
        <v>85</v>
      </c>
      <c r="B55" s="58" t="s">
        <v>1</v>
      </c>
      <c r="C55" s="56">
        <f>(C49*C48+(C57-C49)*(C48+C47+C41/20))/C57</f>
        <v>40.22144445851028</v>
      </c>
      <c r="D55" s="71" t="s">
        <v>3</v>
      </c>
      <c r="E55" s="83"/>
      <c r="F55" s="83"/>
      <c r="G55" s="83"/>
      <c r="H55" s="83"/>
      <c r="I55" s="87"/>
      <c r="J55" s="89"/>
      <c r="K55" s="27"/>
      <c r="L55" s="22"/>
      <c r="M55" s="22"/>
      <c r="N55" s="40"/>
      <c r="O55" s="40"/>
      <c r="P55" s="40"/>
      <c r="Q55" s="40"/>
      <c r="R55" s="40"/>
      <c r="S55" s="40"/>
      <c r="T55" s="40"/>
      <c r="U55" s="40"/>
      <c r="V55" s="40"/>
    </row>
    <row r="56" spans="1:22" ht="15.75" customHeight="1">
      <c r="A56" s="55" t="s">
        <v>92</v>
      </c>
      <c r="B56" s="58" t="s">
        <v>1</v>
      </c>
      <c r="C56" s="56">
        <f>C54+C41/10</f>
        <v>19.57855554148972</v>
      </c>
      <c r="D56" s="71" t="s">
        <v>3</v>
      </c>
      <c r="E56" s="83"/>
      <c r="F56" s="83"/>
      <c r="G56" s="83"/>
      <c r="H56" s="83"/>
      <c r="I56" s="87"/>
      <c r="J56" s="89"/>
      <c r="K56" s="27"/>
      <c r="L56" s="22"/>
      <c r="M56" s="22"/>
      <c r="N56" s="40"/>
      <c r="O56" s="40"/>
      <c r="P56" s="40"/>
      <c r="Q56" s="40"/>
      <c r="R56" s="40"/>
      <c r="S56" s="40"/>
      <c r="T56" s="40"/>
      <c r="U56" s="40"/>
      <c r="V56" s="40"/>
    </row>
    <row r="57" spans="1:22" ht="15.75" customHeight="1">
      <c r="A57" s="55" t="s">
        <v>87</v>
      </c>
      <c r="B57" s="58" t="s">
        <v>1</v>
      </c>
      <c r="C57" s="56">
        <f>C49+(C42*C41)/(C27*100)</f>
        <v>182.76612651596736</v>
      </c>
      <c r="D57" s="64" t="s">
        <v>6</v>
      </c>
      <c r="E57" s="83"/>
      <c r="F57" s="83"/>
      <c r="G57" s="83"/>
      <c r="H57" s="83"/>
      <c r="I57" s="87"/>
      <c r="J57" s="89"/>
      <c r="K57" s="27"/>
      <c r="L57" s="22"/>
      <c r="M57" s="22"/>
      <c r="N57" s="40"/>
      <c r="O57" s="40"/>
      <c r="P57" s="40"/>
      <c r="Q57" s="40"/>
      <c r="R57" s="40"/>
      <c r="S57" s="40"/>
      <c r="T57" s="40"/>
      <c r="U57" s="40"/>
      <c r="V57" s="40"/>
    </row>
    <row r="58" spans="1:22" ht="15.75" customHeight="1">
      <c r="A58" s="55" t="s">
        <v>88</v>
      </c>
      <c r="B58" s="58" t="s">
        <v>1</v>
      </c>
      <c r="C58" s="56">
        <f>(C50+C49*(C48-C55)^2)+((C42*C41^3/120000)+(C42/10)*(C41/10)*(C48+C47+C41/20-C55)^2)/C27</f>
        <v>76408.95889754323</v>
      </c>
      <c r="D58" s="64" t="s">
        <v>9</v>
      </c>
      <c r="E58" s="83"/>
      <c r="F58" s="83"/>
      <c r="G58" s="83"/>
      <c r="H58" s="83"/>
      <c r="I58" s="87"/>
      <c r="J58" s="89"/>
      <c r="K58" s="27"/>
      <c r="L58" s="22"/>
      <c r="M58" s="22"/>
      <c r="N58" s="40"/>
      <c r="O58" s="40"/>
      <c r="P58" s="40"/>
      <c r="Q58" s="40"/>
      <c r="R58" s="40"/>
      <c r="S58" s="40"/>
      <c r="T58" s="40"/>
      <c r="U58" s="40"/>
      <c r="V58" s="40"/>
    </row>
    <row r="59" spans="1:22" ht="15.75" customHeight="1">
      <c r="A59" s="55" t="s">
        <v>90</v>
      </c>
      <c r="B59" s="58" t="s">
        <v>1</v>
      </c>
      <c r="C59" s="56">
        <f>C58/C54</f>
        <v>10082.258878916058</v>
      </c>
      <c r="D59" s="64" t="s">
        <v>7</v>
      </c>
      <c r="E59" s="83"/>
      <c r="F59" s="83"/>
      <c r="G59" s="83"/>
      <c r="H59" s="83"/>
      <c r="I59" s="87"/>
      <c r="J59" s="89"/>
      <c r="K59" s="27"/>
      <c r="L59" s="22"/>
      <c r="M59" s="22"/>
      <c r="N59" s="40"/>
      <c r="O59" s="40"/>
      <c r="P59" s="40"/>
      <c r="Q59" s="40"/>
      <c r="R59" s="40"/>
      <c r="S59" s="40"/>
      <c r="T59" s="40"/>
      <c r="U59" s="40"/>
      <c r="V59" s="40"/>
    </row>
    <row r="60" spans="1:22" ht="15.75" customHeight="1">
      <c r="A60" s="55" t="s">
        <v>91</v>
      </c>
      <c r="B60" s="58" t="s">
        <v>1</v>
      </c>
      <c r="C60" s="56">
        <f>C58/C55</f>
        <v>1899.7069828350284</v>
      </c>
      <c r="D60" s="64" t="s">
        <v>7</v>
      </c>
      <c r="E60" s="83"/>
      <c r="F60" s="83"/>
      <c r="G60" s="83"/>
      <c r="H60" s="83"/>
      <c r="I60" s="87"/>
      <c r="J60" s="89"/>
      <c r="K60" s="27"/>
      <c r="L60" s="22"/>
      <c r="M60" s="22"/>
      <c r="N60" s="40"/>
      <c r="O60" s="40"/>
      <c r="P60" s="40"/>
      <c r="Q60" s="40"/>
      <c r="R60" s="40"/>
      <c r="S60" s="40"/>
      <c r="T60" s="40"/>
      <c r="U60" s="40"/>
      <c r="V60" s="40"/>
    </row>
    <row r="61" spans="1:22" ht="15.75" customHeight="1" thickBot="1">
      <c r="A61" s="136" t="s">
        <v>93</v>
      </c>
      <c r="B61" s="137" t="s">
        <v>1</v>
      </c>
      <c r="C61" s="138">
        <f>C58/C56</f>
        <v>3902.6862188899413</v>
      </c>
      <c r="D61" s="139" t="s">
        <v>7</v>
      </c>
      <c r="E61" s="140"/>
      <c r="F61" s="140"/>
      <c r="G61" s="140"/>
      <c r="H61" s="140"/>
      <c r="I61" s="141"/>
      <c r="J61" s="142"/>
      <c r="K61" s="27"/>
      <c r="L61" s="22"/>
      <c r="M61" s="22"/>
      <c r="N61" s="40"/>
      <c r="O61" s="40"/>
      <c r="P61" s="40"/>
      <c r="Q61" s="40"/>
      <c r="R61" s="40"/>
      <c r="S61" s="40"/>
      <c r="T61" s="40"/>
      <c r="U61" s="40"/>
      <c r="V61" s="40"/>
    </row>
    <row r="62" spans="1:22" ht="15.75" customHeight="1">
      <c r="A62" s="82" t="s">
        <v>95</v>
      </c>
      <c r="B62" s="67"/>
      <c r="C62" s="67"/>
      <c r="D62" s="64"/>
      <c r="E62" s="83"/>
      <c r="F62" s="83"/>
      <c r="G62" s="83"/>
      <c r="H62" s="83"/>
      <c r="I62" s="87"/>
      <c r="J62" s="90"/>
      <c r="K62" s="27"/>
      <c r="L62" s="35"/>
      <c r="M62" s="35"/>
      <c r="N62" s="46"/>
      <c r="R62" s="40"/>
      <c r="S62" s="40"/>
      <c r="T62" s="40"/>
      <c r="U62" s="40"/>
      <c r="V62" s="40"/>
    </row>
    <row r="63" spans="1:22" ht="15.75" customHeight="1">
      <c r="A63" s="109" t="s">
        <v>96</v>
      </c>
      <c r="B63" s="67"/>
      <c r="C63" s="67"/>
      <c r="D63" s="64"/>
      <c r="E63" s="83"/>
      <c r="F63" s="83"/>
      <c r="G63" s="83"/>
      <c r="H63" s="83"/>
      <c r="I63" s="84"/>
      <c r="J63" s="90"/>
      <c r="K63" s="27"/>
      <c r="L63" s="35"/>
      <c r="M63" s="35"/>
      <c r="N63" s="46"/>
      <c r="R63" s="40"/>
      <c r="S63" s="40"/>
      <c r="T63" s="40"/>
      <c r="U63" s="40"/>
      <c r="V63" s="40"/>
    </row>
    <row r="64" spans="1:22" ht="15.75" customHeight="1">
      <c r="A64" s="55" t="s">
        <v>97</v>
      </c>
      <c r="B64" s="63" t="s">
        <v>1</v>
      </c>
      <c r="C64" s="80">
        <v>9</v>
      </c>
      <c r="D64" s="64" t="s">
        <v>99</v>
      </c>
      <c r="E64" s="83"/>
      <c r="F64" s="83" t="s">
        <v>101</v>
      </c>
      <c r="G64" s="83"/>
      <c r="H64" s="83"/>
      <c r="I64" s="84"/>
      <c r="J64" s="90"/>
      <c r="K64" s="27"/>
      <c r="L64" s="35"/>
      <c r="M64" s="35"/>
      <c r="N64" s="46"/>
      <c r="R64" s="40"/>
      <c r="S64" s="40"/>
      <c r="T64" s="40"/>
      <c r="U64" s="40"/>
      <c r="V64" s="40"/>
    </row>
    <row r="65" spans="1:22" ht="15.75" customHeight="1">
      <c r="A65" s="55" t="s">
        <v>98</v>
      </c>
      <c r="B65" s="63" t="s">
        <v>1</v>
      </c>
      <c r="C65" s="80">
        <v>3.5</v>
      </c>
      <c r="D65" s="64" t="s">
        <v>100</v>
      </c>
      <c r="E65" s="83"/>
      <c r="F65" s="83" t="s">
        <v>121</v>
      </c>
      <c r="G65" s="83"/>
      <c r="H65" s="83"/>
      <c r="I65" s="84"/>
      <c r="J65" s="90"/>
      <c r="K65" s="27"/>
      <c r="L65" s="35"/>
      <c r="M65" s="35"/>
      <c r="N65" s="46"/>
      <c r="R65" s="40"/>
      <c r="S65" s="40"/>
      <c r="T65" s="40"/>
      <c r="U65" s="40"/>
      <c r="V65" s="40"/>
    </row>
    <row r="66" spans="1:22" ht="15.75" customHeight="1">
      <c r="A66" s="109" t="s">
        <v>102</v>
      </c>
      <c r="B66" s="63"/>
      <c r="C66" s="86"/>
      <c r="D66" s="64"/>
      <c r="E66" s="83"/>
      <c r="F66" s="83"/>
      <c r="G66" s="83"/>
      <c r="H66" s="83"/>
      <c r="I66" s="84"/>
      <c r="J66" s="90"/>
      <c r="K66" s="27"/>
      <c r="L66" s="35"/>
      <c r="M66" s="35"/>
      <c r="N66" s="46"/>
      <c r="R66" s="40"/>
      <c r="S66" s="40"/>
      <c r="T66" s="40"/>
      <c r="U66" s="40"/>
      <c r="V66" s="40"/>
    </row>
    <row r="67" spans="1:22" ht="15.75" customHeight="1">
      <c r="A67" s="55" t="s">
        <v>103</v>
      </c>
      <c r="B67" s="63" t="s">
        <v>1</v>
      </c>
      <c r="C67" s="80">
        <v>13</v>
      </c>
      <c r="D67" s="64" t="s">
        <v>99</v>
      </c>
      <c r="E67" s="83"/>
      <c r="F67" s="83" t="s">
        <v>105</v>
      </c>
      <c r="G67" s="83"/>
      <c r="H67" s="83"/>
      <c r="I67" s="84"/>
      <c r="J67" s="90"/>
      <c r="K67" s="27"/>
      <c r="L67" s="35"/>
      <c r="M67" s="35"/>
      <c r="N67" s="46"/>
      <c r="R67" s="40"/>
      <c r="S67" s="40"/>
      <c r="T67" s="40"/>
      <c r="U67" s="40"/>
      <c r="V67" s="40"/>
    </row>
    <row r="68" spans="1:22" ht="15.75" customHeight="1">
      <c r="A68" s="55" t="s">
        <v>104</v>
      </c>
      <c r="B68" s="63" t="s">
        <v>1</v>
      </c>
      <c r="C68" s="80">
        <v>6.5</v>
      </c>
      <c r="D68" s="64" t="s">
        <v>100</v>
      </c>
      <c r="E68" s="83"/>
      <c r="F68" s="83" t="s">
        <v>120</v>
      </c>
      <c r="G68" s="83"/>
      <c r="H68" s="83"/>
      <c r="I68" s="84"/>
      <c r="J68" s="90"/>
      <c r="K68" s="27"/>
      <c r="L68" s="35"/>
      <c r="M68" s="35"/>
      <c r="N68" s="46"/>
      <c r="R68" s="40"/>
      <c r="S68" s="40"/>
      <c r="T68" s="40"/>
      <c r="U68" s="40"/>
      <c r="V68" s="40"/>
    </row>
    <row r="69" spans="1:22" ht="15.75" customHeight="1">
      <c r="A69" s="82" t="s">
        <v>94</v>
      </c>
      <c r="B69" s="63"/>
      <c r="C69" s="86"/>
      <c r="D69" s="64"/>
      <c r="E69" s="83"/>
      <c r="F69" s="83"/>
      <c r="G69" s="83"/>
      <c r="H69" s="83"/>
      <c r="I69" s="84"/>
      <c r="J69" s="90"/>
      <c r="K69" s="27"/>
      <c r="L69" s="35"/>
      <c r="M69" s="35"/>
      <c r="N69" s="46"/>
      <c r="R69" s="40"/>
      <c r="S69" s="40"/>
      <c r="T69" s="40"/>
      <c r="U69" s="40"/>
      <c r="V69" s="40"/>
    </row>
    <row r="70" spans="1:22" ht="15.75" customHeight="1">
      <c r="A70" s="109" t="s">
        <v>107</v>
      </c>
      <c r="B70" s="63"/>
      <c r="C70" s="86"/>
      <c r="D70" s="64"/>
      <c r="E70" s="83"/>
      <c r="F70" s="83"/>
      <c r="G70" s="83"/>
      <c r="H70" s="83"/>
      <c r="I70" s="84"/>
      <c r="J70" s="90"/>
      <c r="K70" s="27"/>
      <c r="L70" s="35"/>
      <c r="M70" s="35"/>
      <c r="N70" s="46"/>
      <c r="R70" s="40"/>
      <c r="S70" s="40"/>
      <c r="T70" s="40"/>
      <c r="U70" s="40"/>
      <c r="V70" s="40"/>
    </row>
    <row r="71" spans="1:22" ht="15.75" customHeight="1">
      <c r="A71" s="91" t="s">
        <v>20</v>
      </c>
      <c r="B71" s="92" t="s">
        <v>1</v>
      </c>
      <c r="C71" s="92">
        <f>C36/C37</f>
        <v>75</v>
      </c>
      <c r="D71" s="74" t="s">
        <v>32</v>
      </c>
      <c r="E71" s="93" t="str">
        <f>IF(C71&lt;(127/(C21)^0.5),"Compact",IF(C71&lt;(190/(C21)^0.5),"Non compact","Slender"))</f>
        <v>Compact</v>
      </c>
      <c r="F71" s="66"/>
      <c r="G71" s="66"/>
      <c r="H71" s="66"/>
      <c r="I71" s="84"/>
      <c r="J71" s="94" t="s">
        <v>46</v>
      </c>
      <c r="K71" s="27"/>
      <c r="L71" s="35"/>
      <c r="M71" s="35"/>
      <c r="N71" s="46"/>
      <c r="O71" s="46"/>
      <c r="P71" s="46"/>
      <c r="Q71" s="46"/>
      <c r="R71" s="40"/>
      <c r="S71" s="40"/>
      <c r="T71" s="40"/>
      <c r="U71" s="40"/>
      <c r="V71" s="40"/>
    </row>
    <row r="72" spans="1:22" ht="15.75" customHeight="1">
      <c r="A72" s="91" t="s">
        <v>21</v>
      </c>
      <c r="B72" s="92" t="s">
        <v>1</v>
      </c>
      <c r="C72" s="92">
        <f>MAX((C38/2-C37/2)/C39,(C34/2-C37/2)/C35)</f>
        <v>6.928571428571429</v>
      </c>
      <c r="D72" s="74" t="s">
        <v>33</v>
      </c>
      <c r="E72" s="93" t="str">
        <f>IF(C72&lt;(15.3/(C21)^0.5),"Compact",IF(C72&lt;(21/(C21)^0.5),"Non compact","Slender"))</f>
        <v>Compact</v>
      </c>
      <c r="F72" s="66"/>
      <c r="G72" s="66"/>
      <c r="H72" s="66"/>
      <c r="I72" s="84"/>
      <c r="J72" s="94" t="s">
        <v>47</v>
      </c>
      <c r="K72" s="27"/>
      <c r="L72" s="35"/>
      <c r="M72" s="35"/>
      <c r="N72" s="46"/>
      <c r="O72" s="46"/>
      <c r="P72" s="46"/>
      <c r="Q72" s="46"/>
      <c r="R72" s="40"/>
      <c r="S72" s="40"/>
      <c r="T72" s="40"/>
      <c r="U72" s="40"/>
      <c r="V72" s="40"/>
    </row>
    <row r="73" spans="1:22" ht="15.75" customHeight="1">
      <c r="A73" s="95"/>
      <c r="B73" s="96"/>
      <c r="C73" s="65"/>
      <c r="D73" s="74" t="s">
        <v>106</v>
      </c>
      <c r="E73" s="108" t="str">
        <f>IF(AND(E71="Compact",E72="Compact"),"Compact",IF(AND(E71&lt;&gt;"Slender",E72&lt;&gt;"Slender",OR(E71="Non compact",E72="Non compact")),"Non compact","Slender"))</f>
        <v>Compact</v>
      </c>
      <c r="F73" s="66"/>
      <c r="G73" s="66"/>
      <c r="H73" s="66"/>
      <c r="I73" s="84"/>
      <c r="J73" s="90"/>
      <c r="K73" s="27"/>
      <c r="L73" s="14"/>
      <c r="M73" s="14"/>
      <c r="O73" s="46"/>
      <c r="P73" s="46"/>
      <c r="Q73" s="46"/>
      <c r="R73" s="40"/>
      <c r="S73" s="40"/>
      <c r="T73" s="40"/>
      <c r="U73" s="40"/>
      <c r="V73" s="40"/>
    </row>
    <row r="74" spans="1:22" ht="15.75" customHeight="1">
      <c r="A74" s="55" t="s">
        <v>10</v>
      </c>
      <c r="B74" s="58" t="s">
        <v>1</v>
      </c>
      <c r="C74" s="97">
        <v>1.13</v>
      </c>
      <c r="D74" s="64"/>
      <c r="E74" s="64"/>
      <c r="F74" s="98"/>
      <c r="G74" s="98"/>
      <c r="H74" s="98"/>
      <c r="I74" s="81"/>
      <c r="J74" s="94" t="s">
        <v>48</v>
      </c>
      <c r="K74" s="27"/>
      <c r="L74" s="22"/>
      <c r="M74" s="22"/>
      <c r="N74" s="40"/>
      <c r="O74" s="40"/>
      <c r="P74" s="40"/>
      <c r="Q74" s="40"/>
      <c r="R74" s="40"/>
      <c r="S74" s="40"/>
      <c r="T74" s="40"/>
      <c r="U74" s="40"/>
      <c r="V74" s="40"/>
    </row>
    <row r="75" spans="1:22" ht="15.75" customHeight="1">
      <c r="A75" s="166" t="s">
        <v>5</v>
      </c>
      <c r="B75" s="167" t="s">
        <v>1</v>
      </c>
      <c r="C75" s="64" t="s">
        <v>18</v>
      </c>
      <c r="D75" s="64"/>
      <c r="E75" s="98"/>
      <c r="F75" s="56">
        <f>(20*(C34/1000))/(C21^0.5)</f>
        <v>2.581988897471611</v>
      </c>
      <c r="G75" s="64" t="s">
        <v>0</v>
      </c>
      <c r="H75" s="168">
        <f>MIN(F75,F76)</f>
        <v>2.581988897471611</v>
      </c>
      <c r="I75" s="169" t="s">
        <v>0</v>
      </c>
      <c r="J75" s="99" t="s">
        <v>49</v>
      </c>
      <c r="K75" s="27"/>
      <c r="L75" s="22"/>
      <c r="M75" s="22"/>
      <c r="N75" s="40"/>
      <c r="O75" s="40"/>
      <c r="P75" s="40"/>
      <c r="Q75" s="40"/>
      <c r="R75" s="40"/>
      <c r="S75" s="40"/>
      <c r="T75" s="40"/>
      <c r="U75" s="40"/>
      <c r="V75" s="40"/>
    </row>
    <row r="76" spans="1:22" ht="15.75" customHeight="1">
      <c r="A76" s="166"/>
      <c r="B76" s="167"/>
      <c r="C76" s="64" t="s">
        <v>19</v>
      </c>
      <c r="D76" s="64"/>
      <c r="E76" s="64"/>
      <c r="F76" s="56">
        <f>(1380*(C34*C35/100)/(C21*C36/10)*C74)/100</f>
        <v>4.042888888888888</v>
      </c>
      <c r="G76" s="64" t="s">
        <v>0</v>
      </c>
      <c r="H76" s="168"/>
      <c r="I76" s="169"/>
      <c r="J76" s="99" t="s">
        <v>50</v>
      </c>
      <c r="K76" s="27"/>
      <c r="L76" s="24" t="s">
        <v>23</v>
      </c>
      <c r="M76" s="24" t="s">
        <v>1</v>
      </c>
      <c r="N76" s="41">
        <f>MIN((800*C34*C35*C74)/(1000*C36*C32),0.58*C21)</f>
        <v>0.5624888888888888</v>
      </c>
      <c r="O76" s="22" t="s">
        <v>8</v>
      </c>
      <c r="P76" s="42" t="s">
        <v>24</v>
      </c>
      <c r="Q76" s="42" t="s">
        <v>1</v>
      </c>
      <c r="R76" s="40">
        <f>((C35*C34^3/12)+(C36*C37^3/36))/10000</f>
        <v>933.6033333333334</v>
      </c>
      <c r="S76" s="22" t="s">
        <v>9</v>
      </c>
      <c r="T76" s="40"/>
      <c r="U76" s="40"/>
      <c r="V76" s="40"/>
    </row>
    <row r="77" spans="1:22" ht="15.75" customHeight="1">
      <c r="A77" s="55"/>
      <c r="B77" s="164" t="str">
        <f>IF(AND(H75&lt;C32),"There is Lateral Torsional Buckling in the comp.flange","No Lateral Torsional Buckling accur")</f>
        <v>There is Lateral Torsional Buckling in the comp.flange</v>
      </c>
      <c r="C77" s="165"/>
      <c r="D77" s="165"/>
      <c r="E77" s="165"/>
      <c r="F77" s="165"/>
      <c r="G77" s="100"/>
      <c r="H77" s="71"/>
      <c r="I77" s="71"/>
      <c r="J77" s="79"/>
      <c r="K77" s="27"/>
      <c r="L77" s="24" t="s">
        <v>12</v>
      </c>
      <c r="M77" s="24" t="s">
        <v>1</v>
      </c>
      <c r="N77" s="42">
        <f>(C34*C35+C36*C37/6)/100</f>
        <v>32.5</v>
      </c>
      <c r="O77" s="22" t="s">
        <v>6</v>
      </c>
      <c r="P77" s="42" t="s">
        <v>11</v>
      </c>
      <c r="Q77" s="42" t="s">
        <v>1</v>
      </c>
      <c r="R77" s="40">
        <f>(R76/N77)^0.5</f>
        <v>5.359688088896257</v>
      </c>
      <c r="S77" s="22" t="s">
        <v>3</v>
      </c>
      <c r="T77" s="40"/>
      <c r="U77" s="40"/>
      <c r="V77" s="40"/>
    </row>
    <row r="78" spans="1:22" ht="15.75" customHeight="1">
      <c r="A78" s="55" t="s">
        <v>22</v>
      </c>
      <c r="B78" s="57" t="s">
        <v>1</v>
      </c>
      <c r="C78" s="57">
        <f>IF(B77="No Lateral Torsional Buckling accur",N84,N83)</f>
        <v>0.6841972242508754</v>
      </c>
      <c r="D78" s="23" t="s">
        <v>8</v>
      </c>
      <c r="E78" s="64"/>
      <c r="F78" s="152"/>
      <c r="G78" s="152"/>
      <c r="H78" s="102"/>
      <c r="I78" s="102"/>
      <c r="J78" s="103"/>
      <c r="K78" s="27"/>
      <c r="L78" s="24" t="s">
        <v>14</v>
      </c>
      <c r="M78" s="24" t="s">
        <v>1</v>
      </c>
      <c r="N78" s="42">
        <f>C32*100/R77</f>
        <v>186.57802159639</v>
      </c>
      <c r="O78" s="40"/>
      <c r="P78" s="42">
        <f>84*(C74/C21)^0.5</f>
        <v>57.63852878066892</v>
      </c>
      <c r="Q78" s="42">
        <f>188*(C74/C21)^0.5</f>
        <v>129.00051679483045</v>
      </c>
      <c r="R78" s="40"/>
      <c r="S78" s="22"/>
      <c r="T78" s="40"/>
      <c r="U78" s="40"/>
      <c r="V78" s="40"/>
    </row>
    <row r="79" spans="1:22" ht="15.75" customHeight="1">
      <c r="A79" s="109" t="s">
        <v>108</v>
      </c>
      <c r="B79" s="57"/>
      <c r="C79" s="57"/>
      <c r="D79" s="64"/>
      <c r="E79" s="64"/>
      <c r="F79" s="104"/>
      <c r="G79" s="100"/>
      <c r="H79" s="71"/>
      <c r="I79" s="71"/>
      <c r="J79" s="79"/>
      <c r="K79" s="27"/>
      <c r="L79" s="24" t="s">
        <v>13</v>
      </c>
      <c r="M79" s="24" t="s">
        <v>1</v>
      </c>
      <c r="N79" s="42">
        <f>0.58*C21</f>
        <v>1.392</v>
      </c>
      <c r="O79" s="22" t="s">
        <v>8</v>
      </c>
      <c r="P79" s="42"/>
      <c r="Q79" s="42"/>
      <c r="R79" s="40"/>
      <c r="S79" s="22"/>
      <c r="T79" s="40"/>
      <c r="U79" s="40"/>
      <c r="V79" s="40"/>
    </row>
    <row r="80" spans="1:22" ht="15.75" customHeight="1">
      <c r="A80" s="55" t="s">
        <v>109</v>
      </c>
      <c r="B80" s="58" t="s">
        <v>1</v>
      </c>
      <c r="C80" s="56">
        <f>C64*100/C51</f>
        <v>0.6197626192956602</v>
      </c>
      <c r="D80" s="23" t="s">
        <v>8</v>
      </c>
      <c r="E80" s="57" t="str">
        <f>IF(C80&lt;F80,"&lt;","&gt;")</f>
        <v>&lt;</v>
      </c>
      <c r="F80" s="57">
        <f>C78</f>
        <v>0.6841972242508754</v>
      </c>
      <c r="G80" s="23" t="s">
        <v>8</v>
      </c>
      <c r="H80" s="110" t="str">
        <f>IF(C80&lt;F80,"Safe","Unsafe")</f>
        <v>Safe</v>
      </c>
      <c r="I80" s="64"/>
      <c r="J80" s="79"/>
      <c r="K80" s="27"/>
      <c r="L80" s="24" t="s">
        <v>15</v>
      </c>
      <c r="M80" s="24" t="s">
        <v>1</v>
      </c>
      <c r="N80" s="42">
        <f>IF(P80&gt;0.58*C21,0.58*C21,P80)</f>
        <v>0.027109634408973893</v>
      </c>
      <c r="O80" s="22" t="s">
        <v>8</v>
      </c>
      <c r="P80" s="42">
        <f>(0.64-((N78^2*C21)/(1.176*10^5*C74)))*C21</f>
        <v>0.027109634408973893</v>
      </c>
      <c r="Q80" s="42"/>
      <c r="R80" s="43"/>
      <c r="S80" s="22"/>
      <c r="T80" s="40"/>
      <c r="U80" s="40"/>
      <c r="V80" s="40"/>
    </row>
    <row r="81" spans="1:22" ht="15.75" customHeight="1">
      <c r="A81" s="55" t="s">
        <v>110</v>
      </c>
      <c r="B81" s="58" t="s">
        <v>1</v>
      </c>
      <c r="C81" s="56">
        <f>C64*100/C52</f>
        <v>0.6197626192956602</v>
      </c>
      <c r="D81" s="23" t="s">
        <v>8</v>
      </c>
      <c r="E81" s="57" t="str">
        <f>IF(C81&lt;F81,"&lt;","&gt;")</f>
        <v>&lt;</v>
      </c>
      <c r="F81" s="57">
        <f>0.58*C21</f>
        <v>1.392</v>
      </c>
      <c r="G81" s="23" t="s">
        <v>8</v>
      </c>
      <c r="H81" s="110" t="str">
        <f>IF(C81&lt;F81,"Safe","Unsafe")</f>
        <v>Safe</v>
      </c>
      <c r="I81" s="56"/>
      <c r="J81" s="79"/>
      <c r="K81" s="27"/>
      <c r="L81" s="24" t="s">
        <v>16</v>
      </c>
      <c r="M81" s="24" t="s">
        <v>1</v>
      </c>
      <c r="N81" s="42">
        <f>IF(P81&gt;0.58*C21,0.58*C21,P81)</f>
        <v>0.3895280369230769</v>
      </c>
      <c r="O81" s="22" t="s">
        <v>8</v>
      </c>
      <c r="P81" s="42">
        <f>(12000*C74)/N78^2</f>
        <v>0.3895280369230769</v>
      </c>
      <c r="Q81" s="42"/>
      <c r="R81" s="40"/>
      <c r="S81" s="40"/>
      <c r="T81" s="40"/>
      <c r="U81" s="40"/>
      <c r="V81" s="40"/>
    </row>
    <row r="82" spans="1:22" ht="15.75" customHeight="1">
      <c r="A82" s="82"/>
      <c r="B82" s="56"/>
      <c r="C82" s="64"/>
      <c r="D82" s="64"/>
      <c r="E82" s="57"/>
      <c r="F82" s="56"/>
      <c r="G82" s="64"/>
      <c r="H82" s="64"/>
      <c r="I82" s="64"/>
      <c r="J82" s="79"/>
      <c r="K82" s="27"/>
      <c r="L82" s="24" t="s">
        <v>25</v>
      </c>
      <c r="M82" s="24" t="s">
        <v>1</v>
      </c>
      <c r="N82" s="42">
        <f>IF(N78&lt;P78,N79,IF(AND(N78&gt;P78,N78&lt;Q78),N80,N81))</f>
        <v>0.3895280369230769</v>
      </c>
      <c r="O82" s="22" t="s">
        <v>8</v>
      </c>
      <c r="P82" s="24" t="s">
        <v>26</v>
      </c>
      <c r="Q82" s="24" t="s">
        <v>1</v>
      </c>
      <c r="R82" s="42">
        <f>(N76^2+N82^2)^0.5</f>
        <v>0.6841972242508754</v>
      </c>
      <c r="S82" s="22" t="s">
        <v>8</v>
      </c>
      <c r="T82" s="40"/>
      <c r="U82" s="40"/>
      <c r="V82" s="40"/>
    </row>
    <row r="83" spans="1:22" ht="15.75" customHeight="1">
      <c r="A83" s="109" t="s">
        <v>111</v>
      </c>
      <c r="B83" s="56"/>
      <c r="C83" s="56"/>
      <c r="D83" s="64"/>
      <c r="E83" s="56"/>
      <c r="F83" s="105"/>
      <c r="G83" s="101"/>
      <c r="H83" s="64"/>
      <c r="I83" s="64"/>
      <c r="J83" s="99"/>
      <c r="K83" s="27"/>
      <c r="L83" s="24" t="s">
        <v>17</v>
      </c>
      <c r="M83" s="24" t="s">
        <v>1</v>
      </c>
      <c r="N83" s="42">
        <f>IF(R82&gt;0.58*C21,0.58*C21,R82)</f>
        <v>0.6841972242508754</v>
      </c>
      <c r="O83" s="22" t="s">
        <v>8</v>
      </c>
      <c r="P83" s="22"/>
      <c r="Q83" s="40"/>
      <c r="R83" s="40"/>
      <c r="S83" s="40"/>
      <c r="T83" s="40"/>
      <c r="U83" s="40"/>
      <c r="V83" s="40"/>
    </row>
    <row r="84" spans="1:22" ht="15.75" customHeight="1">
      <c r="A84" s="55" t="s">
        <v>109</v>
      </c>
      <c r="B84" s="58" t="s">
        <v>1</v>
      </c>
      <c r="C84" s="56">
        <f>C80+(C67*100/C59)</f>
        <v>0.7487019785813606</v>
      </c>
      <c r="D84" s="23" t="s">
        <v>8</v>
      </c>
      <c r="E84" s="57" t="str">
        <f>IF(C84&lt;F84,"&lt;","&gt;")</f>
        <v>&lt;</v>
      </c>
      <c r="F84" s="57">
        <f>0.58*C21</f>
        <v>1.392</v>
      </c>
      <c r="G84" s="23" t="s">
        <v>8</v>
      </c>
      <c r="H84" s="110" t="str">
        <f>IF(C84&lt;F84,"Safe","Unsafe")</f>
        <v>Safe</v>
      </c>
      <c r="I84" s="64"/>
      <c r="J84" s="94"/>
      <c r="K84" s="51"/>
      <c r="L84" s="24" t="s">
        <v>27</v>
      </c>
      <c r="M84" s="24" t="s">
        <v>1</v>
      </c>
      <c r="N84" s="24">
        <f>IF(B73="Compact",0.64*C21,0.58*C21)</f>
        <v>1.392</v>
      </c>
      <c r="O84" s="22" t="s">
        <v>8</v>
      </c>
      <c r="P84" s="24"/>
      <c r="Q84" s="24"/>
      <c r="R84" s="24"/>
      <c r="S84" s="22"/>
      <c r="T84" s="40"/>
      <c r="U84" s="40"/>
      <c r="V84" s="40"/>
    </row>
    <row r="85" spans="1:22" ht="15.75" customHeight="1">
      <c r="A85" s="55" t="s">
        <v>110</v>
      </c>
      <c r="B85" s="58" t="s">
        <v>1</v>
      </c>
      <c r="C85" s="24">
        <f>C81+(C67*100/C60)</f>
        <v>1.3040786805336646</v>
      </c>
      <c r="D85" s="23" t="s">
        <v>8</v>
      </c>
      <c r="E85" s="57" t="str">
        <f>IF(C85&lt;F85,"&lt;","&gt;")</f>
        <v>&lt;</v>
      </c>
      <c r="F85" s="111">
        <f>0.58*C21</f>
        <v>1.392</v>
      </c>
      <c r="G85" s="23" t="s">
        <v>8</v>
      </c>
      <c r="H85" s="110" t="str">
        <f>IF(C85&lt;F85,"Safe","Unsafe")</f>
        <v>Safe</v>
      </c>
      <c r="I85" s="36"/>
      <c r="J85" s="112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1:22" ht="15.75" customHeight="1">
      <c r="A86" s="55" t="s">
        <v>112</v>
      </c>
      <c r="B86" s="58" t="s">
        <v>1</v>
      </c>
      <c r="C86" s="24">
        <f>((C67*100)/(C61*C27))*1000</f>
        <v>38.463525266963295</v>
      </c>
      <c r="D86" s="23" t="s">
        <v>68</v>
      </c>
      <c r="E86" s="57" t="str">
        <f>IF(C86&lt;F86,"&lt;","&gt;")</f>
        <v>&lt;</v>
      </c>
      <c r="F86" s="25">
        <f>C25</f>
        <v>85</v>
      </c>
      <c r="G86" s="23" t="s">
        <v>68</v>
      </c>
      <c r="H86" s="110" t="str">
        <f>IF(C86&lt;F86,"Safe","Unsafe")</f>
        <v>Safe</v>
      </c>
      <c r="I86" s="22"/>
      <c r="J86" s="113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1:22" ht="15.75" customHeight="1">
      <c r="A87" s="116"/>
      <c r="B87" s="25"/>
      <c r="C87" s="25"/>
      <c r="D87" s="22"/>
      <c r="E87" s="25"/>
      <c r="F87" s="35"/>
      <c r="G87" s="36"/>
      <c r="H87" s="22"/>
      <c r="I87" s="22"/>
      <c r="J87" s="114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1:22" ht="15.75" customHeight="1">
      <c r="A88" s="109" t="s">
        <v>113</v>
      </c>
      <c r="B88" s="25"/>
      <c r="C88" s="25"/>
      <c r="D88" s="22"/>
      <c r="E88" s="24"/>
      <c r="F88" s="25"/>
      <c r="G88" s="22"/>
      <c r="H88" s="22"/>
      <c r="I88" s="22"/>
      <c r="J88" s="113"/>
      <c r="K88" s="40"/>
      <c r="L88" s="40">
        <f>MIN(C100,C101)</f>
        <v>2.2608</v>
      </c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1:22" ht="15.75" customHeight="1">
      <c r="A89" s="115"/>
      <c r="B89" s="25"/>
      <c r="C89" s="22"/>
      <c r="D89" s="22"/>
      <c r="E89" s="22"/>
      <c r="F89" s="22"/>
      <c r="G89" s="22"/>
      <c r="H89" s="22"/>
      <c r="I89" s="22"/>
      <c r="J89" s="113"/>
      <c r="K89" s="40"/>
      <c r="L89" s="40">
        <f>0.5*C65+C68</f>
        <v>8.25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1:22" ht="15.75" customHeight="1">
      <c r="A90" s="55" t="s">
        <v>114</v>
      </c>
      <c r="B90" s="58" t="s">
        <v>1</v>
      </c>
      <c r="C90" s="24">
        <f>((C65+C68)*100)/(C36*C37)</f>
        <v>0.37037037037037035</v>
      </c>
      <c r="D90" s="23" t="s">
        <v>8</v>
      </c>
      <c r="E90" s="57" t="str">
        <f>IF(C90&lt;F90,"&lt;","&gt;")</f>
        <v>&lt;</v>
      </c>
      <c r="F90" s="24">
        <f>0.35*C21</f>
        <v>0.84</v>
      </c>
      <c r="G90" s="23" t="s">
        <v>8</v>
      </c>
      <c r="H90" s="110" t="str">
        <f>IF(C90&lt;F90,"Safe","Unsafe")</f>
        <v>Safe</v>
      </c>
      <c r="I90" s="22"/>
      <c r="J90" s="113"/>
      <c r="K90" s="40"/>
      <c r="L90" s="40">
        <f>((C42/10)*(C41/10)*(C56-C41/20))/C27</f>
        <v>1354.6798900563529</v>
      </c>
      <c r="M90" s="40"/>
      <c r="N90" s="40"/>
      <c r="Q90" s="40"/>
      <c r="R90" s="40"/>
      <c r="S90" s="40"/>
      <c r="T90" s="40"/>
      <c r="U90" s="40"/>
      <c r="V90" s="40"/>
    </row>
    <row r="91" spans="1:22" ht="15.75" customHeight="1">
      <c r="A91" s="116"/>
      <c r="B91" s="24"/>
      <c r="C91" s="25"/>
      <c r="D91" s="22"/>
      <c r="E91" s="22"/>
      <c r="F91" s="22"/>
      <c r="G91" s="22"/>
      <c r="H91" s="22"/>
      <c r="I91" s="22"/>
      <c r="J91" s="113"/>
      <c r="K91" s="40"/>
      <c r="L91" s="40">
        <f>L89*L90/C58</f>
        <v>0.1462669987160924</v>
      </c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1:22" ht="15.75" customHeight="1">
      <c r="A92" s="82" t="s">
        <v>116</v>
      </c>
      <c r="B92" s="24"/>
      <c r="C92" s="25"/>
      <c r="D92" s="22"/>
      <c r="E92" s="22"/>
      <c r="F92" s="22"/>
      <c r="G92" s="22"/>
      <c r="H92" s="22"/>
      <c r="I92" s="22"/>
      <c r="J92" s="113"/>
      <c r="K92" s="40"/>
      <c r="L92" s="40">
        <f>MIN(3*C41/10,60,6*C93/10,4*C95/10)</f>
        <v>12</v>
      </c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1:22" ht="15.75" customHeight="1">
      <c r="A93" s="55" t="s">
        <v>118</v>
      </c>
      <c r="B93" s="58" t="s">
        <v>1</v>
      </c>
      <c r="C93" s="80">
        <v>20</v>
      </c>
      <c r="D93" s="64" t="s">
        <v>2</v>
      </c>
      <c r="E93" s="22"/>
      <c r="F93" s="22" t="s">
        <v>125</v>
      </c>
      <c r="G93" s="22"/>
      <c r="H93" s="22"/>
      <c r="I93" s="22"/>
      <c r="J93" s="113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1:22" ht="15.75" customHeight="1">
      <c r="A94" s="55" t="s">
        <v>119</v>
      </c>
      <c r="B94" s="58" t="s">
        <v>1</v>
      </c>
      <c r="C94" s="80">
        <v>10</v>
      </c>
      <c r="D94" s="64" t="s">
        <v>2</v>
      </c>
      <c r="E94" s="22"/>
      <c r="F94" s="22" t="s">
        <v>124</v>
      </c>
      <c r="G94" s="22"/>
      <c r="H94" s="22"/>
      <c r="I94" s="22"/>
      <c r="J94" s="113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1:22" ht="15.75" customHeight="1">
      <c r="A95" s="116" t="s">
        <v>126</v>
      </c>
      <c r="B95" s="24" t="s">
        <v>1</v>
      </c>
      <c r="C95" s="80">
        <v>80</v>
      </c>
      <c r="D95" s="22" t="s">
        <v>2</v>
      </c>
      <c r="E95" s="22"/>
      <c r="F95" s="24" t="s">
        <v>123</v>
      </c>
      <c r="G95" s="24" t="s">
        <v>1</v>
      </c>
      <c r="H95" s="25">
        <f>2*C35</f>
        <v>28</v>
      </c>
      <c r="I95" s="22" t="s">
        <v>2</v>
      </c>
      <c r="J95" s="113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spans="1:22" ht="15.75" customHeight="1">
      <c r="A96" s="143" t="s">
        <v>131</v>
      </c>
      <c r="B96" s="124" t="s">
        <v>1</v>
      </c>
      <c r="C96" s="125">
        <v>2</v>
      </c>
      <c r="E96" s="22"/>
      <c r="F96" s="24" t="s">
        <v>127</v>
      </c>
      <c r="G96" s="24" t="s">
        <v>1</v>
      </c>
      <c r="H96" s="25">
        <f>4*C93</f>
        <v>80</v>
      </c>
      <c r="I96" s="22" t="s">
        <v>2</v>
      </c>
      <c r="J96" s="113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1:22" ht="15.75" customHeight="1">
      <c r="A97" s="55" t="s">
        <v>128</v>
      </c>
      <c r="B97" s="58" t="s">
        <v>1</v>
      </c>
      <c r="C97" s="25">
        <f>1.5*C93</f>
        <v>30</v>
      </c>
      <c r="D97" s="22" t="s">
        <v>2</v>
      </c>
      <c r="E97" s="22"/>
      <c r="F97" s="22"/>
      <c r="G97" s="22"/>
      <c r="H97" s="22"/>
      <c r="I97" s="22"/>
      <c r="J97" s="113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</row>
    <row r="98" spans="1:22" ht="15.75" customHeight="1">
      <c r="A98" s="55" t="s">
        <v>129</v>
      </c>
      <c r="B98" s="58" t="s">
        <v>1</v>
      </c>
      <c r="C98" s="25">
        <f>(3.14*C93^2)/400</f>
        <v>3.14</v>
      </c>
      <c r="D98" s="64" t="s">
        <v>6</v>
      </c>
      <c r="E98" s="22"/>
      <c r="F98" s="22"/>
      <c r="G98" s="22"/>
      <c r="H98" s="22"/>
      <c r="I98" s="22"/>
      <c r="J98" s="113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</row>
    <row r="99" spans="1:10" ht="15.75" customHeight="1">
      <c r="A99" s="55" t="s">
        <v>130</v>
      </c>
      <c r="B99" s="58" t="s">
        <v>1</v>
      </c>
      <c r="C99" s="25">
        <f>3.14*(2*C94)^2/400</f>
        <v>3.14</v>
      </c>
      <c r="D99" s="64" t="s">
        <v>6</v>
      </c>
      <c r="E99" s="24"/>
      <c r="F99" s="37"/>
      <c r="G99" s="22"/>
      <c r="H99" s="22"/>
      <c r="I99" s="22"/>
      <c r="J99" s="113"/>
    </row>
    <row r="100" spans="1:10" ht="15.75" customHeight="1">
      <c r="A100" s="55" t="s">
        <v>132</v>
      </c>
      <c r="B100" s="58" t="s">
        <v>1</v>
      </c>
      <c r="C100" s="126">
        <f>MIN(5.4*10^(-3)*C98*(C24*C26/1000)^0.5,0.58*3.6*C98)</f>
        <v>4.573286052986971</v>
      </c>
      <c r="D100" s="23" t="s">
        <v>100</v>
      </c>
      <c r="E100" s="14"/>
      <c r="F100" s="14"/>
      <c r="G100" s="14"/>
      <c r="H100" s="14"/>
      <c r="I100" s="14"/>
      <c r="J100" s="118"/>
    </row>
    <row r="101" spans="1:10" ht="15.75" customHeight="1">
      <c r="A101" s="55" t="s">
        <v>133</v>
      </c>
      <c r="B101" s="58" t="s">
        <v>1</v>
      </c>
      <c r="C101" s="126">
        <f>0.2*C22*C99</f>
        <v>2.2608</v>
      </c>
      <c r="D101" s="23" t="s">
        <v>100</v>
      </c>
      <c r="E101" s="14"/>
      <c r="F101" s="14"/>
      <c r="G101" s="14"/>
      <c r="H101" s="14"/>
      <c r="I101" s="14"/>
      <c r="J101" s="118"/>
    </row>
    <row r="102" spans="1:10" ht="15.75" customHeight="1">
      <c r="A102" s="55" t="s">
        <v>134</v>
      </c>
      <c r="B102" s="24" t="s">
        <v>1</v>
      </c>
      <c r="C102" s="126">
        <f>MIN(C96*L88/L91,L92)</f>
        <v>12</v>
      </c>
      <c r="D102" s="71" t="s">
        <v>3</v>
      </c>
      <c r="E102" s="14"/>
      <c r="F102" s="14"/>
      <c r="G102" s="14"/>
      <c r="H102" s="14"/>
      <c r="I102" s="14"/>
      <c r="J102" s="118"/>
    </row>
    <row r="103" spans="1:10" ht="15.75" customHeight="1">
      <c r="A103" s="121"/>
      <c r="B103" s="28"/>
      <c r="C103" s="28"/>
      <c r="D103" s="19"/>
      <c r="E103" s="29"/>
      <c r="F103" s="14"/>
      <c r="G103" s="14"/>
      <c r="H103" s="14"/>
      <c r="I103" s="14"/>
      <c r="J103" s="119"/>
    </row>
    <row r="104" spans="1:10" ht="15.75" customHeight="1">
      <c r="A104" s="121"/>
      <c r="B104" s="28"/>
      <c r="C104" s="28"/>
      <c r="D104" s="19"/>
      <c r="E104" s="29"/>
      <c r="F104" s="14"/>
      <c r="G104" s="14"/>
      <c r="H104" s="14"/>
      <c r="I104" s="14"/>
      <c r="J104" s="119"/>
    </row>
    <row r="105" spans="1:10" ht="15.75" customHeight="1">
      <c r="A105" s="122"/>
      <c r="B105" s="30"/>
      <c r="C105" s="20"/>
      <c r="D105" s="23"/>
      <c r="E105" s="14"/>
      <c r="F105" s="14"/>
      <c r="G105" s="14"/>
      <c r="H105" s="14"/>
      <c r="I105" s="14"/>
      <c r="J105" s="118"/>
    </row>
    <row r="106" spans="1:10" ht="15.75" customHeight="1">
      <c r="A106" s="122"/>
      <c r="B106" s="39"/>
      <c r="C106" s="20"/>
      <c r="D106" s="23"/>
      <c r="E106" s="14"/>
      <c r="F106" s="14"/>
      <c r="G106" s="14"/>
      <c r="H106" s="14"/>
      <c r="I106" s="14"/>
      <c r="J106" s="118"/>
    </row>
    <row r="107" spans="1:10" ht="15.75" customHeight="1">
      <c r="A107" s="115"/>
      <c r="B107" s="39"/>
      <c r="C107" s="20"/>
      <c r="D107" s="23"/>
      <c r="E107" s="14"/>
      <c r="F107" s="14"/>
      <c r="G107" s="14"/>
      <c r="H107" s="14"/>
      <c r="I107" s="14"/>
      <c r="J107" s="118"/>
    </row>
    <row r="108" spans="1:10" ht="15.75" customHeight="1">
      <c r="A108" s="116"/>
      <c r="B108" s="25"/>
      <c r="C108" s="25"/>
      <c r="D108" s="22"/>
      <c r="E108" s="22"/>
      <c r="F108" s="24"/>
      <c r="G108" s="24"/>
      <c r="H108" s="59"/>
      <c r="I108" s="59"/>
      <c r="J108" s="120"/>
    </row>
    <row r="109" spans="1:10" ht="15.75" customHeight="1">
      <c r="A109" s="116"/>
      <c r="B109" s="25"/>
      <c r="C109" s="25"/>
      <c r="D109" s="22"/>
      <c r="E109" s="22"/>
      <c r="F109" s="22"/>
      <c r="G109" s="22"/>
      <c r="H109" s="22"/>
      <c r="I109" s="22"/>
      <c r="J109" s="113"/>
    </row>
    <row r="110" spans="1:10" ht="15.75" customHeight="1">
      <c r="A110" s="55"/>
      <c r="B110" s="56"/>
      <c r="C110" s="23"/>
      <c r="D110" s="23"/>
      <c r="E110" s="123"/>
      <c r="F110" s="24"/>
      <c r="G110" s="23"/>
      <c r="H110" s="57"/>
      <c r="I110" s="57"/>
      <c r="J110" s="114"/>
    </row>
    <row r="111" spans="1:19" ht="15.75" customHeight="1">
      <c r="A111" s="55"/>
      <c r="B111" s="56"/>
      <c r="C111" s="23"/>
      <c r="D111" s="23"/>
      <c r="E111" s="23"/>
      <c r="F111" s="25"/>
      <c r="G111" s="23"/>
      <c r="H111" s="57"/>
      <c r="I111" s="57"/>
      <c r="J111" s="114"/>
      <c r="L111" s="24"/>
      <c r="M111" s="24"/>
      <c r="N111" s="41"/>
      <c r="O111" s="22"/>
      <c r="P111" s="42"/>
      <c r="Q111" s="42"/>
      <c r="R111" s="40"/>
      <c r="S111" s="22"/>
    </row>
    <row r="112" spans="1:19" ht="15.75" customHeight="1">
      <c r="A112" s="116"/>
      <c r="B112" s="22"/>
      <c r="C112" s="22"/>
      <c r="D112" s="22"/>
      <c r="E112" s="22"/>
      <c r="F112" s="31"/>
      <c r="G112" s="26"/>
      <c r="H112" s="22"/>
      <c r="I112" s="22"/>
      <c r="J112" s="113"/>
      <c r="L112" s="24"/>
      <c r="M112" s="24"/>
      <c r="N112" s="42"/>
      <c r="O112" s="22"/>
      <c r="P112" s="42"/>
      <c r="Q112" s="42"/>
      <c r="R112" s="40"/>
      <c r="S112" s="22"/>
    </row>
    <row r="113" spans="1:19" ht="15.75" customHeight="1">
      <c r="A113" s="116"/>
      <c r="B113" s="24"/>
      <c r="C113" s="24"/>
      <c r="D113" s="22"/>
      <c r="E113" s="22"/>
      <c r="F113" s="153"/>
      <c r="G113" s="153"/>
      <c r="H113" s="38"/>
      <c r="I113" s="38"/>
      <c r="J113" s="148"/>
      <c r="L113" s="24"/>
      <c r="M113" s="24"/>
      <c r="N113" s="42"/>
      <c r="O113" s="40"/>
      <c r="P113" s="42"/>
      <c r="Q113" s="42"/>
      <c r="R113" s="40"/>
      <c r="S113" s="22"/>
    </row>
    <row r="114" spans="1:19" ht="15.75" customHeight="1">
      <c r="A114" s="116"/>
      <c r="B114" s="24"/>
      <c r="C114" s="24"/>
      <c r="D114" s="22"/>
      <c r="E114" s="22"/>
      <c r="F114" s="31"/>
      <c r="G114" s="26"/>
      <c r="H114" s="22"/>
      <c r="I114" s="22"/>
      <c r="J114" s="113"/>
      <c r="L114" s="24"/>
      <c r="M114" s="24"/>
      <c r="N114" s="42"/>
      <c r="O114" s="22"/>
      <c r="P114" s="42"/>
      <c r="Q114" s="42"/>
      <c r="R114" s="40"/>
      <c r="S114" s="22"/>
    </row>
    <row r="115" spans="1:19" ht="15.75" customHeight="1">
      <c r="A115" s="116"/>
      <c r="B115" s="25"/>
      <c r="C115" s="25"/>
      <c r="D115" s="22"/>
      <c r="E115" s="22"/>
      <c r="F115" s="22"/>
      <c r="G115" s="32"/>
      <c r="H115" s="22"/>
      <c r="I115" s="22"/>
      <c r="J115" s="113"/>
      <c r="L115" s="24"/>
      <c r="M115" s="24"/>
      <c r="N115" s="42"/>
      <c r="O115" s="22"/>
      <c r="P115" s="42"/>
      <c r="Q115" s="42"/>
      <c r="R115" s="43"/>
      <c r="S115" s="22"/>
    </row>
    <row r="116" spans="1:19" ht="15.75" customHeight="1">
      <c r="A116" s="116"/>
      <c r="B116" s="25"/>
      <c r="C116" s="25"/>
      <c r="D116" s="22"/>
      <c r="E116" s="22"/>
      <c r="F116" s="22"/>
      <c r="G116" s="22"/>
      <c r="H116" s="22"/>
      <c r="I116" s="22"/>
      <c r="J116" s="113"/>
      <c r="L116" s="24"/>
      <c r="M116" s="24"/>
      <c r="N116" s="42"/>
      <c r="O116" s="22"/>
      <c r="P116" s="42"/>
      <c r="Q116" s="42"/>
      <c r="R116" s="40"/>
      <c r="S116" s="40"/>
    </row>
    <row r="117" spans="1:19" ht="15.75" customHeight="1">
      <c r="A117" s="150"/>
      <c r="B117" s="25"/>
      <c r="C117" s="25"/>
      <c r="D117" s="22"/>
      <c r="E117" s="22"/>
      <c r="F117" s="22"/>
      <c r="G117" s="22"/>
      <c r="H117" s="22"/>
      <c r="I117" s="22"/>
      <c r="J117" s="113"/>
      <c r="L117" s="24"/>
      <c r="M117" s="24"/>
      <c r="N117" s="42"/>
      <c r="O117" s="22"/>
      <c r="P117" s="24"/>
      <c r="Q117" s="24"/>
      <c r="R117" s="42"/>
      <c r="S117" s="22"/>
    </row>
    <row r="118" spans="1:19" ht="15.75" customHeight="1">
      <c r="A118" s="150"/>
      <c r="B118" s="25"/>
      <c r="C118" s="25"/>
      <c r="D118" s="22"/>
      <c r="E118" s="22"/>
      <c r="F118" s="22"/>
      <c r="G118" s="22"/>
      <c r="H118" s="22"/>
      <c r="I118" s="22"/>
      <c r="J118" s="113"/>
      <c r="L118" s="24"/>
      <c r="M118" s="24"/>
      <c r="N118" s="42"/>
      <c r="O118" s="22"/>
      <c r="P118" s="22"/>
      <c r="Q118" s="40"/>
      <c r="R118" s="40"/>
      <c r="S118" s="40"/>
    </row>
    <row r="119" spans="1:19" ht="15.75" customHeight="1">
      <c r="A119" s="21"/>
      <c r="B119" s="22"/>
      <c r="C119" s="33"/>
      <c r="D119" s="24"/>
      <c r="E119" s="25"/>
      <c r="F119" s="22"/>
      <c r="G119" s="34"/>
      <c r="H119" s="22"/>
      <c r="I119" s="22"/>
      <c r="J119" s="119"/>
      <c r="L119" s="24"/>
      <c r="M119" s="24"/>
      <c r="N119" s="24"/>
      <c r="O119" s="22"/>
      <c r="P119" s="24"/>
      <c r="Q119" s="24"/>
      <c r="R119" s="24"/>
      <c r="S119" s="22"/>
    </row>
    <row r="120" spans="1:10" ht="15.75" customHeight="1">
      <c r="A120" s="116"/>
      <c r="B120" s="25"/>
      <c r="C120" s="25"/>
      <c r="D120" s="22"/>
      <c r="E120" s="22"/>
      <c r="F120" s="22"/>
      <c r="G120" s="22"/>
      <c r="H120" s="22"/>
      <c r="I120" s="22"/>
      <c r="J120" s="113"/>
    </row>
    <row r="121" spans="1:10" ht="15.75" customHeight="1">
      <c r="A121" s="116"/>
      <c r="B121" s="25"/>
      <c r="C121" s="25"/>
      <c r="D121" s="22"/>
      <c r="E121" s="134"/>
      <c r="F121" s="134"/>
      <c r="G121" s="134"/>
      <c r="H121" s="22"/>
      <c r="I121" s="22"/>
      <c r="J121" s="113"/>
    </row>
    <row r="122" spans="1:19" ht="15.75" customHeight="1">
      <c r="A122" s="116"/>
      <c r="B122" s="25"/>
      <c r="C122" s="25"/>
      <c r="D122" s="22"/>
      <c r="E122" s="22"/>
      <c r="F122" s="22"/>
      <c r="G122" s="22"/>
      <c r="H122" s="22"/>
      <c r="I122" s="22"/>
      <c r="J122" s="113"/>
      <c r="L122" s="24"/>
      <c r="M122" s="24"/>
      <c r="N122" s="41"/>
      <c r="O122" s="22"/>
      <c r="P122" s="42"/>
      <c r="Q122" s="42"/>
      <c r="R122" s="40"/>
      <c r="S122" s="22"/>
    </row>
    <row r="123" spans="1:19" ht="15.75" customHeight="1" thickBot="1">
      <c r="A123" s="151"/>
      <c r="B123" s="145"/>
      <c r="C123" s="145"/>
      <c r="D123" s="145"/>
      <c r="E123" s="146"/>
      <c r="F123" s="144"/>
      <c r="G123" s="145"/>
      <c r="H123" s="147"/>
      <c r="I123" s="147"/>
      <c r="J123" s="149"/>
      <c r="L123" s="24"/>
      <c r="M123" s="24"/>
      <c r="N123" s="42"/>
      <c r="O123" s="22"/>
      <c r="P123" s="42"/>
      <c r="Q123" s="42"/>
      <c r="R123" s="40"/>
      <c r="S123" s="22"/>
    </row>
    <row r="124" spans="1:19" ht="15.75" customHeight="1">
      <c r="A124" s="22"/>
      <c r="B124" s="22"/>
      <c r="C124" s="22"/>
      <c r="D124" s="22"/>
      <c r="E124" s="24"/>
      <c r="F124" s="111"/>
      <c r="G124" s="25"/>
      <c r="H124" s="35"/>
      <c r="I124" s="36"/>
      <c r="J124" s="24"/>
      <c r="L124" s="24"/>
      <c r="M124" s="24"/>
      <c r="N124" s="42"/>
      <c r="O124" s="40"/>
      <c r="P124" s="42"/>
      <c r="Q124" s="42"/>
      <c r="R124" s="40"/>
      <c r="S124" s="22"/>
    </row>
    <row r="125" spans="1:19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L125" s="24"/>
      <c r="M125" s="24"/>
      <c r="N125" s="42"/>
      <c r="O125" s="22"/>
      <c r="P125" s="42"/>
      <c r="Q125" s="42"/>
      <c r="R125" s="40"/>
      <c r="S125" s="22"/>
    </row>
    <row r="126" spans="1:19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L126" s="24"/>
      <c r="M126" s="24"/>
      <c r="N126" s="42"/>
      <c r="O126" s="22"/>
      <c r="P126" s="42"/>
      <c r="Q126" s="42"/>
      <c r="R126" s="43"/>
      <c r="S126" s="22"/>
    </row>
    <row r="127" spans="1:19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L127" s="24"/>
      <c r="M127" s="24"/>
      <c r="N127" s="42"/>
      <c r="O127" s="22"/>
      <c r="P127" s="42"/>
      <c r="Q127" s="42"/>
      <c r="R127" s="40"/>
      <c r="S127" s="40"/>
    </row>
    <row r="128" spans="1:19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L128" s="24"/>
      <c r="M128" s="24"/>
      <c r="N128" s="42"/>
      <c r="O128" s="22"/>
      <c r="P128" s="24"/>
      <c r="Q128" s="24"/>
      <c r="R128" s="42"/>
      <c r="S128" s="22"/>
    </row>
    <row r="129" spans="1:19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L129" s="24"/>
      <c r="M129" s="24"/>
      <c r="N129" s="42"/>
      <c r="O129" s="22"/>
      <c r="P129" s="22"/>
      <c r="Q129" s="40"/>
      <c r="R129" s="40"/>
      <c r="S129" s="40"/>
    </row>
    <row r="130" spans="1:19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L130" s="24"/>
      <c r="M130" s="24"/>
      <c r="N130" s="24"/>
      <c r="O130" s="22"/>
      <c r="P130" s="24"/>
      <c r="Q130" s="24"/>
      <c r="R130" s="24"/>
      <c r="S130" s="22"/>
    </row>
    <row r="131" spans="1:10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1:10" ht="1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1:10" ht="1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ht="1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1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1:10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1:10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1:10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:10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0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1:10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0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10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10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1:10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1:10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1:10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</row>
  </sheetData>
  <sheetProtection password="D98F" sheet="1" objects="1" scenarios="1"/>
  <mergeCells count="10">
    <mergeCell ref="A75:A76"/>
    <mergeCell ref="B75:B76"/>
    <mergeCell ref="H75:H76"/>
    <mergeCell ref="I75:I76"/>
    <mergeCell ref="F78:G78"/>
    <mergeCell ref="F113:G113"/>
    <mergeCell ref="D1:G1"/>
    <mergeCell ref="H1:I2"/>
    <mergeCell ref="D2:G2"/>
    <mergeCell ref="B77:F77"/>
  </mergeCells>
  <conditionalFormatting sqref="G83">
    <cfRule type="cellIs" priority="1" dxfId="0" operator="equal" stopIfTrue="1">
      <formula>"SAFE"</formula>
    </cfRule>
    <cfRule type="cellIs" priority="2" dxfId="1" operator="equal" stopIfTrue="1">
      <formula>"Unsafe"</formula>
    </cfRule>
  </conditionalFormatting>
  <conditionalFormatting sqref="B73 E71:E73">
    <cfRule type="cellIs" priority="3" dxfId="0" operator="equal" stopIfTrue="1">
      <formula>"Compact"</formula>
    </cfRule>
    <cfRule type="cellIs" priority="4" dxfId="0" operator="equal" stopIfTrue="1">
      <formula>"Non compact"</formula>
    </cfRule>
    <cfRule type="cellIs" priority="5" dxfId="1" operator="equal" stopIfTrue="1">
      <formula>"Slender"</formula>
    </cfRule>
  </conditionalFormatting>
  <conditionalFormatting sqref="H80:H81 H84:H86 H90">
    <cfRule type="cellIs" priority="6" dxfId="0" operator="equal" stopIfTrue="1">
      <formula>"Safe"</formula>
    </cfRule>
    <cfRule type="cellIs" priority="7" dxfId="1" operator="equal" stopIfTrue="1">
      <formula>"Unsafe"</formula>
    </cfRule>
  </conditionalFormatting>
  <dataValidations count="4">
    <dataValidation type="list" allowBlank="1" showInputMessage="1" showErrorMessage="1" sqref="H113">
      <formula1>$K$41:$K$42</formula1>
    </dataValidation>
    <dataValidation type="list" allowBlank="1" showInputMessage="1" showErrorMessage="1" sqref="B19:B20 G18:G20">
      <formula1>$M$1:$M$3</formula1>
    </dataValidation>
    <dataValidation type="list" allowBlank="1" showInputMessage="1" showErrorMessage="1" sqref="C24">
      <formula1>$M$5:$M$8</formula1>
    </dataValidation>
    <dataValidation type="list" allowBlank="1" showInputMessage="1" showErrorMessage="1" sqref="C41">
      <formula1>$N$4:$U$4</formula1>
    </dataValidation>
  </dataValidations>
  <printOptions horizontalCentered="1"/>
  <pageMargins left="0" right="0" top="1" bottom="1" header="0.511811023622047" footer="0.511811023622047"/>
  <pageSetup horizontalDpi="300" verticalDpi="300" orientation="portrait" paperSize="9" scale="66" r:id="rId6"/>
  <rowBreaks count="1" manualBreakCount="1">
    <brk id="61" max="9" man="1"/>
  </rowBreaks>
  <colBreaks count="1" manualBreakCount="1">
    <brk id="10" max="65535" man="1"/>
  </colBreaks>
  <drawing r:id="rId5"/>
  <legacyDrawing r:id="rId4"/>
  <oleObjects>
    <oleObject progId="AutoCAD.Drawing.17" shapeId="1549083" r:id="rId1"/>
    <oleObject progId="AutoCAD.Drawing.17" shapeId="1551852" r:id="rId2"/>
    <oleObject progId="AutoCAD.Drawing.17" shapeId="131533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Mohamed_Nour</cp:lastModifiedBy>
  <cp:lastPrinted>2009-05-20T11:23:00Z</cp:lastPrinted>
  <dcterms:created xsi:type="dcterms:W3CDTF">1997-10-17T07:03:38Z</dcterms:created>
  <dcterms:modified xsi:type="dcterms:W3CDTF">2009-07-16T11:03:59Z</dcterms:modified>
  <cp:category/>
  <cp:version/>
  <cp:contentType/>
  <cp:contentStatus/>
</cp:coreProperties>
</file>