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4"/>
  </bookViews>
  <sheets>
    <sheet name="แป" sheetId="1" r:id="rId1"/>
    <sheet name="จันทัน" sheetId="2" r:id="rId2"/>
    <sheet name="ตะเฆ่สัน" sheetId="3" r:id="rId3"/>
    <sheet name="อกไก่" sheetId="4" r:id="rId4"/>
    <sheet name="ดั้ง" sheetId="5" r:id="rId5"/>
    <sheet name="ชื่อโครงการ" sheetId="6" r:id="rId6"/>
    <sheet name="Data Base" sheetId="7" r:id="rId7"/>
  </sheets>
  <definedNames>
    <definedName name="_xlnm._FilterDatabase" localSheetId="6" hidden="1">'Data Base'!$A$1:$A$31</definedName>
    <definedName name="K">'ดั้ง'!$T$7:$T$12</definedName>
    <definedName name="_xlnm.Print_Area" localSheetId="1">'จันทัน'!$A$1:$P$35</definedName>
    <definedName name="_xlnm.Print_Area" localSheetId="4">'ดั้ง'!$A$1:$P$30</definedName>
    <definedName name="_xlnm.Print_Area" localSheetId="0">'แป'!$A$1:$P$47</definedName>
  </definedNames>
  <calcPr fullCalcOnLoad="1"/>
</workbook>
</file>

<file path=xl/comments1.xml><?xml version="1.0" encoding="utf-8"?>
<comments xmlns="http://schemas.openxmlformats.org/spreadsheetml/2006/main">
  <authors>
    <author>ideapad</author>
  </authors>
  <commentList>
    <comment ref="E12" authorId="0">
      <text>
        <r>
          <rPr>
            <b/>
            <sz val="8"/>
            <rFont val="Tahoma"/>
            <family val="0"/>
          </rPr>
          <t>สมมติน้ำหนักโดยประมาณ</t>
        </r>
      </text>
    </comment>
  </commentList>
</comments>
</file>

<file path=xl/comments2.xml><?xml version="1.0" encoding="utf-8"?>
<comments xmlns="http://schemas.openxmlformats.org/spreadsheetml/2006/main">
  <authors>
    <author>ideapad</author>
  </authors>
  <commentList>
    <comment ref="G11" authorId="0">
      <text>
        <r>
          <rPr>
            <b/>
            <sz val="8"/>
            <rFont val="Tahoma"/>
            <family val="0"/>
          </rPr>
          <t>สมมติน้ำหนักโดยประมาณ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ideapad</author>
  </authors>
  <commentList>
    <comment ref="B17" authorId="0">
      <text>
        <r>
          <rPr>
            <b/>
            <sz val="8"/>
            <rFont val="Tahoma"/>
            <family val="0"/>
          </rPr>
          <t>จำนวนเหล็กรูปพรรณที่ใช้งาน</t>
        </r>
      </text>
    </comment>
    <comment ref="G11" authorId="0">
      <text>
        <r>
          <rPr>
            <b/>
            <sz val="8"/>
            <rFont val="Tahoma"/>
            <family val="0"/>
          </rPr>
          <t>สมมติน้ำหนักโดยประมาณ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ideapad</author>
  </authors>
  <commentList>
    <comment ref="B16" authorId="0">
      <text>
        <r>
          <rPr>
            <b/>
            <sz val="8"/>
            <rFont val="Tahoma"/>
            <family val="0"/>
          </rPr>
          <t>จำนวนเหล็กรูปพรรณที่ใช้งาน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0"/>
          </rPr>
          <t>สมมติน้ำหนักโดยประมาณ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ideapad</author>
  </authors>
  <commentList>
    <comment ref="L10" authorId="0">
      <text>
        <r>
          <rPr>
            <sz val="8"/>
            <rFont val="Tahoma"/>
            <family val="0"/>
          </rPr>
          <t xml:space="preserve">ตรวจสอบ case เพื่อหาค่า K
มาใช้ในการออกแบบ
</t>
        </r>
      </text>
    </comment>
    <comment ref="G8" authorId="0">
      <text>
        <r>
          <rPr>
            <b/>
            <sz val="8"/>
            <rFont val="Tahoma"/>
            <family val="0"/>
          </rPr>
          <t>ต้องดูว่าดั้งรับน้ำหนักจากตะเฆ่สันกี่ทางประกอบด้วย</t>
        </r>
      </text>
    </comment>
    <comment ref="B14" authorId="0">
      <text>
        <r>
          <rPr>
            <b/>
            <sz val="8"/>
            <rFont val="Tahoma"/>
            <family val="0"/>
          </rPr>
          <t>จำนวนเหล็กรูปพรรณที่ใช้งาน</t>
        </r>
      </text>
    </comment>
    <comment ref="G9" authorId="0">
      <text>
        <r>
          <rPr>
            <b/>
            <sz val="8"/>
            <rFont val="Tahoma"/>
            <family val="0"/>
          </rPr>
          <t>สมมติน้ำหนักโดยประมาณ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<sst xmlns="http://schemas.openxmlformats.org/spreadsheetml/2006/main" count="749" uniqueCount="236">
  <si>
    <t>ระยะห่างระหว่างแป</t>
  </si>
  <si>
    <t>=</t>
  </si>
  <si>
    <t>m.</t>
  </si>
  <si>
    <t>ช่วงแป</t>
  </si>
  <si>
    <t>kg /m.</t>
  </si>
  <si>
    <t xml:space="preserve">LL </t>
  </si>
  <si>
    <t>W x</t>
  </si>
  <si>
    <t>W y</t>
  </si>
  <si>
    <t>M x</t>
  </si>
  <si>
    <t>M y</t>
  </si>
  <si>
    <t>kg.m</t>
  </si>
  <si>
    <t>w</t>
  </si>
  <si>
    <t>Ix</t>
  </si>
  <si>
    <t>Sx</t>
  </si>
  <si>
    <t>f bx / F bx</t>
  </si>
  <si>
    <t>f by / F by</t>
  </si>
  <si>
    <t>(Mx/Sx) / Fbx</t>
  </si>
  <si>
    <t>(My/Sy) / Fby</t>
  </si>
  <si>
    <t>+</t>
  </si>
  <si>
    <t>F bx</t>
  </si>
  <si>
    <t>F by</t>
  </si>
  <si>
    <t>0.6* Fy</t>
  </si>
  <si>
    <t>0.75* Fy</t>
  </si>
  <si>
    <r>
      <t>kg /cm</t>
    </r>
    <r>
      <rPr>
        <vertAlign val="superscript"/>
        <sz val="14"/>
        <rFont val="Cordia New"/>
        <family val="2"/>
      </rPr>
      <t>2</t>
    </r>
  </si>
  <si>
    <t>Use  Steel   A 36</t>
  </si>
  <si>
    <t>Fy</t>
  </si>
  <si>
    <t>Fu</t>
  </si>
  <si>
    <t>Sy</t>
  </si>
  <si>
    <t>&lt;</t>
  </si>
  <si>
    <t>Check   Deflection</t>
  </si>
  <si>
    <t>L / 360</t>
  </si>
  <si>
    <t>cm.</t>
  </si>
  <si>
    <t>Allowable</t>
  </si>
  <si>
    <t>E</t>
  </si>
  <si>
    <t>Iy</t>
  </si>
  <si>
    <t>LOAD</t>
  </si>
  <si>
    <r>
      <t>kg /m.</t>
    </r>
    <r>
      <rPr>
        <vertAlign val="superscript"/>
        <sz val="14"/>
        <rFont val="Cordia New"/>
        <family val="2"/>
      </rPr>
      <t>2</t>
    </r>
  </si>
  <si>
    <t>Degree</t>
  </si>
  <si>
    <t>ในแนวแกน  Y</t>
  </si>
  <si>
    <r>
      <t>1/8*Wy*L</t>
    </r>
    <r>
      <rPr>
        <vertAlign val="superscript"/>
        <sz val="14"/>
        <rFont val="Cordia New"/>
        <family val="2"/>
      </rPr>
      <t>2</t>
    </r>
  </si>
  <si>
    <t>enter</t>
  </si>
  <si>
    <t>Y</t>
  </si>
  <si>
    <t>X</t>
  </si>
  <si>
    <t>Check  Shear</t>
  </si>
  <si>
    <t>Vy</t>
  </si>
  <si>
    <t>kg .</t>
  </si>
  <si>
    <t>Allowable  Shear</t>
  </si>
  <si>
    <t>0.40*Fy</t>
  </si>
  <si>
    <t>แรงเฉือนตามขวาง</t>
  </si>
  <si>
    <t>แรงเฉือนตามยาว</t>
  </si>
  <si>
    <t>V  h</t>
  </si>
  <si>
    <t>V  t</t>
  </si>
  <si>
    <t>V / A</t>
  </si>
  <si>
    <t>V / h*t</t>
  </si>
  <si>
    <t>A</t>
  </si>
  <si>
    <r>
      <t>cm</t>
    </r>
    <r>
      <rPr>
        <vertAlign val="superscript"/>
        <sz val="14"/>
        <rFont val="Cordia New"/>
        <family val="2"/>
      </rPr>
      <t>2</t>
    </r>
  </si>
  <si>
    <t>&lt; 1,008</t>
  </si>
  <si>
    <r>
      <t>1/8*Wx*L</t>
    </r>
    <r>
      <rPr>
        <vertAlign val="superscript"/>
        <sz val="14"/>
        <rFont val="Cordia New"/>
        <family val="2"/>
      </rPr>
      <t>2</t>
    </r>
  </si>
  <si>
    <r>
      <t>kg /cm</t>
    </r>
    <r>
      <rPr>
        <vertAlign val="superscript"/>
        <sz val="14"/>
        <rFont val="Cordia New"/>
        <family val="2"/>
      </rPr>
      <t>2</t>
    </r>
  </si>
  <si>
    <r>
      <t>cm</t>
    </r>
    <r>
      <rPr>
        <vertAlign val="superscript"/>
        <sz val="14"/>
        <rFont val="Cordia New"/>
        <family val="2"/>
      </rPr>
      <t>4</t>
    </r>
  </si>
  <si>
    <r>
      <t>cm</t>
    </r>
    <r>
      <rPr>
        <vertAlign val="superscript"/>
        <sz val="14"/>
        <rFont val="Cordia New"/>
        <family val="2"/>
      </rPr>
      <t>3</t>
    </r>
  </si>
  <si>
    <t>แรงลมตามเทศบัญญัติ  กรุงเทพมหานคร  ความสูง</t>
  </si>
  <si>
    <t>ม.</t>
  </si>
  <si>
    <t>Weigth</t>
  </si>
  <si>
    <t>Paint
 Area</t>
  </si>
  <si>
    <t>C 60 x 30 x 10 x 2.3</t>
  </si>
  <si>
    <t>C 75 x 35 x 15 x 2.3</t>
  </si>
  <si>
    <t>C 75 x 45 x 15 x 2.3</t>
  </si>
  <si>
    <t>C 100 x 50 x 20 x 4.5</t>
  </si>
  <si>
    <t>C 100 x 50 x 20 x 4</t>
  </si>
  <si>
    <t>C 100 x 50 x 20 x 3.2</t>
  </si>
  <si>
    <t>C 100 x 50 x 20 x 2.3</t>
  </si>
  <si>
    <t>C 120 x 40 x 20 x 3.2</t>
  </si>
  <si>
    <t>C 120 x 60 x 20 x 3.2</t>
  </si>
  <si>
    <t>C 120 x 60 x 25 x 4.5</t>
  </si>
  <si>
    <t>C 125 x 50 x 20 x 4.5</t>
  </si>
  <si>
    <t>C 125 x 50 x 20 x 4</t>
  </si>
  <si>
    <t>C 125 x 50 x 20 x 3.2</t>
  </si>
  <si>
    <t>C 150 x 50 x 20 x 4.5</t>
  </si>
  <si>
    <t>C 150 x 50 x 20 x 3.2</t>
  </si>
  <si>
    <t>C 150 x 65 x 20 x 4</t>
  </si>
  <si>
    <t>C 150 x 65 x 20 x 3.2</t>
  </si>
  <si>
    <t>C 150 x 75 x 25 x 4.5</t>
  </si>
  <si>
    <t>C 150 x 75 x 25 x 4</t>
  </si>
  <si>
    <t>C 150 x 75 x 25 x 3.2</t>
  </si>
  <si>
    <t>C 200 x 75 x 20 x 4.5</t>
  </si>
  <si>
    <t>C 200 x 75 x 20 x 4</t>
  </si>
  <si>
    <t>C 200 x 75 x 20 x 3.2</t>
  </si>
  <si>
    <t>C 200 x 75 x 25 x 4.5</t>
  </si>
  <si>
    <t>C 200 x 75 x 25 x 4</t>
  </si>
  <si>
    <t>C 200 x 75 x 25 x 3.2</t>
  </si>
  <si>
    <t>C 250 x 75 x 25 x 4.5</t>
  </si>
  <si>
    <t>C 90 x 45 x 20 x 3.2</t>
  </si>
  <si>
    <t>C 90 x 45 x 20 x 2.3</t>
  </si>
  <si>
    <t>h</t>
  </si>
  <si>
    <t>cm</t>
  </si>
  <si>
    <t>t</t>
  </si>
  <si>
    <t>น้ำหนักแป</t>
  </si>
  <si>
    <t>แรงลมตั้งฉากกับหลังคาตามสูตร KETCHUM</t>
  </si>
  <si>
    <t>น้ำหนักหลังคา</t>
  </si>
  <si>
    <t>แป</t>
  </si>
  <si>
    <t>B</t>
  </si>
  <si>
    <t>ในแนวแกน  X</t>
  </si>
  <si>
    <t>Check   Stress</t>
  </si>
  <si>
    <t>D</t>
  </si>
  <si>
    <t>โครงการ :</t>
  </si>
  <si>
    <t>ที่ตั้ง :</t>
  </si>
  <si>
    <t>เจ้าของ :</t>
  </si>
  <si>
    <r>
      <t>kg/m</t>
    </r>
    <r>
      <rPr>
        <vertAlign val="superscript"/>
        <sz val="14"/>
        <rFont val="Cordia New"/>
        <family val="2"/>
      </rPr>
      <t>2</t>
    </r>
  </si>
  <si>
    <t>kg/m</t>
  </si>
  <si>
    <t>Wu</t>
  </si>
  <si>
    <t>Angle</t>
  </si>
  <si>
    <t>Use Angle</t>
  </si>
  <si>
    <r>
      <t xml:space="preserve">W sin </t>
    </r>
    <r>
      <rPr>
        <sz val="14"/>
        <rFont val="Symbol"/>
        <family val="1"/>
      </rPr>
      <t>q</t>
    </r>
  </si>
  <si>
    <r>
      <t xml:space="preserve">W cos </t>
    </r>
    <r>
      <rPr>
        <sz val="14"/>
        <rFont val="Symbol"/>
        <family val="1"/>
      </rPr>
      <t>q</t>
    </r>
    <r>
      <rPr>
        <sz val="14"/>
        <rFont val="Cordia New"/>
        <family val="0"/>
      </rPr>
      <t xml:space="preserve">  + W winload</t>
    </r>
  </si>
  <si>
    <t>จันทัน</t>
  </si>
  <si>
    <t>ระยะห่างระหว่างจันทัน</t>
  </si>
  <si>
    <t>น้ำหนักแผ่</t>
  </si>
  <si>
    <t>น้ำหนักจากแป</t>
  </si>
  <si>
    <t>kg</t>
  </si>
  <si>
    <t>น้ำหนักจันทัน</t>
  </si>
  <si>
    <t>kg /m</t>
  </si>
  <si>
    <t>M max</t>
  </si>
  <si>
    <t>ความยาวของจันทัน</t>
  </si>
  <si>
    <t>kg-m</t>
  </si>
  <si>
    <r>
      <t>( WL</t>
    </r>
    <r>
      <rPr>
        <vertAlign val="superscript"/>
        <sz val="14"/>
        <rFont val="Cordia New"/>
        <family val="2"/>
      </rPr>
      <t xml:space="preserve">2 </t>
    </r>
    <r>
      <rPr>
        <sz val="14"/>
        <rFont val="Cordia New"/>
        <family val="2"/>
      </rPr>
      <t>)/8</t>
    </r>
  </si>
  <si>
    <t>Vmax</t>
  </si>
  <si>
    <t>Va</t>
  </si>
  <si>
    <t>ksc</t>
  </si>
  <si>
    <t>&lt; Va</t>
  </si>
  <si>
    <t>Vt</t>
  </si>
  <si>
    <t>Vh</t>
  </si>
  <si>
    <t>real</t>
  </si>
  <si>
    <r>
      <t>Fb</t>
    </r>
    <r>
      <rPr>
        <vertAlign val="subscript"/>
        <sz val="16"/>
        <rFont val="Cordia New"/>
        <family val="0"/>
      </rPr>
      <t>allow</t>
    </r>
  </si>
  <si>
    <r>
      <t>Fb</t>
    </r>
    <r>
      <rPr>
        <vertAlign val="subscript"/>
        <sz val="16"/>
        <rFont val="Cordia New"/>
        <family val="0"/>
      </rPr>
      <t>real</t>
    </r>
  </si>
  <si>
    <t>w =</t>
  </si>
  <si>
    <t>L =</t>
  </si>
  <si>
    <t>ตะเฆ่สัน</t>
  </si>
  <si>
    <t>อกไก่</t>
  </si>
  <si>
    <t>ความยาวของตะเฆ่สัน</t>
  </si>
  <si>
    <t>n</t>
  </si>
  <si>
    <t>C 60 x 30 x 10 x 2.0</t>
  </si>
  <si>
    <t>น้ำหนักจากจันทัน</t>
  </si>
  <si>
    <t>น้ำหนักตะเฆ่สัน</t>
  </si>
  <si>
    <t>องศา</t>
  </si>
  <si>
    <r>
      <t>5WL</t>
    </r>
    <r>
      <rPr>
        <vertAlign val="superscript"/>
        <sz val="14"/>
        <rFont val="Cordia New"/>
        <family val="2"/>
      </rPr>
      <t xml:space="preserve">4 </t>
    </r>
    <r>
      <rPr>
        <sz val="14"/>
        <rFont val="Cordia New"/>
        <family val="2"/>
      </rPr>
      <t>/ ( 384EI )</t>
    </r>
  </si>
  <si>
    <t>Check Section Modulus</t>
  </si>
  <si>
    <r>
      <t xml:space="preserve">Sx </t>
    </r>
    <r>
      <rPr>
        <vertAlign val="subscript"/>
        <sz val="16"/>
        <rFont val="Cordia New"/>
        <family val="0"/>
      </rPr>
      <t>req</t>
    </r>
  </si>
  <si>
    <t>Check  Moment</t>
  </si>
  <si>
    <t>øMn</t>
  </si>
  <si>
    <t>0.5WuL</t>
  </si>
  <si>
    <t>น้ำหนักอกไก่</t>
  </si>
  <si>
    <t>ความยาวของอกไก่</t>
  </si>
  <si>
    <t>ดั้ง</t>
  </si>
  <si>
    <t>น้ำหนักจากอกไก่</t>
  </si>
  <si>
    <t>น้ำหนักจากตะเฆ่สัน</t>
  </si>
  <si>
    <t>Pu</t>
  </si>
  <si>
    <t>น้ำหนักดั้ง</t>
  </si>
  <si>
    <t>ดั้งสูง</t>
  </si>
  <si>
    <t>m</t>
  </si>
  <si>
    <r>
      <t>5 * Wy * L</t>
    </r>
    <r>
      <rPr>
        <vertAlign val="superscript"/>
        <sz val="14"/>
        <rFont val="Cordia New"/>
        <family val="2"/>
      </rPr>
      <t xml:space="preserve">4 </t>
    </r>
    <r>
      <rPr>
        <sz val="14"/>
        <rFont val="Cordia New"/>
        <family val="2"/>
      </rPr>
      <t>/ (384 * E* Ix  )</t>
    </r>
  </si>
  <si>
    <r>
      <t>5 * Wx * L</t>
    </r>
    <r>
      <rPr>
        <vertAlign val="superscript"/>
        <sz val="14"/>
        <rFont val="Cordia New"/>
        <family val="2"/>
      </rPr>
      <t xml:space="preserve">4 </t>
    </r>
    <r>
      <rPr>
        <sz val="14"/>
        <rFont val="Cordia New"/>
        <family val="2"/>
      </rPr>
      <t>/ (384* E* Iy  )</t>
    </r>
  </si>
  <si>
    <r>
      <t>Δ</t>
    </r>
    <r>
      <rPr>
        <vertAlign val="subscript"/>
        <sz val="12"/>
        <rFont val="Cordia New"/>
        <family val="2"/>
      </rPr>
      <t>Allow</t>
    </r>
  </si>
  <si>
    <r>
      <t>Sx</t>
    </r>
    <r>
      <rPr>
        <vertAlign val="subscript"/>
        <sz val="16"/>
        <rFont val="Cordia New"/>
        <family val="2"/>
      </rPr>
      <t>real</t>
    </r>
  </si>
  <si>
    <t>สมมติ Fa</t>
  </si>
  <si>
    <t>%</t>
  </si>
  <si>
    <t>Fa</t>
  </si>
  <si>
    <t>0.6 Fy</t>
  </si>
  <si>
    <t xml:space="preserve">ของ Fy </t>
  </si>
  <si>
    <r>
      <t>A</t>
    </r>
    <r>
      <rPr>
        <b/>
        <vertAlign val="subscript"/>
        <sz val="14"/>
        <rFont val="Cordia New"/>
        <family val="2"/>
      </rPr>
      <t xml:space="preserve">req </t>
    </r>
    <r>
      <rPr>
        <b/>
        <sz val="14"/>
        <rFont val="Cordia New"/>
        <family val="2"/>
      </rPr>
      <t>=  P / Fa</t>
    </r>
  </si>
  <si>
    <t>rx</t>
  </si>
  <si>
    <t>ry</t>
  </si>
  <si>
    <r>
      <t>r</t>
    </r>
    <r>
      <rPr>
        <vertAlign val="subscript"/>
        <sz val="16"/>
        <rFont val="Cordia New"/>
        <family val="2"/>
      </rPr>
      <t>x</t>
    </r>
  </si>
  <si>
    <r>
      <t>r</t>
    </r>
    <r>
      <rPr>
        <vertAlign val="subscript"/>
        <sz val="16"/>
        <rFont val="Cordia New"/>
        <family val="2"/>
      </rPr>
      <t>y</t>
    </r>
  </si>
  <si>
    <t>case</t>
  </si>
  <si>
    <t>K</t>
  </si>
  <si>
    <t>ไม่มีการหมุนที่ปลายเสาและไม่มีการเคลื่อนที่</t>
  </si>
  <si>
    <t>มีการหมุนที่ปลายเสาแต่ไม่มีการเคลื่อนที่</t>
  </si>
  <si>
    <t>ไม่มีการหมุนที่ปลายเสาแต่มีการเคลื่อนที่</t>
  </si>
  <si>
    <t>มีการหมุนที่ปลายเสาและมีการเคลื่อนที่</t>
  </si>
  <si>
    <t>หัวเสา</t>
  </si>
  <si>
    <t>ตีนเสา</t>
  </si>
  <si>
    <t>Fix</t>
  </si>
  <si>
    <t>Hinge</t>
  </si>
  <si>
    <t>Free</t>
  </si>
  <si>
    <t>Case</t>
  </si>
  <si>
    <t>KL / r</t>
  </si>
  <si>
    <r>
      <t>Cc  =  [ 2¶</t>
    </r>
    <r>
      <rPr>
        <vertAlign val="superscript"/>
        <sz val="14"/>
        <rFont val="Cordia New"/>
        <family val="2"/>
      </rPr>
      <t>2</t>
    </r>
    <r>
      <rPr>
        <sz val="14"/>
        <rFont val="Cordia New"/>
        <family val="0"/>
      </rPr>
      <t>E/Fy ]^0.5</t>
    </r>
  </si>
  <si>
    <t>KL/r  / Cc</t>
  </si>
  <si>
    <t>P  =  A x Fa</t>
  </si>
  <si>
    <r>
      <t xml:space="preserve">มุมหลังคา  ( </t>
    </r>
    <r>
      <rPr>
        <sz val="12"/>
        <rFont val="Cordia New"/>
        <family val="2"/>
      </rPr>
      <t>θ</t>
    </r>
    <r>
      <rPr>
        <sz val="14"/>
        <rFont val="Cordia New"/>
        <family val="0"/>
      </rPr>
      <t xml:space="preserve"> )</t>
    </r>
  </si>
  <si>
    <r>
      <t xml:space="preserve">Wu  =  Wcos </t>
    </r>
    <r>
      <rPr>
        <b/>
        <sz val="12"/>
        <rFont val="Arial"/>
        <family val="2"/>
      </rPr>
      <t>θ</t>
    </r>
  </si>
  <si>
    <t>Light lip channel  250x75x25x4.5</t>
  </si>
  <si>
    <t>Light lip channel  200x75x20x4.5</t>
  </si>
  <si>
    <t>Light lip channel  200x75x20x4</t>
  </si>
  <si>
    <t>Light lip channel  200x75x20x3.2</t>
  </si>
  <si>
    <t>Light lip channel  150x75x25x4.5</t>
  </si>
  <si>
    <t>Light lip channel  150x75x25x4</t>
  </si>
  <si>
    <t>Light lip channel  150x75x25x3.2</t>
  </si>
  <si>
    <t>Light lip channel  150x65x20x4</t>
  </si>
  <si>
    <t>Light lip channel  150x65x20x3.2</t>
  </si>
  <si>
    <t>Light lip channel  150x65x20x2.3</t>
  </si>
  <si>
    <t>Light lip channel  150x50x20x4.5</t>
  </si>
  <si>
    <t>Light lip channel  150x50x20x3.2</t>
  </si>
  <si>
    <t>Light lip channel  150x50x20x2.3</t>
  </si>
  <si>
    <t>Light lip channel  125x50x20x4.5</t>
  </si>
  <si>
    <t>Light lip channel  125x50x20x4</t>
  </si>
  <si>
    <t>Light lip channel  125x50x20x3.2</t>
  </si>
  <si>
    <t>Light lip channel  125x50x20x2.3</t>
  </si>
  <si>
    <t>Light lip channel  120x60x25x4.5</t>
  </si>
  <si>
    <t>Light lip channel  120x60x20x3.2</t>
  </si>
  <si>
    <t>Light lip channel  120x60x20x2.3</t>
  </si>
  <si>
    <t>Light lip channel  120x40x20x3.2</t>
  </si>
  <si>
    <t>Light lip channel  100x50x20x4.5</t>
  </si>
  <si>
    <t>Light lip channel  100x50x20x4</t>
  </si>
  <si>
    <t>Light lip channel  100x50x20x3.2</t>
  </si>
  <si>
    <t>Light lip channel  100x50x20x2.8</t>
  </si>
  <si>
    <t>Light lip channel  100x50x20x2.3</t>
  </si>
  <si>
    <t>Light lip channel  100x50x20x2</t>
  </si>
  <si>
    <t>Light lip channel  100x50x20x1.6</t>
  </si>
  <si>
    <t>Light lip channel  90x45x20x3.2</t>
  </si>
  <si>
    <t>Light lip channel  90x45x20x2.3</t>
  </si>
  <si>
    <t>Light lip channel  90x45x20x1.6</t>
  </si>
  <si>
    <t>Light lip channel  75x45x15x2.3</t>
  </si>
  <si>
    <t>Light lip channel  75x35x15x2.3</t>
  </si>
  <si>
    <t>Light lip channel  70x40x25x1.6</t>
  </si>
  <si>
    <t>Light lip channel  60x30x10x2.3</t>
  </si>
  <si>
    <t>Light lip channel  60x30x10x2</t>
  </si>
  <si>
    <t>Light lip channel  60x30x10x1.6</t>
  </si>
  <si>
    <t>ผู้ออกแบบ :</t>
  </si>
  <si>
    <t>ภาควิชาวิศวกรรมโยธา</t>
  </si>
  <si>
    <t>วัฒนพงษ์  สุวรรณเก</t>
  </si>
  <si>
    <t>โรงงานวิชา Steel Design</t>
  </si>
  <si>
    <t>ระยะหน้ากว้าง , L</t>
  </si>
  <si>
    <t>น้ำหนักโครงหลังคา = 0.333L+5</t>
  </si>
  <si>
    <t>mm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</si>
</sst>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0_-;\-* #,##0.000_-;_-* &quot;-&quot;??_-;_-@_-"/>
    <numFmt numFmtId="192" formatCode="_-* #,##0.0_-;\-* #,##0.0_-;_-* &quot;-&quot;??_-;_-@_-"/>
    <numFmt numFmtId="193" formatCode="_-* #,##0.000_-;\-* #,##0.000_-;_-* &quot;-&quot;???_-;_-@_-"/>
    <numFmt numFmtId="194" formatCode="_-* #,##0.0000_-;\-* #,##0.0000_-;_-* &quot;-&quot;??_-;_-@_-"/>
    <numFmt numFmtId="195" formatCode="0.000"/>
    <numFmt numFmtId="196" formatCode="0.0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_-* #,##0_-;\-* #,##0_-;_-* &quot;-&quot;??_-;_-@_-"/>
    <numFmt numFmtId="201" formatCode="_-* #,##0.0_-;\-* #,##0.0_-;_-* &quot;-&quot;?_-;_-@_-"/>
    <numFmt numFmtId="202" formatCode="0.0000"/>
    <numFmt numFmtId="203" formatCode="0.000000"/>
    <numFmt numFmtId="204" formatCode="0.00000"/>
  </numFmts>
  <fonts count="35">
    <font>
      <sz val="14"/>
      <name val="Cordia New"/>
      <family val="0"/>
    </font>
    <font>
      <vertAlign val="superscript"/>
      <sz val="14"/>
      <name val="Cordia New"/>
      <family val="2"/>
    </font>
    <font>
      <sz val="14"/>
      <color indexed="12"/>
      <name val="Cordia New"/>
      <family val="2"/>
    </font>
    <font>
      <b/>
      <sz val="14"/>
      <name val="Cordia New"/>
      <family val="2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Cordia New"/>
      <family val="2"/>
    </font>
    <font>
      <sz val="16"/>
      <name val="Cordia New"/>
      <family val="0"/>
    </font>
    <font>
      <sz val="8"/>
      <name val="Tahoma"/>
      <family val="2"/>
    </font>
    <font>
      <b/>
      <sz val="14"/>
      <color indexed="10"/>
      <name val="Cordia New"/>
      <family val="2"/>
    </font>
    <font>
      <sz val="14"/>
      <color indexed="9"/>
      <name val="Cordia New"/>
      <family val="2"/>
    </font>
    <font>
      <sz val="12"/>
      <name val="Cordia New"/>
      <family val="0"/>
    </font>
    <font>
      <sz val="14"/>
      <name val="CityBlueprint"/>
      <family val="0"/>
    </font>
    <font>
      <sz val="14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2"/>
      <name val="Cordia New"/>
      <family val="2"/>
    </font>
    <font>
      <sz val="11"/>
      <name val="Symbol"/>
      <family val="1"/>
    </font>
    <font>
      <b/>
      <sz val="18"/>
      <name val="Cordia New"/>
      <family val="2"/>
    </font>
    <font>
      <sz val="13"/>
      <name val="Cordia New"/>
      <family val="0"/>
    </font>
    <font>
      <vertAlign val="subscript"/>
      <sz val="16"/>
      <name val="Cordia New"/>
      <family val="0"/>
    </font>
    <font>
      <b/>
      <sz val="12"/>
      <color indexed="8"/>
      <name val="AngsanaUPC"/>
      <family val="1"/>
    </font>
    <font>
      <b/>
      <sz val="12"/>
      <color indexed="10"/>
      <name val="AngsanaUPC"/>
      <family val="1"/>
    </font>
    <font>
      <b/>
      <sz val="12"/>
      <name val="AngsanaUPC"/>
      <family val="1"/>
    </font>
    <font>
      <sz val="14"/>
      <name val="CordiaUPC"/>
      <family val="0"/>
    </font>
    <font>
      <b/>
      <i/>
      <sz val="12"/>
      <color indexed="8"/>
      <name val="AngsanaUPC"/>
      <family val="1"/>
    </font>
    <font>
      <b/>
      <sz val="12"/>
      <color indexed="12"/>
      <name val="AngsanaUPC"/>
      <family val="1"/>
    </font>
    <font>
      <b/>
      <sz val="14"/>
      <color indexed="8"/>
      <name val="Cordia New"/>
      <family val="2"/>
    </font>
    <font>
      <vertAlign val="subscript"/>
      <sz val="12"/>
      <name val="Cordia New"/>
      <family val="2"/>
    </font>
    <font>
      <b/>
      <vertAlign val="subscript"/>
      <sz val="14"/>
      <name val="Cordia New"/>
      <family val="2"/>
    </font>
    <font>
      <b/>
      <sz val="8"/>
      <name val="Tahoma"/>
      <family val="0"/>
    </font>
    <font>
      <b/>
      <sz val="12"/>
      <name val="Arial"/>
      <family val="2"/>
    </font>
    <font>
      <sz val="14"/>
      <name val="Browallia New"/>
      <family val="2"/>
    </font>
    <font>
      <b/>
      <sz val="8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 quotePrefix="1">
      <alignment horizontal="center"/>
    </xf>
    <xf numFmtId="43" fontId="0" fillId="0" borderId="0" xfId="19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43" fontId="2" fillId="0" borderId="0" xfId="19" applyFont="1" applyBorder="1" applyAlignment="1">
      <alignment/>
    </xf>
    <xf numFmtId="43" fontId="0" fillId="0" borderId="0" xfId="19" applyBorder="1" applyAlignment="1" quotePrefix="1">
      <alignment/>
    </xf>
    <xf numFmtId="43" fontId="0" fillId="0" borderId="0" xfId="0" applyNumberFormat="1" applyBorder="1" applyAlignment="1">
      <alignment/>
    </xf>
    <xf numFmtId="19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92" fontId="0" fillId="0" borderId="0" xfId="19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9" fontId="0" fillId="0" borderId="0" xfId="23" applyFont="1" applyBorder="1" applyAlignment="1">
      <alignment/>
    </xf>
    <xf numFmtId="43" fontId="0" fillId="0" borderId="0" xfId="19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3" fontId="0" fillId="0" borderId="0" xfId="19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 quotePrefix="1">
      <alignment vertical="center"/>
    </xf>
    <xf numFmtId="0" fontId="3" fillId="0" borderId="1" xfId="18" applyFont="1" applyBorder="1" applyAlignment="1">
      <alignment horizontal="center"/>
      <protection/>
    </xf>
    <xf numFmtId="43" fontId="3" fillId="0" borderId="2" xfId="19" applyNumberFormat="1" applyFont="1" applyBorder="1" applyAlignment="1">
      <alignment horizontal="center" wrapText="1"/>
    </xf>
    <xf numFmtId="2" fontId="3" fillId="0" borderId="2" xfId="18" applyNumberFormat="1" applyFont="1" applyBorder="1" applyAlignment="1">
      <alignment horizontal="center" wrapText="1"/>
      <protection/>
    </xf>
    <xf numFmtId="0" fontId="3" fillId="0" borderId="0" xfId="18" applyFont="1" applyAlignment="1">
      <alignment horizontal="center"/>
      <protection/>
    </xf>
    <xf numFmtId="0" fontId="0" fillId="0" borderId="0" xfId="18" applyAlignment="1">
      <alignment horizontal="center"/>
      <protection/>
    </xf>
    <xf numFmtId="43" fontId="0" fillId="0" borderId="0" xfId="19" applyNumberFormat="1" applyAlignment="1">
      <alignment horizontal="center"/>
    </xf>
    <xf numFmtId="2" fontId="0" fillId="0" borderId="0" xfId="18" applyNumberFormat="1" applyAlignment="1">
      <alignment horizontal="center"/>
      <protection/>
    </xf>
    <xf numFmtId="0" fontId="0" fillId="0" borderId="3" xfId="18" applyBorder="1" applyAlignment="1">
      <alignment horizontal="center"/>
      <protection/>
    </xf>
    <xf numFmtId="191" fontId="10" fillId="0" borderId="0" xfId="19" applyNumberFormat="1" applyFont="1" applyBorder="1" applyAlignment="1">
      <alignment horizontal="center"/>
    </xf>
    <xf numFmtId="43" fontId="0" fillId="0" borderId="0" xfId="19" applyFill="1" applyBorder="1" applyAlignment="1">
      <alignment/>
    </xf>
    <xf numFmtId="0" fontId="0" fillId="0" borderId="3" xfId="18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43" fontId="0" fillId="0" borderId="0" xfId="19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3" fontId="0" fillId="0" borderId="0" xfId="19" applyFont="1" applyFill="1" applyBorder="1" applyAlignment="1">
      <alignment/>
    </xf>
    <xf numFmtId="192" fontId="0" fillId="0" borderId="0" xfId="19" applyNumberFormat="1" applyFont="1" applyFill="1" applyBorder="1" applyAlignment="1" quotePrefix="1">
      <alignment/>
    </xf>
    <xf numFmtId="0" fontId="11" fillId="0" borderId="0" xfId="0" applyFont="1" applyFill="1" applyBorder="1" applyAlignment="1">
      <alignment/>
    </xf>
    <xf numFmtId="0" fontId="0" fillId="0" borderId="0" xfId="0" applyNumberForma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19" applyNumberFormat="1" applyBorder="1" applyAlignment="1">
      <alignment horizontal="right"/>
    </xf>
    <xf numFmtId="0" fontId="0" fillId="0" borderId="0" xfId="18" applyFont="1" applyAlignment="1">
      <alignment horizontal="center"/>
      <protection/>
    </xf>
    <xf numFmtId="43" fontId="0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2" borderId="2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14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3" fontId="17" fillId="0" borderId="0" xfId="19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NumberFormat="1" applyFill="1" applyBorder="1" applyAlignment="1">
      <alignment horizontal="left"/>
    </xf>
    <xf numFmtId="43" fontId="0" fillId="2" borderId="0" xfId="0" applyNumberFormat="1" applyFill="1" applyBorder="1" applyAlignment="1">
      <alignment/>
    </xf>
    <xf numFmtId="0" fontId="18" fillId="2" borderId="0" xfId="0" applyFont="1" applyFill="1" applyBorder="1" applyAlignment="1">
      <alignment horizontal="right" shrinkToFit="1"/>
    </xf>
    <xf numFmtId="0" fontId="0" fillId="2" borderId="0" xfId="19" applyNumberFormat="1" applyFill="1" applyBorder="1" applyAlignment="1">
      <alignment horizontal="right"/>
    </xf>
    <xf numFmtId="43" fontId="0" fillId="2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20" fillId="2" borderId="0" xfId="0" applyFont="1" applyFill="1" applyBorder="1" applyAlignment="1">
      <alignment/>
    </xf>
    <xf numFmtId="43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left"/>
    </xf>
    <xf numFmtId="43" fontId="0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0" fontId="0" fillId="3" borderId="0" xfId="0" applyFont="1" applyFill="1" applyBorder="1" applyAlignment="1" quotePrefix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8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200" fontId="0" fillId="0" borderId="0" xfId="19" applyNumberFormat="1" applyFont="1" applyBorder="1" applyAlignment="1">
      <alignment/>
    </xf>
    <xf numFmtId="43" fontId="0" fillId="0" borderId="0" xfId="19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/>
      <protection hidden="1"/>
    </xf>
    <xf numFmtId="2" fontId="23" fillId="0" borderId="0" xfId="0" applyNumberFormat="1" applyFont="1" applyFill="1" applyAlignment="1" applyProtection="1">
      <alignment horizontal="center"/>
      <protection hidden="1"/>
    </xf>
    <xf numFmtId="0" fontId="24" fillId="0" borderId="0" xfId="17" applyFont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 horizontal="left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2" fontId="27" fillId="0" borderId="0" xfId="0" applyNumberFormat="1" applyFont="1" applyBorder="1" applyAlignment="1" applyProtection="1">
      <alignment horizontal="center"/>
      <protection hidden="1"/>
    </xf>
    <xf numFmtId="3" fontId="22" fillId="0" borderId="0" xfId="0" applyNumberFormat="1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right"/>
      <protection hidden="1"/>
    </xf>
    <xf numFmtId="3" fontId="10" fillId="0" borderId="0" xfId="0" applyNumberFormat="1" applyFont="1" applyBorder="1" applyAlignment="1" applyProtection="1">
      <alignment horizontal="center"/>
      <protection hidden="1"/>
    </xf>
    <xf numFmtId="2" fontId="28" fillId="0" borderId="0" xfId="0" applyNumberFormat="1" applyFont="1" applyBorder="1" applyAlignment="1" applyProtection="1">
      <alignment horizontal="left"/>
      <protection hidden="1"/>
    </xf>
    <xf numFmtId="2" fontId="10" fillId="0" borderId="0" xfId="0" applyNumberFormat="1" applyFont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3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3" fontId="12" fillId="0" borderId="0" xfId="0" applyNumberFormat="1" applyFont="1" applyFill="1" applyBorder="1" applyAlignment="1">
      <alignment/>
    </xf>
    <xf numFmtId="43" fontId="0" fillId="0" borderId="0" xfId="19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Border="1" applyAlignment="1" quotePrefix="1">
      <alignment horizontal="left"/>
    </xf>
    <xf numFmtId="43" fontId="17" fillId="0" borderId="0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3" fontId="17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right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/>
    </xf>
    <xf numFmtId="2" fontId="17" fillId="0" borderId="0" xfId="0" applyNumberFormat="1" applyFont="1" applyBorder="1" applyAlignment="1">
      <alignment/>
    </xf>
    <xf numFmtId="2" fontId="0" fillId="0" borderId="0" xfId="0" applyNumberFormat="1" applyBorder="1" applyAlignment="1" quotePrefix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9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0" fillId="0" borderId="0" xfId="19" applyBorder="1" applyAlignment="1">
      <alignment horizontal="center"/>
    </xf>
    <xf numFmtId="43" fontId="0" fillId="0" borderId="0" xfId="19" applyBorder="1" applyAlignment="1">
      <alignment horizontal="right"/>
    </xf>
    <xf numFmtId="43" fontId="0" fillId="0" borderId="0" xfId="19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2" xfId="0" applyFill="1" applyBorder="1" applyAlignment="1">
      <alignment horizontal="left"/>
    </xf>
    <xf numFmtId="0" fontId="16" fillId="2" borderId="2" xfId="0" applyFont="1" applyFill="1" applyBorder="1" applyAlignment="1">
      <alignment horizontal="left"/>
    </xf>
  </cellXfs>
  <cellStyles count="10">
    <cellStyle name="Normal" xfId="0"/>
    <cellStyle name="Followed Hyperlink" xfId="15"/>
    <cellStyle name="Hyperlink" xfId="16"/>
    <cellStyle name="Normal_CRITERIA" xfId="17"/>
    <cellStyle name="Normal_Steel Structure Take off Quantity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5</xdr:row>
      <xdr:rowOff>161925</xdr:rowOff>
    </xdr:from>
    <xdr:to>
      <xdr:col>13</xdr:col>
      <xdr:colOff>476250</xdr:colOff>
      <xdr:row>7</xdr:row>
      <xdr:rowOff>266700</xdr:rowOff>
    </xdr:to>
    <xdr:sp>
      <xdr:nvSpPr>
        <xdr:cNvPr id="1" name="Line 33"/>
        <xdr:cNvSpPr>
          <a:spLocks/>
        </xdr:cNvSpPr>
      </xdr:nvSpPr>
      <xdr:spPr>
        <a:xfrm flipV="1">
          <a:off x="4829175" y="1466850"/>
          <a:ext cx="16954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409575</xdr:colOff>
      <xdr:row>7</xdr:row>
      <xdr:rowOff>266700</xdr:rowOff>
    </xdr:from>
    <xdr:to>
      <xdr:col>13</xdr:col>
      <xdr:colOff>447675</xdr:colOff>
      <xdr:row>7</xdr:row>
      <xdr:rowOff>266700</xdr:rowOff>
    </xdr:to>
    <xdr:sp>
      <xdr:nvSpPr>
        <xdr:cNvPr id="2" name="Line 34"/>
        <xdr:cNvSpPr>
          <a:spLocks/>
        </xdr:cNvSpPr>
      </xdr:nvSpPr>
      <xdr:spPr>
        <a:xfrm>
          <a:off x="4829175" y="21431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200025</xdr:rowOff>
    </xdr:from>
    <xdr:to>
      <xdr:col>12</xdr:col>
      <xdr:colOff>523875</xdr:colOff>
      <xdr:row>7</xdr:row>
      <xdr:rowOff>266700</xdr:rowOff>
    </xdr:to>
    <xdr:sp>
      <xdr:nvSpPr>
        <xdr:cNvPr id="3" name="AutoShape 35"/>
        <xdr:cNvSpPr>
          <a:spLocks/>
        </xdr:cNvSpPr>
      </xdr:nvSpPr>
      <xdr:spPr>
        <a:xfrm>
          <a:off x="5724525" y="1790700"/>
          <a:ext cx="123825" cy="352425"/>
        </a:xfrm>
        <a:custGeom>
          <a:pathLst>
            <a:path h="38" w="13">
              <a:moveTo>
                <a:pt x="0" y="0"/>
              </a:moveTo>
              <a:cubicBezTo>
                <a:pt x="4" y="5"/>
                <a:pt x="9" y="11"/>
                <a:pt x="11" y="17"/>
              </a:cubicBezTo>
              <a:cubicBezTo>
                <a:pt x="13" y="23"/>
                <a:pt x="13" y="35"/>
                <a:pt x="13" y="38"/>
              </a:cubicBezTo>
            </a:path>
          </a:pathLst>
        </a:cu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5</xdr:row>
      <xdr:rowOff>142875</xdr:rowOff>
    </xdr:from>
    <xdr:to>
      <xdr:col>13</xdr:col>
      <xdr:colOff>180975</xdr:colOff>
      <xdr:row>5</xdr:row>
      <xdr:rowOff>257175</xdr:rowOff>
    </xdr:to>
    <xdr:sp>
      <xdr:nvSpPr>
        <xdr:cNvPr id="4" name="Line 36"/>
        <xdr:cNvSpPr>
          <a:spLocks/>
        </xdr:cNvSpPr>
      </xdr:nvSpPr>
      <xdr:spPr>
        <a:xfrm>
          <a:off x="6172200" y="1447800"/>
          <a:ext cx="571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180975</xdr:colOff>
      <xdr:row>5</xdr:row>
      <xdr:rowOff>219075</xdr:rowOff>
    </xdr:from>
    <xdr:to>
      <xdr:col>13</xdr:col>
      <xdr:colOff>257175</xdr:colOff>
      <xdr:row>5</xdr:row>
      <xdr:rowOff>257175</xdr:rowOff>
    </xdr:to>
    <xdr:sp>
      <xdr:nvSpPr>
        <xdr:cNvPr id="5" name="Line 37"/>
        <xdr:cNvSpPr>
          <a:spLocks/>
        </xdr:cNvSpPr>
      </xdr:nvSpPr>
      <xdr:spPr>
        <a:xfrm flipV="1">
          <a:off x="6229350" y="1524000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5</xdr:row>
      <xdr:rowOff>104775</xdr:rowOff>
    </xdr:from>
    <xdr:to>
      <xdr:col>13</xdr:col>
      <xdr:colOff>200025</xdr:colOff>
      <xdr:row>5</xdr:row>
      <xdr:rowOff>142875</xdr:rowOff>
    </xdr:to>
    <xdr:sp>
      <xdr:nvSpPr>
        <xdr:cNvPr id="6" name="Line 38"/>
        <xdr:cNvSpPr>
          <a:spLocks/>
        </xdr:cNvSpPr>
      </xdr:nvSpPr>
      <xdr:spPr>
        <a:xfrm flipV="1">
          <a:off x="6172200" y="1409700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114300</xdr:colOff>
      <xdr:row>7</xdr:row>
      <xdr:rowOff>19050</xdr:rowOff>
    </xdr:from>
    <xdr:to>
      <xdr:col>11</xdr:col>
      <xdr:colOff>209550</xdr:colOff>
      <xdr:row>7</xdr:row>
      <xdr:rowOff>57150</xdr:rowOff>
    </xdr:to>
    <xdr:sp>
      <xdr:nvSpPr>
        <xdr:cNvPr id="7" name="Line 39"/>
        <xdr:cNvSpPr>
          <a:spLocks/>
        </xdr:cNvSpPr>
      </xdr:nvSpPr>
      <xdr:spPr>
        <a:xfrm flipV="1">
          <a:off x="4981575" y="1895475"/>
          <a:ext cx="952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123825</xdr:colOff>
      <xdr:row>7</xdr:row>
      <xdr:rowOff>57150</xdr:rowOff>
    </xdr:from>
    <xdr:to>
      <xdr:col>11</xdr:col>
      <xdr:colOff>171450</xdr:colOff>
      <xdr:row>7</xdr:row>
      <xdr:rowOff>161925</xdr:rowOff>
    </xdr:to>
    <xdr:sp>
      <xdr:nvSpPr>
        <xdr:cNvPr id="8" name="Line 40"/>
        <xdr:cNvSpPr>
          <a:spLocks/>
        </xdr:cNvSpPr>
      </xdr:nvSpPr>
      <xdr:spPr>
        <a:xfrm>
          <a:off x="4991100" y="1933575"/>
          <a:ext cx="476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171450</xdr:colOff>
      <xdr:row>7</xdr:row>
      <xdr:rowOff>123825</xdr:rowOff>
    </xdr:from>
    <xdr:to>
      <xdr:col>11</xdr:col>
      <xdr:colOff>247650</xdr:colOff>
      <xdr:row>7</xdr:row>
      <xdr:rowOff>161925</xdr:rowOff>
    </xdr:to>
    <xdr:sp>
      <xdr:nvSpPr>
        <xdr:cNvPr id="9" name="Line 41"/>
        <xdr:cNvSpPr>
          <a:spLocks/>
        </xdr:cNvSpPr>
      </xdr:nvSpPr>
      <xdr:spPr>
        <a:xfrm flipV="1">
          <a:off x="5038725" y="2000250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95250</xdr:rowOff>
    </xdr:from>
    <xdr:to>
      <xdr:col>11</xdr:col>
      <xdr:colOff>304800</xdr:colOff>
      <xdr:row>8</xdr:row>
      <xdr:rowOff>104775</xdr:rowOff>
    </xdr:to>
    <xdr:sp>
      <xdr:nvSpPr>
        <xdr:cNvPr id="10" name="Line 42"/>
        <xdr:cNvSpPr>
          <a:spLocks/>
        </xdr:cNvSpPr>
      </xdr:nvSpPr>
      <xdr:spPr>
        <a:xfrm>
          <a:off x="4914900" y="1685925"/>
          <a:ext cx="257175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66675</xdr:colOff>
      <xdr:row>4</xdr:row>
      <xdr:rowOff>190500</xdr:rowOff>
    </xdr:from>
    <xdr:to>
      <xdr:col>13</xdr:col>
      <xdr:colOff>323850</xdr:colOff>
      <xdr:row>6</xdr:row>
      <xdr:rowOff>209550</xdr:rowOff>
    </xdr:to>
    <xdr:sp>
      <xdr:nvSpPr>
        <xdr:cNvPr id="11" name="Line 43"/>
        <xdr:cNvSpPr>
          <a:spLocks/>
        </xdr:cNvSpPr>
      </xdr:nvSpPr>
      <xdr:spPr>
        <a:xfrm>
          <a:off x="6115050" y="1228725"/>
          <a:ext cx="2571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114300</xdr:colOff>
      <xdr:row>5</xdr:row>
      <xdr:rowOff>38100</xdr:rowOff>
    </xdr:from>
    <xdr:to>
      <xdr:col>13</xdr:col>
      <xdr:colOff>114300</xdr:colOff>
      <xdr:row>6</xdr:row>
      <xdr:rowOff>238125</xdr:rowOff>
    </xdr:to>
    <xdr:sp>
      <xdr:nvSpPr>
        <xdr:cNvPr id="12" name="Line 44"/>
        <xdr:cNvSpPr>
          <a:spLocks/>
        </xdr:cNvSpPr>
      </xdr:nvSpPr>
      <xdr:spPr>
        <a:xfrm flipV="1">
          <a:off x="4981575" y="1343025"/>
          <a:ext cx="118110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419100</xdr:colOff>
      <xdr:row>8</xdr:row>
      <xdr:rowOff>238125</xdr:rowOff>
    </xdr:from>
    <xdr:to>
      <xdr:col>13</xdr:col>
      <xdr:colOff>438150</xdr:colOff>
      <xdr:row>8</xdr:row>
      <xdr:rowOff>238125</xdr:rowOff>
    </xdr:to>
    <xdr:sp>
      <xdr:nvSpPr>
        <xdr:cNvPr id="13" name="Line 45"/>
        <xdr:cNvSpPr>
          <a:spLocks/>
        </xdr:cNvSpPr>
      </xdr:nvSpPr>
      <xdr:spPr>
        <a:xfrm>
          <a:off x="4838700" y="2400300"/>
          <a:ext cx="1647825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5</xdr:row>
      <xdr:rowOff>180975</xdr:rowOff>
    </xdr:from>
    <xdr:to>
      <xdr:col>14</xdr:col>
      <xdr:colOff>190500</xdr:colOff>
      <xdr:row>7</xdr:row>
      <xdr:rowOff>238125</xdr:rowOff>
    </xdr:to>
    <xdr:sp>
      <xdr:nvSpPr>
        <xdr:cNvPr id="14" name="Line 46"/>
        <xdr:cNvSpPr>
          <a:spLocks/>
        </xdr:cNvSpPr>
      </xdr:nvSpPr>
      <xdr:spPr>
        <a:xfrm>
          <a:off x="6743700" y="1485900"/>
          <a:ext cx="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7</xdr:row>
      <xdr:rowOff>0</xdr:rowOff>
    </xdr:from>
    <xdr:to>
      <xdr:col>14</xdr:col>
      <xdr:colOff>409575</xdr:colOff>
      <xdr:row>7</xdr:row>
      <xdr:rowOff>0</xdr:rowOff>
    </xdr:to>
    <xdr:sp>
      <xdr:nvSpPr>
        <xdr:cNvPr id="1" name="Line 16"/>
        <xdr:cNvSpPr>
          <a:spLocks/>
        </xdr:cNvSpPr>
      </xdr:nvSpPr>
      <xdr:spPr>
        <a:xfrm>
          <a:off x="3971925" y="19907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9525</xdr:rowOff>
    </xdr:from>
    <xdr:to>
      <xdr:col>10</xdr:col>
      <xdr:colOff>0</xdr:colOff>
      <xdr:row>7</xdr:row>
      <xdr:rowOff>219075</xdr:rowOff>
    </xdr:to>
    <xdr:sp>
      <xdr:nvSpPr>
        <xdr:cNvPr id="2" name="Line 17"/>
        <xdr:cNvSpPr>
          <a:spLocks/>
        </xdr:cNvSpPr>
      </xdr:nvSpPr>
      <xdr:spPr>
        <a:xfrm flipV="1">
          <a:off x="3962400" y="20002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266700</xdr:rowOff>
    </xdr:from>
    <xdr:to>
      <xdr:col>15</xdr:col>
      <xdr:colOff>0</xdr:colOff>
      <xdr:row>7</xdr:row>
      <xdr:rowOff>219075</xdr:rowOff>
    </xdr:to>
    <xdr:sp>
      <xdr:nvSpPr>
        <xdr:cNvPr id="3" name="Line 18"/>
        <xdr:cNvSpPr>
          <a:spLocks/>
        </xdr:cNvSpPr>
      </xdr:nvSpPr>
      <xdr:spPr>
        <a:xfrm flipV="1">
          <a:off x="6248400" y="1971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9525</xdr:rowOff>
    </xdr:from>
    <xdr:to>
      <xdr:col>10</xdr:col>
      <xdr:colOff>0</xdr:colOff>
      <xdr:row>9</xdr:row>
      <xdr:rowOff>95250</xdr:rowOff>
    </xdr:to>
    <xdr:sp>
      <xdr:nvSpPr>
        <xdr:cNvPr id="4" name="Line 19"/>
        <xdr:cNvSpPr>
          <a:spLocks/>
        </xdr:cNvSpPr>
      </xdr:nvSpPr>
      <xdr:spPr>
        <a:xfrm>
          <a:off x="3962400" y="2286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19050</xdr:rowOff>
    </xdr:from>
    <xdr:to>
      <xdr:col>15</xdr:col>
      <xdr:colOff>0</xdr:colOff>
      <xdr:row>9</xdr:row>
      <xdr:rowOff>104775</xdr:rowOff>
    </xdr:to>
    <xdr:sp>
      <xdr:nvSpPr>
        <xdr:cNvPr id="5" name="Line 20"/>
        <xdr:cNvSpPr>
          <a:spLocks/>
        </xdr:cNvSpPr>
      </xdr:nvSpPr>
      <xdr:spPr>
        <a:xfrm>
          <a:off x="6248400" y="22955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15</xdr:col>
      <xdr:colOff>9525</xdr:colOff>
      <xdr:row>9</xdr:row>
      <xdr:rowOff>0</xdr:rowOff>
    </xdr:to>
    <xdr:sp>
      <xdr:nvSpPr>
        <xdr:cNvPr id="6" name="Line 21"/>
        <xdr:cNvSpPr>
          <a:spLocks/>
        </xdr:cNvSpPr>
      </xdr:nvSpPr>
      <xdr:spPr>
        <a:xfrm>
          <a:off x="3962400" y="25622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123825</xdr:rowOff>
    </xdr:from>
    <xdr:to>
      <xdr:col>15</xdr:col>
      <xdr:colOff>0</xdr:colOff>
      <xdr:row>6</xdr:row>
      <xdr:rowOff>123825</xdr:rowOff>
    </xdr:to>
    <xdr:sp>
      <xdr:nvSpPr>
        <xdr:cNvPr id="7" name="Line 24"/>
        <xdr:cNvSpPr>
          <a:spLocks/>
        </xdr:cNvSpPr>
      </xdr:nvSpPr>
      <xdr:spPr>
        <a:xfrm flipV="1">
          <a:off x="3971925" y="1828800"/>
          <a:ext cx="2276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228600</xdr:colOff>
      <xdr:row>6</xdr:row>
      <xdr:rowOff>123825</xdr:rowOff>
    </xdr:from>
    <xdr:to>
      <xdr:col>11</xdr:col>
      <xdr:colOff>228600</xdr:colOff>
      <xdr:row>6</xdr:row>
      <xdr:rowOff>266700</xdr:rowOff>
    </xdr:to>
    <xdr:sp>
      <xdr:nvSpPr>
        <xdr:cNvPr id="8" name="Line 26"/>
        <xdr:cNvSpPr>
          <a:spLocks/>
        </xdr:cNvSpPr>
      </xdr:nvSpPr>
      <xdr:spPr>
        <a:xfrm flipV="1">
          <a:off x="4638675" y="1828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123825</xdr:rowOff>
    </xdr:from>
    <xdr:to>
      <xdr:col>13</xdr:col>
      <xdr:colOff>0</xdr:colOff>
      <xdr:row>6</xdr:row>
      <xdr:rowOff>247650</xdr:rowOff>
    </xdr:to>
    <xdr:sp>
      <xdr:nvSpPr>
        <xdr:cNvPr id="9" name="Line 28"/>
        <xdr:cNvSpPr>
          <a:spLocks/>
        </xdr:cNvSpPr>
      </xdr:nvSpPr>
      <xdr:spPr>
        <a:xfrm flipV="1">
          <a:off x="5467350" y="1828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0</xdr:colOff>
      <xdr:row>6</xdr:row>
      <xdr:rowOff>247650</xdr:rowOff>
    </xdr:to>
    <xdr:sp>
      <xdr:nvSpPr>
        <xdr:cNvPr id="10" name="Line 29"/>
        <xdr:cNvSpPr>
          <a:spLocks/>
        </xdr:cNvSpPr>
      </xdr:nvSpPr>
      <xdr:spPr>
        <a:xfrm flipV="1">
          <a:off x="4867275" y="1828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123825</xdr:rowOff>
    </xdr:from>
    <xdr:to>
      <xdr:col>15</xdr:col>
      <xdr:colOff>0</xdr:colOff>
      <xdr:row>6</xdr:row>
      <xdr:rowOff>266700</xdr:rowOff>
    </xdr:to>
    <xdr:sp>
      <xdr:nvSpPr>
        <xdr:cNvPr id="11" name="Line 30"/>
        <xdr:cNvSpPr>
          <a:spLocks/>
        </xdr:cNvSpPr>
      </xdr:nvSpPr>
      <xdr:spPr>
        <a:xfrm flipV="1">
          <a:off x="6248400" y="1828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6</xdr:row>
      <xdr:rowOff>133350</xdr:rowOff>
    </xdr:from>
    <xdr:to>
      <xdr:col>13</xdr:col>
      <xdr:colOff>190500</xdr:colOff>
      <xdr:row>7</xdr:row>
      <xdr:rowOff>0</xdr:rowOff>
    </xdr:to>
    <xdr:sp>
      <xdr:nvSpPr>
        <xdr:cNvPr id="12" name="Line 31"/>
        <xdr:cNvSpPr>
          <a:spLocks/>
        </xdr:cNvSpPr>
      </xdr:nvSpPr>
      <xdr:spPr>
        <a:xfrm flipV="1">
          <a:off x="5657850" y="1838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123825</xdr:rowOff>
    </xdr:from>
    <xdr:to>
      <xdr:col>10</xdr:col>
      <xdr:colOff>9525</xdr:colOff>
      <xdr:row>6</xdr:row>
      <xdr:rowOff>266700</xdr:rowOff>
    </xdr:to>
    <xdr:sp>
      <xdr:nvSpPr>
        <xdr:cNvPr id="13" name="Line 32"/>
        <xdr:cNvSpPr>
          <a:spLocks/>
        </xdr:cNvSpPr>
      </xdr:nvSpPr>
      <xdr:spPr>
        <a:xfrm flipV="1">
          <a:off x="3971925" y="1828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6</xdr:row>
      <xdr:rowOff>133350</xdr:rowOff>
    </xdr:from>
    <xdr:to>
      <xdr:col>11</xdr:col>
      <xdr:colOff>457200</xdr:colOff>
      <xdr:row>7</xdr:row>
      <xdr:rowOff>0</xdr:rowOff>
    </xdr:to>
    <xdr:sp>
      <xdr:nvSpPr>
        <xdr:cNvPr id="14" name="Line 33"/>
        <xdr:cNvSpPr>
          <a:spLocks/>
        </xdr:cNvSpPr>
      </xdr:nvSpPr>
      <xdr:spPr>
        <a:xfrm flipV="1">
          <a:off x="4867275" y="1838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133350</xdr:rowOff>
    </xdr:from>
    <xdr:to>
      <xdr:col>12</xdr:col>
      <xdr:colOff>400050</xdr:colOff>
      <xdr:row>7</xdr:row>
      <xdr:rowOff>0</xdr:rowOff>
    </xdr:to>
    <xdr:sp>
      <xdr:nvSpPr>
        <xdr:cNvPr id="15" name="Line 34"/>
        <xdr:cNvSpPr>
          <a:spLocks/>
        </xdr:cNvSpPr>
      </xdr:nvSpPr>
      <xdr:spPr>
        <a:xfrm flipV="1">
          <a:off x="5267325" y="1838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600075</xdr:colOff>
      <xdr:row>6</xdr:row>
      <xdr:rowOff>133350</xdr:rowOff>
    </xdr:from>
    <xdr:to>
      <xdr:col>12</xdr:col>
      <xdr:colOff>600075</xdr:colOff>
      <xdr:row>7</xdr:row>
      <xdr:rowOff>0</xdr:rowOff>
    </xdr:to>
    <xdr:sp>
      <xdr:nvSpPr>
        <xdr:cNvPr id="16" name="Line 35"/>
        <xdr:cNvSpPr>
          <a:spLocks/>
        </xdr:cNvSpPr>
      </xdr:nvSpPr>
      <xdr:spPr>
        <a:xfrm flipV="1">
          <a:off x="5467350" y="1838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361950</xdr:colOff>
      <xdr:row>6</xdr:row>
      <xdr:rowOff>133350</xdr:rowOff>
    </xdr:from>
    <xdr:to>
      <xdr:col>13</xdr:col>
      <xdr:colOff>361950</xdr:colOff>
      <xdr:row>7</xdr:row>
      <xdr:rowOff>0</xdr:rowOff>
    </xdr:to>
    <xdr:sp>
      <xdr:nvSpPr>
        <xdr:cNvPr id="17" name="Line 36"/>
        <xdr:cNvSpPr>
          <a:spLocks/>
        </xdr:cNvSpPr>
      </xdr:nvSpPr>
      <xdr:spPr>
        <a:xfrm flipV="1">
          <a:off x="5829300" y="1838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133350</xdr:rowOff>
    </xdr:from>
    <xdr:to>
      <xdr:col>11</xdr:col>
      <xdr:colOff>0</xdr:colOff>
      <xdr:row>7</xdr:row>
      <xdr:rowOff>0</xdr:rowOff>
    </xdr:to>
    <xdr:sp>
      <xdr:nvSpPr>
        <xdr:cNvPr id="18" name="Line 38"/>
        <xdr:cNvSpPr>
          <a:spLocks/>
        </xdr:cNvSpPr>
      </xdr:nvSpPr>
      <xdr:spPr>
        <a:xfrm flipV="1">
          <a:off x="4410075" y="1838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123825</xdr:rowOff>
    </xdr:from>
    <xdr:to>
      <xdr:col>14</xdr:col>
      <xdr:colOff>0</xdr:colOff>
      <xdr:row>6</xdr:row>
      <xdr:rowOff>266700</xdr:rowOff>
    </xdr:to>
    <xdr:sp>
      <xdr:nvSpPr>
        <xdr:cNvPr id="19" name="Line 39"/>
        <xdr:cNvSpPr>
          <a:spLocks/>
        </xdr:cNvSpPr>
      </xdr:nvSpPr>
      <xdr:spPr>
        <a:xfrm flipV="1">
          <a:off x="5829300" y="1828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228600</xdr:colOff>
      <xdr:row>6</xdr:row>
      <xdr:rowOff>123825</xdr:rowOff>
    </xdr:from>
    <xdr:to>
      <xdr:col>10</xdr:col>
      <xdr:colOff>228600</xdr:colOff>
      <xdr:row>6</xdr:row>
      <xdr:rowOff>266700</xdr:rowOff>
    </xdr:to>
    <xdr:sp>
      <xdr:nvSpPr>
        <xdr:cNvPr id="20" name="Line 40"/>
        <xdr:cNvSpPr>
          <a:spLocks/>
        </xdr:cNvSpPr>
      </xdr:nvSpPr>
      <xdr:spPr>
        <a:xfrm flipV="1">
          <a:off x="4191000" y="1828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209550</xdr:colOff>
      <xdr:row>6</xdr:row>
      <xdr:rowOff>123825</xdr:rowOff>
    </xdr:from>
    <xdr:to>
      <xdr:col>14</xdr:col>
      <xdr:colOff>209550</xdr:colOff>
      <xdr:row>6</xdr:row>
      <xdr:rowOff>266700</xdr:rowOff>
    </xdr:to>
    <xdr:sp>
      <xdr:nvSpPr>
        <xdr:cNvPr id="21" name="Line 41"/>
        <xdr:cNvSpPr>
          <a:spLocks/>
        </xdr:cNvSpPr>
      </xdr:nvSpPr>
      <xdr:spPr>
        <a:xfrm flipV="1">
          <a:off x="6038850" y="1828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6</xdr:row>
      <xdr:rowOff>133350</xdr:rowOff>
    </xdr:from>
    <xdr:to>
      <xdr:col>12</xdr:col>
      <xdr:colOff>209550</xdr:colOff>
      <xdr:row>7</xdr:row>
      <xdr:rowOff>0</xdr:rowOff>
    </xdr:to>
    <xdr:sp>
      <xdr:nvSpPr>
        <xdr:cNvPr id="22" name="Line 44"/>
        <xdr:cNvSpPr>
          <a:spLocks/>
        </xdr:cNvSpPr>
      </xdr:nvSpPr>
      <xdr:spPr>
        <a:xfrm flipV="1">
          <a:off x="5076825" y="1838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7</xdr:row>
      <xdr:rowOff>0</xdr:rowOff>
    </xdr:from>
    <xdr:to>
      <xdr:col>14</xdr:col>
      <xdr:colOff>409575</xdr:colOff>
      <xdr:row>7</xdr:row>
      <xdr:rowOff>0</xdr:rowOff>
    </xdr:to>
    <xdr:sp>
      <xdr:nvSpPr>
        <xdr:cNvPr id="1" name="Line 25"/>
        <xdr:cNvSpPr>
          <a:spLocks/>
        </xdr:cNvSpPr>
      </xdr:nvSpPr>
      <xdr:spPr>
        <a:xfrm>
          <a:off x="3971925" y="19716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9525</xdr:rowOff>
    </xdr:from>
    <xdr:to>
      <xdr:col>10</xdr:col>
      <xdr:colOff>0</xdr:colOff>
      <xdr:row>7</xdr:row>
      <xdr:rowOff>219075</xdr:rowOff>
    </xdr:to>
    <xdr:sp>
      <xdr:nvSpPr>
        <xdr:cNvPr id="2" name="Line 26"/>
        <xdr:cNvSpPr>
          <a:spLocks/>
        </xdr:cNvSpPr>
      </xdr:nvSpPr>
      <xdr:spPr>
        <a:xfrm flipV="1">
          <a:off x="3962400" y="19812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266700</xdr:rowOff>
    </xdr:from>
    <xdr:to>
      <xdr:col>15</xdr:col>
      <xdr:colOff>0</xdr:colOff>
      <xdr:row>7</xdr:row>
      <xdr:rowOff>219075</xdr:rowOff>
    </xdr:to>
    <xdr:sp>
      <xdr:nvSpPr>
        <xdr:cNvPr id="3" name="Line 27"/>
        <xdr:cNvSpPr>
          <a:spLocks/>
        </xdr:cNvSpPr>
      </xdr:nvSpPr>
      <xdr:spPr>
        <a:xfrm flipV="1">
          <a:off x="6362700" y="19526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9525</xdr:rowOff>
    </xdr:from>
    <xdr:to>
      <xdr:col>10</xdr:col>
      <xdr:colOff>0</xdr:colOff>
      <xdr:row>9</xdr:row>
      <xdr:rowOff>95250</xdr:rowOff>
    </xdr:to>
    <xdr:sp>
      <xdr:nvSpPr>
        <xdr:cNvPr id="4" name="Line 28"/>
        <xdr:cNvSpPr>
          <a:spLocks/>
        </xdr:cNvSpPr>
      </xdr:nvSpPr>
      <xdr:spPr>
        <a:xfrm>
          <a:off x="3962400" y="22669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19050</xdr:rowOff>
    </xdr:from>
    <xdr:to>
      <xdr:col>15</xdr:col>
      <xdr:colOff>0</xdr:colOff>
      <xdr:row>9</xdr:row>
      <xdr:rowOff>104775</xdr:rowOff>
    </xdr:to>
    <xdr:sp>
      <xdr:nvSpPr>
        <xdr:cNvPr id="5" name="Line 29"/>
        <xdr:cNvSpPr>
          <a:spLocks/>
        </xdr:cNvSpPr>
      </xdr:nvSpPr>
      <xdr:spPr>
        <a:xfrm>
          <a:off x="6362700" y="22764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15</xdr:col>
      <xdr:colOff>9525</xdr:colOff>
      <xdr:row>9</xdr:row>
      <xdr:rowOff>0</xdr:rowOff>
    </xdr:to>
    <xdr:sp>
      <xdr:nvSpPr>
        <xdr:cNvPr id="6" name="Line 30"/>
        <xdr:cNvSpPr>
          <a:spLocks/>
        </xdr:cNvSpPr>
      </xdr:nvSpPr>
      <xdr:spPr>
        <a:xfrm>
          <a:off x="3962400" y="25431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123825</xdr:rowOff>
    </xdr:from>
    <xdr:to>
      <xdr:col>15</xdr:col>
      <xdr:colOff>0</xdr:colOff>
      <xdr:row>6</xdr:row>
      <xdr:rowOff>123825</xdr:rowOff>
    </xdr:to>
    <xdr:sp>
      <xdr:nvSpPr>
        <xdr:cNvPr id="7" name="Line 31"/>
        <xdr:cNvSpPr>
          <a:spLocks/>
        </xdr:cNvSpPr>
      </xdr:nvSpPr>
      <xdr:spPr>
        <a:xfrm flipV="1">
          <a:off x="3971925" y="1809750"/>
          <a:ext cx="2390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228600</xdr:colOff>
      <xdr:row>6</xdr:row>
      <xdr:rowOff>123825</xdr:rowOff>
    </xdr:from>
    <xdr:to>
      <xdr:col>11</xdr:col>
      <xdr:colOff>228600</xdr:colOff>
      <xdr:row>6</xdr:row>
      <xdr:rowOff>266700</xdr:rowOff>
    </xdr:to>
    <xdr:sp>
      <xdr:nvSpPr>
        <xdr:cNvPr id="8" name="Line 32"/>
        <xdr:cNvSpPr>
          <a:spLocks/>
        </xdr:cNvSpPr>
      </xdr:nvSpPr>
      <xdr:spPr>
        <a:xfrm flipV="1">
          <a:off x="4638675" y="1809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123825</xdr:rowOff>
    </xdr:from>
    <xdr:to>
      <xdr:col>13</xdr:col>
      <xdr:colOff>0</xdr:colOff>
      <xdr:row>6</xdr:row>
      <xdr:rowOff>247650</xdr:rowOff>
    </xdr:to>
    <xdr:sp>
      <xdr:nvSpPr>
        <xdr:cNvPr id="9" name="Line 33"/>
        <xdr:cNvSpPr>
          <a:spLocks/>
        </xdr:cNvSpPr>
      </xdr:nvSpPr>
      <xdr:spPr>
        <a:xfrm flipV="1">
          <a:off x="5467350" y="1809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0</xdr:colOff>
      <xdr:row>6</xdr:row>
      <xdr:rowOff>247650</xdr:rowOff>
    </xdr:to>
    <xdr:sp>
      <xdr:nvSpPr>
        <xdr:cNvPr id="10" name="Line 34"/>
        <xdr:cNvSpPr>
          <a:spLocks/>
        </xdr:cNvSpPr>
      </xdr:nvSpPr>
      <xdr:spPr>
        <a:xfrm flipV="1">
          <a:off x="4867275" y="1809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123825</xdr:rowOff>
    </xdr:from>
    <xdr:to>
      <xdr:col>15</xdr:col>
      <xdr:colOff>0</xdr:colOff>
      <xdr:row>6</xdr:row>
      <xdr:rowOff>266700</xdr:rowOff>
    </xdr:to>
    <xdr:sp>
      <xdr:nvSpPr>
        <xdr:cNvPr id="11" name="Line 35"/>
        <xdr:cNvSpPr>
          <a:spLocks/>
        </xdr:cNvSpPr>
      </xdr:nvSpPr>
      <xdr:spPr>
        <a:xfrm flipV="1">
          <a:off x="6362700" y="1809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238125</xdr:colOff>
      <xdr:row>6</xdr:row>
      <xdr:rowOff>133350</xdr:rowOff>
    </xdr:from>
    <xdr:to>
      <xdr:col>13</xdr:col>
      <xdr:colOff>238125</xdr:colOff>
      <xdr:row>7</xdr:row>
      <xdr:rowOff>0</xdr:rowOff>
    </xdr:to>
    <xdr:sp>
      <xdr:nvSpPr>
        <xdr:cNvPr id="12" name="Line 36"/>
        <xdr:cNvSpPr>
          <a:spLocks/>
        </xdr:cNvSpPr>
      </xdr:nvSpPr>
      <xdr:spPr>
        <a:xfrm flipV="1">
          <a:off x="5705475" y="1819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123825</xdr:rowOff>
    </xdr:from>
    <xdr:to>
      <xdr:col>10</xdr:col>
      <xdr:colOff>9525</xdr:colOff>
      <xdr:row>6</xdr:row>
      <xdr:rowOff>266700</xdr:rowOff>
    </xdr:to>
    <xdr:sp>
      <xdr:nvSpPr>
        <xdr:cNvPr id="13" name="Line 37"/>
        <xdr:cNvSpPr>
          <a:spLocks/>
        </xdr:cNvSpPr>
      </xdr:nvSpPr>
      <xdr:spPr>
        <a:xfrm flipV="1">
          <a:off x="3971925" y="1809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6</xdr:row>
      <xdr:rowOff>133350</xdr:rowOff>
    </xdr:from>
    <xdr:to>
      <xdr:col>11</xdr:col>
      <xdr:colOff>457200</xdr:colOff>
      <xdr:row>7</xdr:row>
      <xdr:rowOff>0</xdr:rowOff>
    </xdr:to>
    <xdr:sp>
      <xdr:nvSpPr>
        <xdr:cNvPr id="14" name="Line 38"/>
        <xdr:cNvSpPr>
          <a:spLocks/>
        </xdr:cNvSpPr>
      </xdr:nvSpPr>
      <xdr:spPr>
        <a:xfrm flipV="1">
          <a:off x="4867275" y="1819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133350</xdr:rowOff>
    </xdr:from>
    <xdr:to>
      <xdr:col>12</xdr:col>
      <xdr:colOff>400050</xdr:colOff>
      <xdr:row>7</xdr:row>
      <xdr:rowOff>0</xdr:rowOff>
    </xdr:to>
    <xdr:sp>
      <xdr:nvSpPr>
        <xdr:cNvPr id="15" name="Line 39"/>
        <xdr:cNvSpPr>
          <a:spLocks/>
        </xdr:cNvSpPr>
      </xdr:nvSpPr>
      <xdr:spPr>
        <a:xfrm flipV="1">
          <a:off x="5267325" y="1819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600075</xdr:colOff>
      <xdr:row>6</xdr:row>
      <xdr:rowOff>133350</xdr:rowOff>
    </xdr:from>
    <xdr:to>
      <xdr:col>12</xdr:col>
      <xdr:colOff>600075</xdr:colOff>
      <xdr:row>7</xdr:row>
      <xdr:rowOff>0</xdr:rowOff>
    </xdr:to>
    <xdr:sp>
      <xdr:nvSpPr>
        <xdr:cNvPr id="16" name="Line 40"/>
        <xdr:cNvSpPr>
          <a:spLocks/>
        </xdr:cNvSpPr>
      </xdr:nvSpPr>
      <xdr:spPr>
        <a:xfrm flipV="1">
          <a:off x="5467350" y="1819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133350</xdr:rowOff>
    </xdr:from>
    <xdr:to>
      <xdr:col>11</xdr:col>
      <xdr:colOff>0</xdr:colOff>
      <xdr:row>7</xdr:row>
      <xdr:rowOff>0</xdr:rowOff>
    </xdr:to>
    <xdr:sp>
      <xdr:nvSpPr>
        <xdr:cNvPr id="17" name="Line 42"/>
        <xdr:cNvSpPr>
          <a:spLocks/>
        </xdr:cNvSpPr>
      </xdr:nvSpPr>
      <xdr:spPr>
        <a:xfrm flipV="1">
          <a:off x="4410075" y="1819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123825</xdr:rowOff>
    </xdr:from>
    <xdr:to>
      <xdr:col>14</xdr:col>
      <xdr:colOff>0</xdr:colOff>
      <xdr:row>6</xdr:row>
      <xdr:rowOff>266700</xdr:rowOff>
    </xdr:to>
    <xdr:sp>
      <xdr:nvSpPr>
        <xdr:cNvPr id="18" name="Line 43"/>
        <xdr:cNvSpPr>
          <a:spLocks/>
        </xdr:cNvSpPr>
      </xdr:nvSpPr>
      <xdr:spPr>
        <a:xfrm flipV="1">
          <a:off x="5943600" y="1809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228600</xdr:colOff>
      <xdr:row>6</xdr:row>
      <xdr:rowOff>123825</xdr:rowOff>
    </xdr:from>
    <xdr:to>
      <xdr:col>10</xdr:col>
      <xdr:colOff>228600</xdr:colOff>
      <xdr:row>6</xdr:row>
      <xdr:rowOff>266700</xdr:rowOff>
    </xdr:to>
    <xdr:sp>
      <xdr:nvSpPr>
        <xdr:cNvPr id="19" name="Line 44"/>
        <xdr:cNvSpPr>
          <a:spLocks/>
        </xdr:cNvSpPr>
      </xdr:nvSpPr>
      <xdr:spPr>
        <a:xfrm flipV="1">
          <a:off x="4191000" y="1809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209550</xdr:colOff>
      <xdr:row>6</xdr:row>
      <xdr:rowOff>123825</xdr:rowOff>
    </xdr:from>
    <xdr:to>
      <xdr:col>14</xdr:col>
      <xdr:colOff>209550</xdr:colOff>
      <xdr:row>6</xdr:row>
      <xdr:rowOff>266700</xdr:rowOff>
    </xdr:to>
    <xdr:sp>
      <xdr:nvSpPr>
        <xdr:cNvPr id="20" name="Line 45"/>
        <xdr:cNvSpPr>
          <a:spLocks/>
        </xdr:cNvSpPr>
      </xdr:nvSpPr>
      <xdr:spPr>
        <a:xfrm flipV="1">
          <a:off x="6153150" y="1809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6</xdr:row>
      <xdr:rowOff>133350</xdr:rowOff>
    </xdr:from>
    <xdr:to>
      <xdr:col>12</xdr:col>
      <xdr:colOff>209550</xdr:colOff>
      <xdr:row>7</xdr:row>
      <xdr:rowOff>0</xdr:rowOff>
    </xdr:to>
    <xdr:sp>
      <xdr:nvSpPr>
        <xdr:cNvPr id="21" name="Line 46"/>
        <xdr:cNvSpPr>
          <a:spLocks/>
        </xdr:cNvSpPr>
      </xdr:nvSpPr>
      <xdr:spPr>
        <a:xfrm flipV="1">
          <a:off x="5076825" y="1819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7</xdr:row>
      <xdr:rowOff>0</xdr:rowOff>
    </xdr:from>
    <xdr:to>
      <xdr:col>14</xdr:col>
      <xdr:colOff>409575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3971925" y="197167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9525</xdr:rowOff>
    </xdr:from>
    <xdr:to>
      <xdr:col>10</xdr:col>
      <xdr:colOff>0</xdr:colOff>
      <xdr:row>7</xdr:row>
      <xdr:rowOff>219075</xdr:rowOff>
    </xdr:to>
    <xdr:sp>
      <xdr:nvSpPr>
        <xdr:cNvPr id="2" name="Line 3"/>
        <xdr:cNvSpPr>
          <a:spLocks/>
        </xdr:cNvSpPr>
      </xdr:nvSpPr>
      <xdr:spPr>
        <a:xfrm flipV="1">
          <a:off x="3962400" y="19812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266700</xdr:rowOff>
    </xdr:from>
    <xdr:to>
      <xdr:col>15</xdr:col>
      <xdr:colOff>0</xdr:colOff>
      <xdr:row>7</xdr:row>
      <xdr:rowOff>219075</xdr:rowOff>
    </xdr:to>
    <xdr:sp>
      <xdr:nvSpPr>
        <xdr:cNvPr id="3" name="Line 4"/>
        <xdr:cNvSpPr>
          <a:spLocks/>
        </xdr:cNvSpPr>
      </xdr:nvSpPr>
      <xdr:spPr>
        <a:xfrm flipV="1">
          <a:off x="6315075" y="19526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9525</xdr:rowOff>
    </xdr:from>
    <xdr:to>
      <xdr:col>10</xdr:col>
      <xdr:colOff>0</xdr:colOff>
      <xdr:row>9</xdr:row>
      <xdr:rowOff>95250</xdr:rowOff>
    </xdr:to>
    <xdr:sp>
      <xdr:nvSpPr>
        <xdr:cNvPr id="4" name="Line 5"/>
        <xdr:cNvSpPr>
          <a:spLocks/>
        </xdr:cNvSpPr>
      </xdr:nvSpPr>
      <xdr:spPr>
        <a:xfrm>
          <a:off x="3962400" y="22669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19050</xdr:rowOff>
    </xdr:from>
    <xdr:to>
      <xdr:col>15</xdr:col>
      <xdr:colOff>0</xdr:colOff>
      <xdr:row>9</xdr:row>
      <xdr:rowOff>104775</xdr:rowOff>
    </xdr:to>
    <xdr:sp>
      <xdr:nvSpPr>
        <xdr:cNvPr id="5" name="Line 6"/>
        <xdr:cNvSpPr>
          <a:spLocks/>
        </xdr:cNvSpPr>
      </xdr:nvSpPr>
      <xdr:spPr>
        <a:xfrm>
          <a:off x="6315075" y="22764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15</xdr:col>
      <xdr:colOff>9525</xdr:colOff>
      <xdr:row>9</xdr:row>
      <xdr:rowOff>0</xdr:rowOff>
    </xdr:to>
    <xdr:sp>
      <xdr:nvSpPr>
        <xdr:cNvPr id="6" name="Line 7"/>
        <xdr:cNvSpPr>
          <a:spLocks/>
        </xdr:cNvSpPr>
      </xdr:nvSpPr>
      <xdr:spPr>
        <a:xfrm>
          <a:off x="3962400" y="254317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123825</xdr:rowOff>
    </xdr:from>
    <xdr:to>
      <xdr:col>15</xdr:col>
      <xdr:colOff>0</xdr:colOff>
      <xdr:row>6</xdr:row>
      <xdr:rowOff>123825</xdr:rowOff>
    </xdr:to>
    <xdr:sp>
      <xdr:nvSpPr>
        <xdr:cNvPr id="7" name="Line 8"/>
        <xdr:cNvSpPr>
          <a:spLocks/>
        </xdr:cNvSpPr>
      </xdr:nvSpPr>
      <xdr:spPr>
        <a:xfrm flipV="1">
          <a:off x="3971925" y="1809750"/>
          <a:ext cx="2343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228600</xdr:colOff>
      <xdr:row>6</xdr:row>
      <xdr:rowOff>123825</xdr:rowOff>
    </xdr:from>
    <xdr:to>
      <xdr:col>11</xdr:col>
      <xdr:colOff>228600</xdr:colOff>
      <xdr:row>6</xdr:row>
      <xdr:rowOff>266700</xdr:rowOff>
    </xdr:to>
    <xdr:sp>
      <xdr:nvSpPr>
        <xdr:cNvPr id="8" name="Line 9"/>
        <xdr:cNvSpPr>
          <a:spLocks/>
        </xdr:cNvSpPr>
      </xdr:nvSpPr>
      <xdr:spPr>
        <a:xfrm flipV="1">
          <a:off x="4638675" y="1809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123825</xdr:rowOff>
    </xdr:from>
    <xdr:to>
      <xdr:col>13</xdr:col>
      <xdr:colOff>0</xdr:colOff>
      <xdr:row>6</xdr:row>
      <xdr:rowOff>247650</xdr:rowOff>
    </xdr:to>
    <xdr:sp>
      <xdr:nvSpPr>
        <xdr:cNvPr id="9" name="Line 10"/>
        <xdr:cNvSpPr>
          <a:spLocks/>
        </xdr:cNvSpPr>
      </xdr:nvSpPr>
      <xdr:spPr>
        <a:xfrm flipV="1">
          <a:off x="5467350" y="1809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0</xdr:colOff>
      <xdr:row>6</xdr:row>
      <xdr:rowOff>247650</xdr:rowOff>
    </xdr:to>
    <xdr:sp>
      <xdr:nvSpPr>
        <xdr:cNvPr id="10" name="Line 11"/>
        <xdr:cNvSpPr>
          <a:spLocks/>
        </xdr:cNvSpPr>
      </xdr:nvSpPr>
      <xdr:spPr>
        <a:xfrm flipV="1">
          <a:off x="4867275" y="1809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123825</xdr:rowOff>
    </xdr:from>
    <xdr:to>
      <xdr:col>15</xdr:col>
      <xdr:colOff>0</xdr:colOff>
      <xdr:row>6</xdr:row>
      <xdr:rowOff>266700</xdr:rowOff>
    </xdr:to>
    <xdr:sp>
      <xdr:nvSpPr>
        <xdr:cNvPr id="11" name="Line 12"/>
        <xdr:cNvSpPr>
          <a:spLocks/>
        </xdr:cNvSpPr>
      </xdr:nvSpPr>
      <xdr:spPr>
        <a:xfrm flipV="1">
          <a:off x="6315075" y="1809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6</xdr:row>
      <xdr:rowOff>133350</xdr:rowOff>
    </xdr:from>
    <xdr:to>
      <xdr:col>13</xdr:col>
      <xdr:colOff>190500</xdr:colOff>
      <xdr:row>7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5657850" y="1819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123825</xdr:rowOff>
    </xdr:from>
    <xdr:to>
      <xdr:col>10</xdr:col>
      <xdr:colOff>9525</xdr:colOff>
      <xdr:row>6</xdr:row>
      <xdr:rowOff>266700</xdr:rowOff>
    </xdr:to>
    <xdr:sp>
      <xdr:nvSpPr>
        <xdr:cNvPr id="13" name="Line 14"/>
        <xdr:cNvSpPr>
          <a:spLocks/>
        </xdr:cNvSpPr>
      </xdr:nvSpPr>
      <xdr:spPr>
        <a:xfrm flipV="1">
          <a:off x="3971925" y="1809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6</xdr:row>
      <xdr:rowOff>133350</xdr:rowOff>
    </xdr:from>
    <xdr:to>
      <xdr:col>11</xdr:col>
      <xdr:colOff>457200</xdr:colOff>
      <xdr:row>7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4867275" y="1819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133350</xdr:rowOff>
    </xdr:from>
    <xdr:to>
      <xdr:col>12</xdr:col>
      <xdr:colOff>400050</xdr:colOff>
      <xdr:row>7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5267325" y="1819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600075</xdr:colOff>
      <xdr:row>6</xdr:row>
      <xdr:rowOff>133350</xdr:rowOff>
    </xdr:from>
    <xdr:to>
      <xdr:col>12</xdr:col>
      <xdr:colOff>600075</xdr:colOff>
      <xdr:row>7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5467350" y="1819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133350</xdr:rowOff>
    </xdr:from>
    <xdr:to>
      <xdr:col>14</xdr:col>
      <xdr:colOff>0</xdr:colOff>
      <xdr:row>7</xdr:row>
      <xdr:rowOff>0</xdr:rowOff>
    </xdr:to>
    <xdr:sp>
      <xdr:nvSpPr>
        <xdr:cNvPr id="17" name="Line 18"/>
        <xdr:cNvSpPr>
          <a:spLocks/>
        </xdr:cNvSpPr>
      </xdr:nvSpPr>
      <xdr:spPr>
        <a:xfrm flipV="1">
          <a:off x="5895975" y="1819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133350</xdr:rowOff>
    </xdr:from>
    <xdr:to>
      <xdr:col>11</xdr:col>
      <xdr:colOff>0</xdr:colOff>
      <xdr:row>7</xdr:row>
      <xdr:rowOff>0</xdr:rowOff>
    </xdr:to>
    <xdr:sp>
      <xdr:nvSpPr>
        <xdr:cNvPr id="18" name="Line 19"/>
        <xdr:cNvSpPr>
          <a:spLocks/>
        </xdr:cNvSpPr>
      </xdr:nvSpPr>
      <xdr:spPr>
        <a:xfrm flipV="1">
          <a:off x="4410075" y="1819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228600</xdr:colOff>
      <xdr:row>6</xdr:row>
      <xdr:rowOff>123825</xdr:rowOff>
    </xdr:from>
    <xdr:to>
      <xdr:col>10</xdr:col>
      <xdr:colOff>228600</xdr:colOff>
      <xdr:row>6</xdr:row>
      <xdr:rowOff>266700</xdr:rowOff>
    </xdr:to>
    <xdr:sp>
      <xdr:nvSpPr>
        <xdr:cNvPr id="19" name="Line 21"/>
        <xdr:cNvSpPr>
          <a:spLocks/>
        </xdr:cNvSpPr>
      </xdr:nvSpPr>
      <xdr:spPr>
        <a:xfrm flipV="1">
          <a:off x="4191000" y="1809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209550</xdr:colOff>
      <xdr:row>6</xdr:row>
      <xdr:rowOff>123825</xdr:rowOff>
    </xdr:from>
    <xdr:to>
      <xdr:col>14</xdr:col>
      <xdr:colOff>209550</xdr:colOff>
      <xdr:row>6</xdr:row>
      <xdr:rowOff>266700</xdr:rowOff>
    </xdr:to>
    <xdr:sp>
      <xdr:nvSpPr>
        <xdr:cNvPr id="20" name="Line 22"/>
        <xdr:cNvSpPr>
          <a:spLocks/>
        </xdr:cNvSpPr>
      </xdr:nvSpPr>
      <xdr:spPr>
        <a:xfrm flipV="1">
          <a:off x="6105525" y="1809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6</xdr:row>
      <xdr:rowOff>133350</xdr:rowOff>
    </xdr:from>
    <xdr:to>
      <xdr:col>12</xdr:col>
      <xdr:colOff>209550</xdr:colOff>
      <xdr:row>7</xdr:row>
      <xdr:rowOff>0</xdr:rowOff>
    </xdr:to>
    <xdr:sp>
      <xdr:nvSpPr>
        <xdr:cNvPr id="21" name="Line 23"/>
        <xdr:cNvSpPr>
          <a:spLocks/>
        </xdr:cNvSpPr>
      </xdr:nvSpPr>
      <xdr:spPr>
        <a:xfrm flipV="1">
          <a:off x="5076825" y="1819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7"/>
  <sheetViews>
    <sheetView workbookViewId="0" topLeftCell="A19">
      <selection activeCell="I28" sqref="I28"/>
    </sheetView>
  </sheetViews>
  <sheetFormatPr defaultColWidth="9.140625" defaultRowHeight="21.75"/>
  <cols>
    <col min="1" max="1" width="3.421875" style="1" customWidth="1"/>
    <col min="2" max="2" width="5.7109375" style="1" customWidth="1"/>
    <col min="3" max="3" width="4.140625" style="1" customWidth="1"/>
    <col min="4" max="4" width="5.7109375" style="1" customWidth="1"/>
    <col min="5" max="5" width="4.8515625" style="1" customWidth="1"/>
    <col min="6" max="6" width="5.00390625" style="1" customWidth="1"/>
    <col min="7" max="7" width="11.7109375" style="1" customWidth="1"/>
    <col min="8" max="8" width="2.8515625" style="1" customWidth="1"/>
    <col min="9" max="9" width="11.7109375" style="1" customWidth="1"/>
    <col min="10" max="10" width="11.140625" style="1" customWidth="1"/>
    <col min="11" max="11" width="6.7109375" style="1" customWidth="1"/>
    <col min="12" max="12" width="6.8515625" style="1" customWidth="1"/>
    <col min="13" max="13" width="10.8515625" style="1" customWidth="1"/>
    <col min="14" max="14" width="7.57421875" style="1" customWidth="1"/>
    <col min="15" max="16" width="8.8515625" style="1" customWidth="1"/>
    <col min="17" max="16384" width="9.140625" style="1" customWidth="1"/>
  </cols>
  <sheetData>
    <row r="1" spans="1:16" ht="21" customHeight="1">
      <c r="A1" s="168" t="s">
        <v>105</v>
      </c>
      <c r="B1" s="168"/>
      <c r="C1" s="171" t="str">
        <f>ชื่อโครงการ!C5</f>
        <v>โรงงานวิชา Steel Design</v>
      </c>
      <c r="D1" s="171"/>
      <c r="E1" s="171"/>
      <c r="F1" s="171"/>
      <c r="G1" s="171"/>
      <c r="H1" s="171"/>
      <c r="I1" s="60"/>
      <c r="K1" s="60"/>
      <c r="L1" s="60"/>
      <c r="M1" s="168" t="str">
        <f>(""&amp;ชื่อโครงการ!B7&amp;" "&amp;ชื่อโครงการ!C7&amp;"")</f>
        <v>เจ้าของ : ภาควิชาวิศวกรรมโยธา</v>
      </c>
      <c r="N1" s="168"/>
      <c r="O1" s="168"/>
      <c r="P1" s="168"/>
    </row>
    <row r="2" spans="1:16" ht="21" customHeight="1" thickBot="1">
      <c r="A2" s="172" t="s">
        <v>106</v>
      </c>
      <c r="B2" s="172"/>
      <c r="C2" s="173" t="str">
        <f>ชื่อโครงการ!C6</f>
        <v>ภาควิชาวิศวกรรมโยธา</v>
      </c>
      <c r="D2" s="173"/>
      <c r="E2" s="173"/>
      <c r="F2" s="173"/>
      <c r="G2" s="173"/>
      <c r="H2" s="173"/>
      <c r="I2" s="61"/>
      <c r="J2" s="61"/>
      <c r="K2" s="61"/>
      <c r="L2" s="61"/>
      <c r="M2" s="61"/>
      <c r="N2" s="158" t="s">
        <v>229</v>
      </c>
      <c r="O2" s="62" t="s">
        <v>231</v>
      </c>
      <c r="P2" s="63"/>
    </row>
    <row r="3" spans="1:16" ht="24.75" customHeight="1">
      <c r="A3" s="170" t="s">
        <v>100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1:15" ht="21" customHeight="1">
      <c r="K5" s="72"/>
      <c r="L5" s="72"/>
      <c r="M5" s="72"/>
      <c r="N5" s="72"/>
      <c r="O5" s="72"/>
    </row>
    <row r="6" spans="2:18" ht="22.5" customHeight="1">
      <c r="B6" s="161" t="s">
        <v>233</v>
      </c>
      <c r="F6" s="5" t="s">
        <v>1</v>
      </c>
      <c r="G6" s="162">
        <v>26.4</v>
      </c>
      <c r="H6" s="1" t="s">
        <v>2</v>
      </c>
      <c r="K6" s="80" t="s">
        <v>0</v>
      </c>
      <c r="L6" s="72"/>
      <c r="M6" s="73" t="str">
        <f>G7&amp;" m."</f>
        <v>1.5 m.</v>
      </c>
      <c r="N6" s="72"/>
      <c r="O6" s="72"/>
      <c r="R6" s="52"/>
    </row>
    <row r="7" spans="2:15" ht="22.5" customHeight="1">
      <c r="B7" s="1" t="s">
        <v>0</v>
      </c>
      <c r="F7" s="3" t="s">
        <v>1</v>
      </c>
      <c r="G7" s="68">
        <v>1.5</v>
      </c>
      <c r="H7" s="1" t="s">
        <v>2</v>
      </c>
      <c r="K7" s="72"/>
      <c r="L7" s="72"/>
      <c r="M7" s="72"/>
      <c r="N7" s="72"/>
      <c r="O7" s="74">
        <f>O16</f>
        <v>0.365</v>
      </c>
    </row>
    <row r="8" spans="2:18" ht="22.5" customHeight="1">
      <c r="B8" s="1" t="s">
        <v>3</v>
      </c>
      <c r="F8" s="3" t="s">
        <v>1</v>
      </c>
      <c r="G8" s="68">
        <v>4</v>
      </c>
      <c r="H8" s="1" t="s">
        <v>2</v>
      </c>
      <c r="K8" s="72"/>
      <c r="L8" s="75"/>
      <c r="M8" s="76" t="str">
        <f>O19&amp;"  Degree"</f>
        <v>20  Degree</v>
      </c>
      <c r="N8" s="72"/>
      <c r="O8" s="72"/>
      <c r="R8" s="54"/>
    </row>
    <row r="9" spans="2:18" ht="22.5" customHeight="1">
      <c r="B9" s="14" t="s">
        <v>35</v>
      </c>
      <c r="F9" s="3"/>
      <c r="G9" s="4"/>
      <c r="H9" s="2"/>
      <c r="I9" s="4"/>
      <c r="K9" s="72"/>
      <c r="L9" s="72"/>
      <c r="M9" s="77">
        <f>O17</f>
        <v>1</v>
      </c>
      <c r="N9" s="72"/>
      <c r="O9" s="72"/>
      <c r="R9" s="5"/>
    </row>
    <row r="10" spans="2:16" ht="22.5" customHeight="1">
      <c r="B10" s="1" t="s">
        <v>99</v>
      </c>
      <c r="E10" s="69">
        <v>5</v>
      </c>
      <c r="F10" s="1" t="s">
        <v>108</v>
      </c>
      <c r="H10" s="3" t="s">
        <v>1</v>
      </c>
      <c r="I10" s="1" t="str">
        <f>E10&amp;"  kg/m2 x "&amp;G7&amp;" m."</f>
        <v>5  kg/m2 x 1.5 m.</v>
      </c>
      <c r="L10" s="2"/>
      <c r="N10" s="3" t="s">
        <v>1</v>
      </c>
      <c r="O10" s="4">
        <f>E10*G7</f>
        <v>7.5</v>
      </c>
      <c r="P10" s="5" t="s">
        <v>4</v>
      </c>
    </row>
    <row r="11" spans="2:16" ht="22.5" customHeight="1">
      <c r="B11" s="1" t="s">
        <v>234</v>
      </c>
      <c r="G11" s="1" t="s">
        <v>108</v>
      </c>
      <c r="H11" s="15" t="s">
        <v>1</v>
      </c>
      <c r="I11" s="163">
        <f>0.333*G6+5</f>
        <v>13.7912</v>
      </c>
      <c r="J11" s="1" t="s">
        <v>108</v>
      </c>
      <c r="N11" s="5" t="s">
        <v>1</v>
      </c>
      <c r="O11" s="10">
        <f>I11*G7</f>
        <v>20.686799999999998</v>
      </c>
      <c r="P11" s="5" t="s">
        <v>4</v>
      </c>
    </row>
    <row r="12" spans="2:16" ht="22.5" customHeight="1">
      <c r="B12" s="1" t="s">
        <v>97</v>
      </c>
      <c r="E12" s="69">
        <v>10</v>
      </c>
      <c r="F12" s="1" t="s">
        <v>109</v>
      </c>
      <c r="H12" s="15"/>
      <c r="L12" s="2"/>
      <c r="M12" s="18"/>
      <c r="N12" s="3" t="s">
        <v>1</v>
      </c>
      <c r="O12" s="39">
        <f>E12</f>
        <v>10</v>
      </c>
      <c r="P12" s="5" t="s">
        <v>4</v>
      </c>
    </row>
    <row r="13" spans="2:16" ht="22.5" customHeight="1">
      <c r="B13" s="1" t="s">
        <v>5</v>
      </c>
      <c r="E13" s="69">
        <v>50</v>
      </c>
      <c r="F13" s="1" t="s">
        <v>108</v>
      </c>
      <c r="H13" s="3" t="s">
        <v>1</v>
      </c>
      <c r="I13" s="1" t="str">
        <f>E13&amp;"  kg/m2 x "&amp;G7&amp;" m."</f>
        <v>50  kg/m2 x 1.5 m.</v>
      </c>
      <c r="N13" s="3" t="s">
        <v>1</v>
      </c>
      <c r="O13" s="44">
        <f>E13*G7</f>
        <v>75</v>
      </c>
      <c r="P13" s="5" t="s">
        <v>4</v>
      </c>
    </row>
    <row r="14" spans="13:16" ht="21.75" customHeight="1">
      <c r="M14" s="28" t="s">
        <v>110</v>
      </c>
      <c r="N14" s="3" t="s">
        <v>1</v>
      </c>
      <c r="O14" s="56">
        <f>SUM(O10:O13)</f>
        <v>113.1868</v>
      </c>
      <c r="P14" s="5" t="s">
        <v>4</v>
      </c>
    </row>
    <row r="15" spans="2:16" ht="21.75" customHeight="1">
      <c r="B15" s="14" t="s">
        <v>61</v>
      </c>
      <c r="I15" s="70">
        <v>12.5</v>
      </c>
      <c r="J15" s="1" t="s">
        <v>62</v>
      </c>
      <c r="N15" s="3" t="s">
        <v>1</v>
      </c>
      <c r="O15" s="10">
        <f>IF(0&lt;I15,50,0)+IF(9&lt;I15,30,0)+IF(19&lt;I15,40,0)+IF(39&lt;I15,40,0)</f>
        <v>80</v>
      </c>
      <c r="P15" s="5" t="s">
        <v>36</v>
      </c>
    </row>
    <row r="16" spans="2:16" ht="21.75" customHeight="1">
      <c r="B16" s="14"/>
      <c r="L16" s="18" t="s">
        <v>40</v>
      </c>
      <c r="M16" s="6" t="s">
        <v>41</v>
      </c>
      <c r="N16" s="3" t="s">
        <v>1</v>
      </c>
      <c r="O16" s="71">
        <v>0.365</v>
      </c>
      <c r="P16" s="1" t="s">
        <v>2</v>
      </c>
    </row>
    <row r="17" spans="2:16" ht="21.75" customHeight="1">
      <c r="B17" s="14"/>
      <c r="L17" s="18" t="s">
        <v>40</v>
      </c>
      <c r="M17" s="6" t="s">
        <v>42</v>
      </c>
      <c r="N17" s="3" t="s">
        <v>1</v>
      </c>
      <c r="O17" s="71">
        <v>1</v>
      </c>
      <c r="P17" s="1" t="s">
        <v>2</v>
      </c>
    </row>
    <row r="18" spans="6:16" ht="21.75" customHeight="1">
      <c r="F18" s="2"/>
      <c r="J18" s="66" t="s">
        <v>111</v>
      </c>
      <c r="K18" s="3" t="s">
        <v>1</v>
      </c>
      <c r="L18" s="29" t="str">
        <f>"arctan ( "&amp;O16&amp;" / "&amp;O17&amp;" )"</f>
        <v>arctan ( 0.365 / 1 )</v>
      </c>
      <c r="N18" s="3" t="s">
        <v>1</v>
      </c>
      <c r="O18" s="27">
        <f>(ATAN($O$16/$O$17))*180/(PI())</f>
        <v>20.052082146098538</v>
      </c>
      <c r="P18" s="15" t="s">
        <v>37</v>
      </c>
    </row>
    <row r="19" spans="6:16" ht="21.75" customHeight="1">
      <c r="F19" s="2"/>
      <c r="G19" s="26"/>
      <c r="K19" s="2"/>
      <c r="L19" s="5"/>
      <c r="M19" s="66" t="s">
        <v>112</v>
      </c>
      <c r="N19" s="3" t="s">
        <v>1</v>
      </c>
      <c r="O19" s="27">
        <f>ROUND(O18,0)</f>
        <v>20</v>
      </c>
      <c r="P19" s="15" t="s">
        <v>37</v>
      </c>
    </row>
    <row r="20" spans="2:16" ht="22.5" customHeight="1">
      <c r="B20" s="1" t="s">
        <v>98</v>
      </c>
      <c r="H20" s="3" t="s">
        <v>1</v>
      </c>
      <c r="I20" s="1" t="str">
        <f>"( "&amp;O15&amp;" x "&amp;O19&amp;" / 45) kg/m"</f>
        <v>( 80 x 20 / 45) kg/m</v>
      </c>
      <c r="N20" s="3" t="s">
        <v>1</v>
      </c>
      <c r="O20" s="10">
        <f>ROUND(O15*O19/45,2)</f>
        <v>35.56</v>
      </c>
      <c r="P20" s="5" t="s">
        <v>4</v>
      </c>
    </row>
    <row r="21" spans="2:16" ht="22.5" customHeight="1">
      <c r="B21" s="5" t="s">
        <v>6</v>
      </c>
      <c r="C21" s="3" t="s">
        <v>1</v>
      </c>
      <c r="D21" s="169" t="s">
        <v>113</v>
      </c>
      <c r="E21" s="169"/>
      <c r="H21" s="3" t="s">
        <v>1</v>
      </c>
      <c r="I21" s="17" t="str">
        <f>O14&amp;" x sin "&amp;O19</f>
        <v>113.1868 x sin 20</v>
      </c>
      <c r="N21" s="3" t="s">
        <v>1</v>
      </c>
      <c r="O21" s="10">
        <f>O14*SIN(O19*PI()/180)</f>
        <v>38.7121655585738</v>
      </c>
      <c r="P21" s="5" t="s">
        <v>4</v>
      </c>
    </row>
    <row r="22" spans="2:16" ht="22.5" customHeight="1">
      <c r="B22" s="5" t="s">
        <v>7</v>
      </c>
      <c r="C22" s="3" t="s">
        <v>1</v>
      </c>
      <c r="D22" s="1" t="s">
        <v>114</v>
      </c>
      <c r="H22" s="3" t="s">
        <v>1</v>
      </c>
      <c r="I22" s="1" t="str">
        <f>O14&amp;" x cos "&amp;O19&amp;" + "&amp;O20</f>
        <v>113.1868 x cos 20 + 35.56</v>
      </c>
      <c r="N22" s="3" t="s">
        <v>1</v>
      </c>
      <c r="O22" s="10">
        <f>ROUND($O$14*COS($O$19*PI()/180)+$O$20,2)</f>
        <v>141.92</v>
      </c>
      <c r="P22" s="5" t="s">
        <v>4</v>
      </c>
    </row>
    <row r="23" spans="2:16" ht="22.5" customHeight="1">
      <c r="B23" s="5" t="s">
        <v>8</v>
      </c>
      <c r="C23" s="3" t="s">
        <v>1</v>
      </c>
      <c r="D23" s="1" t="s">
        <v>39</v>
      </c>
      <c r="G23" s="6" t="s">
        <v>8</v>
      </c>
      <c r="H23" s="3" t="s">
        <v>1</v>
      </c>
      <c r="I23" s="1" t="str">
        <f>"1/8 x "&amp;O22&amp;" x "&amp;G8&amp;"^2"</f>
        <v>1/8 x 141.92 x 4^2</v>
      </c>
      <c r="N23" s="3" t="s">
        <v>1</v>
      </c>
      <c r="O23" s="4">
        <f>ROUND(1/8*O22*$G$8^2,2)</f>
        <v>283.84</v>
      </c>
      <c r="P23" s="5" t="s">
        <v>10</v>
      </c>
    </row>
    <row r="24" spans="2:16" ht="22.5" customHeight="1">
      <c r="B24" s="5" t="s">
        <v>9</v>
      </c>
      <c r="C24" s="3" t="s">
        <v>1</v>
      </c>
      <c r="D24" s="1" t="s">
        <v>57</v>
      </c>
      <c r="G24" s="6" t="s">
        <v>9</v>
      </c>
      <c r="H24" s="3" t="s">
        <v>1</v>
      </c>
      <c r="I24" s="1" t="str">
        <f>"1/8 x "&amp;O23&amp;" x "&amp;G8&amp;"^2"</f>
        <v>1/8 x 283.84 x 4^2</v>
      </c>
      <c r="N24" s="3" t="s">
        <v>1</v>
      </c>
      <c r="O24" s="10">
        <f>ROUND(1/8*O21*$G$8^2,2)</f>
        <v>77.42</v>
      </c>
      <c r="P24" s="5" t="s">
        <v>10</v>
      </c>
    </row>
    <row r="25" spans="2:16" ht="22.5" customHeight="1">
      <c r="B25" s="20" t="s">
        <v>24</v>
      </c>
      <c r="C25" s="20"/>
      <c r="D25" s="20"/>
      <c r="E25" s="21"/>
      <c r="F25" s="21"/>
      <c r="G25" s="22" t="s">
        <v>26</v>
      </c>
      <c r="H25" s="25" t="s">
        <v>1</v>
      </c>
      <c r="I25" s="23">
        <v>5000</v>
      </c>
      <c r="J25" s="167" t="s">
        <v>58</v>
      </c>
      <c r="K25" s="22" t="s">
        <v>25</v>
      </c>
      <c r="L25" s="25" t="s">
        <v>1</v>
      </c>
      <c r="M25" s="23">
        <v>2520</v>
      </c>
      <c r="N25" s="167" t="s">
        <v>58</v>
      </c>
      <c r="P25" s="5"/>
    </row>
    <row r="26" spans="2:16" ht="22.5" customHeight="1">
      <c r="B26" s="21"/>
      <c r="C26" s="21"/>
      <c r="D26" s="21"/>
      <c r="E26" s="21"/>
      <c r="F26" s="21"/>
      <c r="G26" s="22" t="s">
        <v>33</v>
      </c>
      <c r="H26" s="25" t="s">
        <v>1</v>
      </c>
      <c r="I26" s="100">
        <v>2040000</v>
      </c>
      <c r="J26" s="166" t="s">
        <v>128</v>
      </c>
      <c r="K26" s="22"/>
      <c r="L26" s="25"/>
      <c r="M26" s="23"/>
      <c r="N26" s="24"/>
      <c r="P26" s="5"/>
    </row>
    <row r="27" spans="2:16" ht="20.25" customHeight="1">
      <c r="B27" s="92">
        <v>52</v>
      </c>
      <c r="C27" s="92"/>
      <c r="D27" s="92"/>
      <c r="E27" s="92"/>
      <c r="F27" s="92"/>
      <c r="G27" s="165" t="s">
        <v>54</v>
      </c>
      <c r="H27" s="93"/>
      <c r="I27" s="93">
        <f>INDEX('Data Base'!C2:C71,แป!$B$27)</f>
        <v>8.287</v>
      </c>
      <c r="J27" s="93" t="s">
        <v>55</v>
      </c>
      <c r="K27" s="94" t="s">
        <v>11</v>
      </c>
      <c r="L27" s="95" t="s">
        <v>1</v>
      </c>
      <c r="M27" s="93">
        <f>INDEX('Data Base'!B$2:B$71,แป!$B$27)</f>
        <v>6.51</v>
      </c>
      <c r="N27" s="164" t="s">
        <v>4</v>
      </c>
      <c r="O27" s="14"/>
      <c r="P27" s="14"/>
    </row>
    <row r="28" spans="2:18" ht="22.5" customHeight="1">
      <c r="B28" s="93"/>
      <c r="C28" s="93"/>
      <c r="D28" s="93"/>
      <c r="E28" s="93"/>
      <c r="F28" s="93"/>
      <c r="G28" s="94" t="s">
        <v>12</v>
      </c>
      <c r="H28" s="95" t="s">
        <v>1</v>
      </c>
      <c r="I28" s="93">
        <f>INDEX('Data Base'!D2:D71,แป!$B$27)</f>
        <v>186</v>
      </c>
      <c r="J28" s="93" t="s">
        <v>59</v>
      </c>
      <c r="K28" s="94" t="s">
        <v>34</v>
      </c>
      <c r="L28" s="95" t="s">
        <v>1</v>
      </c>
      <c r="M28" s="93">
        <f>INDEX('Data Base'!E2:E71,แป!$B$27)</f>
        <v>40.9</v>
      </c>
      <c r="N28" s="93" t="s">
        <v>59</v>
      </c>
      <c r="O28" s="65"/>
      <c r="P28" s="65"/>
      <c r="Q28" s="3"/>
      <c r="R28" s="8"/>
    </row>
    <row r="29" spans="2:18" ht="22.5" customHeight="1">
      <c r="B29" s="93"/>
      <c r="C29" s="93"/>
      <c r="D29" s="93"/>
      <c r="E29" s="93"/>
      <c r="F29" s="93"/>
      <c r="G29" s="94" t="s">
        <v>13</v>
      </c>
      <c r="H29" s="95" t="s">
        <v>1</v>
      </c>
      <c r="I29" s="93">
        <f>INDEX('Data Base'!F2:F71,แป!$B$27)</f>
        <v>31</v>
      </c>
      <c r="J29" s="93" t="s">
        <v>60</v>
      </c>
      <c r="K29" s="94" t="s">
        <v>27</v>
      </c>
      <c r="L29" s="95" t="s">
        <v>1</v>
      </c>
      <c r="M29" s="93">
        <f>INDEX('Data Base'!G2:G71,แป!$B$27)</f>
        <v>10.5</v>
      </c>
      <c r="N29" s="93" t="s">
        <v>60</v>
      </c>
      <c r="O29" s="14"/>
      <c r="P29" s="14"/>
      <c r="Q29" s="3"/>
      <c r="R29" s="8"/>
    </row>
    <row r="30" spans="2:19" ht="22.5" customHeight="1">
      <c r="B30" s="97"/>
      <c r="C30" s="97"/>
      <c r="D30" s="97"/>
      <c r="E30" s="97"/>
      <c r="F30" s="97"/>
      <c r="G30" s="98" t="s">
        <v>96</v>
      </c>
      <c r="H30" s="99" t="s">
        <v>1</v>
      </c>
      <c r="I30" s="93">
        <f>INDEX('Data Base'!J2:J71,แป!$B$27)</f>
        <v>3.2</v>
      </c>
      <c r="J30" s="97" t="s">
        <v>235</v>
      </c>
      <c r="K30" s="94" t="s">
        <v>94</v>
      </c>
      <c r="L30" s="96" t="s">
        <v>1</v>
      </c>
      <c r="M30" s="93">
        <f>INDEX('Data Base'!I2:I71,แป!$B$27)</f>
        <v>6</v>
      </c>
      <c r="N30" s="164" t="s">
        <v>95</v>
      </c>
      <c r="O30" s="51"/>
      <c r="P30" s="14"/>
      <c r="Q30" s="3"/>
      <c r="R30" s="7"/>
      <c r="S30" s="5"/>
    </row>
    <row r="31" spans="7:18" ht="22.5" customHeight="1">
      <c r="G31" s="6" t="s">
        <v>19</v>
      </c>
      <c r="H31" s="3" t="s">
        <v>1</v>
      </c>
      <c r="I31" s="1" t="s">
        <v>21</v>
      </c>
      <c r="J31" s="2"/>
      <c r="K31" s="2"/>
      <c r="L31" s="3" t="s">
        <v>1</v>
      </c>
      <c r="M31" s="9">
        <f>0.6*M25</f>
        <v>1512</v>
      </c>
      <c r="N31" s="5" t="s">
        <v>23</v>
      </c>
      <c r="Q31" s="3"/>
      <c r="R31" s="8"/>
    </row>
    <row r="32" spans="2:14" ht="22.5" customHeight="1">
      <c r="B32" s="20" t="s">
        <v>103</v>
      </c>
      <c r="G32" s="6" t="s">
        <v>20</v>
      </c>
      <c r="H32" s="3" t="s">
        <v>1</v>
      </c>
      <c r="I32" s="1" t="s">
        <v>22</v>
      </c>
      <c r="L32" s="3" t="s">
        <v>1</v>
      </c>
      <c r="M32" s="4">
        <f>0.75*M25</f>
        <v>1890</v>
      </c>
      <c r="N32" s="5" t="s">
        <v>23</v>
      </c>
    </row>
    <row r="33" spans="2:18" ht="22.5" customHeight="1">
      <c r="B33" s="1" t="s">
        <v>14</v>
      </c>
      <c r="D33" s="3" t="s">
        <v>18</v>
      </c>
      <c r="E33" s="1" t="s">
        <v>15</v>
      </c>
      <c r="H33" s="3" t="s">
        <v>1</v>
      </c>
      <c r="I33" s="1" t="s">
        <v>16</v>
      </c>
      <c r="J33" s="3" t="s">
        <v>18</v>
      </c>
      <c r="K33" s="1" t="s">
        <v>17</v>
      </c>
      <c r="Q33" s="3"/>
      <c r="R33" s="8"/>
    </row>
    <row r="34" spans="4:12" ht="22.5" customHeight="1">
      <c r="D34" s="3"/>
      <c r="H34" s="3" t="s">
        <v>1</v>
      </c>
      <c r="I34" s="1" t="str">
        <f>"( "&amp;O23&amp;"x 100/"&amp;I29&amp;" ) / "&amp;M31</f>
        <v>( 283.84x 100/31 ) / 1512</v>
      </c>
      <c r="K34" s="3" t="s">
        <v>18</v>
      </c>
      <c r="L34" s="1" t="str">
        <f>"( "&amp;O24&amp;"x100/"&amp;M29&amp;" ) / "&amp;M32</f>
        <v>( 77.42x100/10.5 ) / 1890</v>
      </c>
    </row>
    <row r="35" spans="8:16" ht="22.5" customHeight="1">
      <c r="H35" s="5" t="s">
        <v>1</v>
      </c>
      <c r="I35" s="11" t="str">
        <f>ROUND(($O$23*100)/$I$29/$M$31,3)&amp;"  +   "&amp;ROUND(($O$24*100)/$M$29/$M$32,3)&amp;"    =    "&amp;ROUND(($O$23*100)/$I$29/$M$31+($O$24*100)/$M$29/$M$32,3)</f>
        <v>0.606  +   0.39    =    0.996</v>
      </c>
      <c r="J35" s="3"/>
      <c r="K35" s="3"/>
      <c r="L35" s="1" t="str">
        <f>IF(ROUND(($O$23*100)/$I$29/$M$31+($O$24*100)/$M$29/$M$32,3)&lt;1,"&lt; 1","&gt; 1")</f>
        <v>&lt; 1</v>
      </c>
      <c r="M35" s="38" t="str">
        <f>IF(ROUND(($O$23*100)/$I$29/$M$31+($O$24*100)/$M$29/$M$32,3)&lt;1,"O.K."," No Pass")</f>
        <v>O.K.</v>
      </c>
      <c r="N35" s="13"/>
      <c r="O35" s="4"/>
      <c r="P35" s="12"/>
    </row>
    <row r="36" ht="19.5" customHeight="1">
      <c r="B36" s="20" t="s">
        <v>29</v>
      </c>
    </row>
    <row r="37" spans="3:16" ht="22.5" customHeight="1">
      <c r="C37" s="5"/>
      <c r="E37" s="58"/>
      <c r="F37" s="64" t="s">
        <v>104</v>
      </c>
      <c r="G37" s="19" t="s">
        <v>32</v>
      </c>
      <c r="H37" s="3" t="s">
        <v>1</v>
      </c>
      <c r="I37" s="1" t="s">
        <v>30</v>
      </c>
      <c r="L37" s="3" t="s">
        <v>1</v>
      </c>
      <c r="M37" s="1" t="str">
        <f>G8*100&amp;" / "&amp;"360"</f>
        <v>400 / 360</v>
      </c>
      <c r="N37" s="3" t="s">
        <v>1</v>
      </c>
      <c r="O37" s="10">
        <f>G8*100/360</f>
        <v>1.1111111111111112</v>
      </c>
      <c r="P37" s="1" t="s">
        <v>31</v>
      </c>
    </row>
    <row r="38" spans="2:16" ht="22.5" customHeight="1">
      <c r="B38" s="14"/>
      <c r="C38" s="14"/>
      <c r="D38" s="14"/>
      <c r="E38" s="14"/>
      <c r="F38" s="64" t="s">
        <v>104</v>
      </c>
      <c r="G38" s="41" t="s">
        <v>38</v>
      </c>
      <c r="H38" s="42" t="s">
        <v>1</v>
      </c>
      <c r="I38" s="14" t="s">
        <v>160</v>
      </c>
      <c r="J38" s="14"/>
      <c r="K38" s="14"/>
      <c r="L38" s="42"/>
      <c r="M38" s="14"/>
      <c r="N38" s="14"/>
      <c r="O38" s="14"/>
      <c r="P38" s="14"/>
    </row>
    <row r="39" spans="2:16" ht="22.5" customHeight="1">
      <c r="B39" s="14"/>
      <c r="C39" s="14"/>
      <c r="D39" s="14"/>
      <c r="E39" s="14"/>
      <c r="F39" s="65"/>
      <c r="G39" s="14"/>
      <c r="H39" s="42" t="s">
        <v>1</v>
      </c>
      <c r="I39" s="43">
        <f>(5*O22*G8*100^4)/(384*2.04*10^6*I28*100)</f>
        <v>0.019480462435870403</v>
      </c>
      <c r="J39" s="15" t="s">
        <v>28</v>
      </c>
      <c r="K39" s="44">
        <f>O37</f>
        <v>1.1111111111111112</v>
      </c>
      <c r="L39" s="53" t="str">
        <f>IF(K39&gt;I39,"O.K.","No Pass")</f>
        <v>O.K.</v>
      </c>
      <c r="N39" s="14"/>
      <c r="O39" s="14"/>
      <c r="P39" s="45"/>
    </row>
    <row r="40" spans="2:16" ht="22.5" customHeight="1">
      <c r="B40" s="14"/>
      <c r="C40" s="14"/>
      <c r="D40" s="14"/>
      <c r="E40" s="14"/>
      <c r="F40" s="64" t="s">
        <v>104</v>
      </c>
      <c r="G40" s="41" t="s">
        <v>102</v>
      </c>
      <c r="H40" s="42" t="s">
        <v>1</v>
      </c>
      <c r="I40" s="14" t="s">
        <v>161</v>
      </c>
      <c r="J40" s="14"/>
      <c r="K40" s="14"/>
      <c r="L40" s="42"/>
      <c r="M40" s="14"/>
      <c r="N40" s="14"/>
      <c r="O40" s="14"/>
      <c r="P40" s="14"/>
    </row>
    <row r="41" spans="2:16" ht="22.5" customHeight="1">
      <c r="B41" s="14"/>
      <c r="C41" s="14"/>
      <c r="D41" s="14"/>
      <c r="E41" s="14"/>
      <c r="F41" s="14"/>
      <c r="G41" s="14"/>
      <c r="H41" s="42" t="s">
        <v>1</v>
      </c>
      <c r="I41" s="43">
        <f>(5*O21*G8*100^4)/(384*2.04*10^6*M28*100)</f>
        <v>0.02416533178534908</v>
      </c>
      <c r="J41" s="15" t="s">
        <v>28</v>
      </c>
      <c r="K41" s="44">
        <f>O37</f>
        <v>1.1111111111111112</v>
      </c>
      <c r="L41" s="53" t="str">
        <f>IF(K41&gt;I41,"O.K.","No Pass")</f>
        <v>O.K.</v>
      </c>
      <c r="N41" s="14"/>
      <c r="O41" s="14"/>
      <c r="P41" s="45"/>
    </row>
    <row r="42" spans="2:16" ht="22.5" customHeight="1">
      <c r="B42" s="46" t="s">
        <v>43</v>
      </c>
      <c r="C42" s="14"/>
      <c r="D42" s="14"/>
      <c r="E42" s="14"/>
      <c r="F42" s="14"/>
      <c r="G42" s="47" t="s">
        <v>44</v>
      </c>
      <c r="H42" s="42" t="s">
        <v>1</v>
      </c>
      <c r="I42" s="14" t="s">
        <v>150</v>
      </c>
      <c r="J42" s="14"/>
      <c r="K42" s="14"/>
      <c r="L42" s="42" t="s">
        <v>1</v>
      </c>
      <c r="M42" s="39">
        <f>0.5*O22*G8</f>
        <v>283.84</v>
      </c>
      <c r="N42" s="15" t="s">
        <v>45</v>
      </c>
      <c r="O42" s="14"/>
      <c r="P42" s="14"/>
    </row>
    <row r="43" spans="2:16" ht="22.5" customHeight="1">
      <c r="B43" s="41" t="s">
        <v>46</v>
      </c>
      <c r="C43" s="14"/>
      <c r="D43" s="14"/>
      <c r="E43" s="14"/>
      <c r="F43" s="14"/>
      <c r="G43" s="48"/>
      <c r="H43" s="42" t="s">
        <v>1</v>
      </c>
      <c r="I43" s="49" t="s">
        <v>47</v>
      </c>
      <c r="J43" s="14"/>
      <c r="K43" s="14"/>
      <c r="L43" s="42" t="s">
        <v>1</v>
      </c>
      <c r="M43" s="44">
        <f>0.4*M25</f>
        <v>1008</v>
      </c>
      <c r="N43" s="15" t="s">
        <v>23</v>
      </c>
      <c r="O43" s="14"/>
      <c r="P43" s="14"/>
    </row>
    <row r="44" spans="2:16" ht="22.5" customHeight="1">
      <c r="B44" s="14" t="s">
        <v>48</v>
      </c>
      <c r="C44" s="14"/>
      <c r="D44" s="14"/>
      <c r="E44" s="14"/>
      <c r="F44" s="14"/>
      <c r="G44" s="47" t="s">
        <v>51</v>
      </c>
      <c r="H44" s="42" t="s">
        <v>1</v>
      </c>
      <c r="I44" s="14" t="s">
        <v>52</v>
      </c>
      <c r="J44" s="14"/>
      <c r="K44" s="14"/>
      <c r="L44" s="42" t="s">
        <v>1</v>
      </c>
      <c r="M44" s="39">
        <f>M42/I30</f>
        <v>88.69999999999999</v>
      </c>
      <c r="N44" s="15" t="s">
        <v>23</v>
      </c>
      <c r="O44" s="50" t="s">
        <v>56</v>
      </c>
      <c r="P44" s="38" t="str">
        <f>IF(M44&lt;M43,"O.K."," No Pass")</f>
        <v>O.K.</v>
      </c>
    </row>
    <row r="45" spans="2:16" ht="18.75" customHeight="1">
      <c r="B45" s="14" t="s">
        <v>49</v>
      </c>
      <c r="C45" s="14"/>
      <c r="D45" s="14"/>
      <c r="E45" s="14"/>
      <c r="F45" s="14"/>
      <c r="G45" s="47" t="s">
        <v>50</v>
      </c>
      <c r="H45" s="42" t="s">
        <v>1</v>
      </c>
      <c r="I45" s="14" t="s">
        <v>53</v>
      </c>
      <c r="J45" s="14"/>
      <c r="K45" s="14"/>
      <c r="L45" s="42" t="s">
        <v>1</v>
      </c>
      <c r="M45" s="39">
        <f>M42/(M30*I30)</f>
        <v>14.78333333333333</v>
      </c>
      <c r="N45" s="15" t="s">
        <v>23</v>
      </c>
      <c r="O45" s="50" t="s">
        <v>56</v>
      </c>
      <c r="P45" s="38" t="str">
        <f>IF(M45&lt;M43,"O.K."," No Pass")</f>
        <v>O.K.</v>
      </c>
    </row>
    <row r="46" spans="2:16" ht="18.75" customHeight="1">
      <c r="B46" s="14"/>
      <c r="C46" s="14"/>
      <c r="D46" s="14"/>
      <c r="E46" s="14"/>
      <c r="F46" s="14"/>
      <c r="G46" s="47"/>
      <c r="H46" s="42"/>
      <c r="I46" s="14"/>
      <c r="J46" s="14"/>
      <c r="K46" s="14"/>
      <c r="L46" s="42"/>
      <c r="M46" s="39"/>
      <c r="N46" s="15"/>
      <c r="O46" s="50"/>
      <c r="P46" s="45"/>
    </row>
    <row r="47" spans="2:16" ht="22.5" customHeight="1">
      <c r="B47" s="14"/>
      <c r="C47" s="14"/>
      <c r="D47" s="14"/>
      <c r="E47" s="14"/>
      <c r="F47" s="14"/>
      <c r="G47" s="14"/>
      <c r="H47" s="14"/>
      <c r="I47" s="57"/>
      <c r="J47" s="57"/>
      <c r="K47" s="57"/>
      <c r="L47" s="57"/>
      <c r="M47" s="57"/>
      <c r="N47" s="57"/>
      <c r="O47" s="57"/>
      <c r="P47" s="14"/>
    </row>
  </sheetData>
  <mergeCells count="7">
    <mergeCell ref="M1:P1"/>
    <mergeCell ref="D21:E21"/>
    <mergeCell ref="A3:P3"/>
    <mergeCell ref="A1:B1"/>
    <mergeCell ref="C1:H1"/>
    <mergeCell ref="A2:B2"/>
    <mergeCell ref="C2:H2"/>
  </mergeCells>
  <printOptions horizontalCentered="1"/>
  <pageMargins left="0.3937007874015748" right="0" top="0.31496062992125984" bottom="0.2755905511811024" header="0.2362204724409449" footer="0.1968503937007874"/>
  <pageSetup horizontalDpi="300" verticalDpi="300" orientation="portrait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R23" sqref="R23"/>
    </sheetView>
  </sheetViews>
  <sheetFormatPr defaultColWidth="9.140625" defaultRowHeight="21.75"/>
  <cols>
    <col min="1" max="1" width="3.421875" style="1" customWidth="1"/>
    <col min="2" max="2" width="5.7109375" style="1" customWidth="1"/>
    <col min="3" max="3" width="4.140625" style="1" customWidth="1"/>
    <col min="4" max="4" width="5.7109375" style="1" customWidth="1"/>
    <col min="5" max="5" width="4.8515625" style="1" customWidth="1"/>
    <col min="6" max="6" width="3.140625" style="1" customWidth="1"/>
    <col min="7" max="7" width="10.7109375" style="1" customWidth="1"/>
    <col min="8" max="8" width="4.7109375" style="1" customWidth="1"/>
    <col min="9" max="9" width="10.57421875" style="1" customWidth="1"/>
    <col min="10" max="10" width="6.421875" style="1" customWidth="1"/>
    <col min="11" max="11" width="6.7109375" style="1" customWidth="1"/>
    <col min="12" max="12" width="6.8515625" style="1" customWidth="1"/>
    <col min="13" max="13" width="9.00390625" style="1" customWidth="1"/>
    <col min="14" max="14" width="5.421875" style="1" customWidth="1"/>
    <col min="15" max="15" width="6.28125" style="1" customWidth="1"/>
    <col min="16" max="16" width="8.00390625" style="1" customWidth="1"/>
    <col min="17" max="16384" width="9.140625" style="1" customWidth="1"/>
  </cols>
  <sheetData>
    <row r="1" spans="1:16" ht="21" customHeight="1">
      <c r="A1" s="168" t="s">
        <v>105</v>
      </c>
      <c r="B1" s="168"/>
      <c r="C1" s="171" t="str">
        <f>ชื่อโครงการ!C5</f>
        <v>โรงงานวิชา Steel Design</v>
      </c>
      <c r="D1" s="171"/>
      <c r="E1" s="171"/>
      <c r="F1" s="171"/>
      <c r="G1" s="171"/>
      <c r="H1" s="171"/>
      <c r="I1" s="60"/>
      <c r="K1" s="60"/>
      <c r="L1" s="60"/>
      <c r="M1" s="168" t="str">
        <f>(""&amp;ชื่อโครงการ!B7&amp;" "&amp;ชื่อโครงการ!C7&amp;"")</f>
        <v>เจ้าของ : ภาควิชาวิศวกรรมโยธา</v>
      </c>
      <c r="N1" s="168"/>
      <c r="O1" s="168"/>
      <c r="P1" s="168"/>
    </row>
    <row r="2" spans="1:16" ht="21" customHeight="1" thickBot="1">
      <c r="A2" s="172" t="s">
        <v>106</v>
      </c>
      <c r="B2" s="172"/>
      <c r="C2" s="173" t="str">
        <f>ชื่อโครงการ!C6</f>
        <v>ภาควิชาวิศวกรรมโยธา</v>
      </c>
      <c r="D2" s="173"/>
      <c r="E2" s="173"/>
      <c r="F2" s="173"/>
      <c r="G2" s="173"/>
      <c r="H2" s="173"/>
      <c r="I2" s="61"/>
      <c r="J2" s="61"/>
      <c r="K2" s="61"/>
      <c r="L2" s="61"/>
      <c r="M2" s="61"/>
      <c r="N2" s="62"/>
      <c r="O2" s="63"/>
      <c r="P2" s="63"/>
    </row>
    <row r="3" spans="1:16" ht="24.75" customHeight="1">
      <c r="A3" s="170" t="s">
        <v>115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2:18" ht="22.5" customHeight="1">
      <c r="B4" s="16"/>
      <c r="K4" s="78"/>
      <c r="L4" s="14"/>
      <c r="M4" s="79"/>
      <c r="N4" s="14"/>
      <c r="O4" s="14"/>
      <c r="R4" s="52"/>
    </row>
    <row r="5" spans="2:15" ht="22.5" customHeight="1">
      <c r="B5" s="1" t="s">
        <v>0</v>
      </c>
      <c r="F5" s="3" t="s">
        <v>1</v>
      </c>
      <c r="G5" s="68">
        <v>0.33</v>
      </c>
      <c r="H5" s="1" t="s">
        <v>2</v>
      </c>
      <c r="J5" s="109"/>
      <c r="K5" s="110"/>
      <c r="L5" s="111"/>
      <c r="M5" s="112"/>
      <c r="N5" s="109"/>
      <c r="O5" s="44"/>
    </row>
    <row r="6" spans="2:18" ht="22.5" customHeight="1">
      <c r="B6" s="1" t="s">
        <v>116</v>
      </c>
      <c r="F6" s="3" t="s">
        <v>1</v>
      </c>
      <c r="G6" s="68">
        <v>1</v>
      </c>
      <c r="H6" s="1" t="s">
        <v>2</v>
      </c>
      <c r="K6" s="113"/>
      <c r="L6" s="118" t="s">
        <v>135</v>
      </c>
      <c r="M6" s="119">
        <f>G13</f>
        <v>823.1707358084558</v>
      </c>
      <c r="N6" s="120" t="str">
        <f>H13</f>
        <v>kg /m</v>
      </c>
      <c r="O6" s="109"/>
      <c r="R6" s="54"/>
    </row>
    <row r="7" spans="2:18" ht="22.5" customHeight="1">
      <c r="B7" s="1" t="s">
        <v>123</v>
      </c>
      <c r="F7" s="3" t="s">
        <v>1</v>
      </c>
      <c r="G7" s="68">
        <v>3.5</v>
      </c>
      <c r="H7" s="1" t="s">
        <v>2</v>
      </c>
      <c r="K7" s="114"/>
      <c r="L7" s="115"/>
      <c r="M7" s="116"/>
      <c r="N7" s="109"/>
      <c r="O7" s="109"/>
      <c r="R7" s="54"/>
    </row>
    <row r="8" spans="2:18" ht="22.5" customHeight="1">
      <c r="B8" s="46" t="s">
        <v>35</v>
      </c>
      <c r="F8" s="3"/>
      <c r="G8" s="4"/>
      <c r="H8" s="2"/>
      <c r="I8" s="4"/>
      <c r="K8" s="114"/>
      <c r="L8" s="117"/>
      <c r="M8" s="111"/>
      <c r="N8" s="109"/>
      <c r="O8" s="109"/>
      <c r="R8" s="5"/>
    </row>
    <row r="9" spans="2:16" ht="22.5" customHeight="1">
      <c r="B9" s="14" t="s">
        <v>118</v>
      </c>
      <c r="E9" s="69"/>
      <c r="F9" s="5" t="s">
        <v>1</v>
      </c>
      <c r="G9" s="81">
        <f>ROUND(แป!M42,0)</f>
        <v>284</v>
      </c>
      <c r="H9" s="67" t="s">
        <v>119</v>
      </c>
      <c r="K9" s="114"/>
      <c r="L9" s="118" t="s">
        <v>136</v>
      </c>
      <c r="M9" s="121">
        <f>G7</f>
        <v>3.5</v>
      </c>
      <c r="N9" s="122" t="str">
        <f>H7</f>
        <v>m.</v>
      </c>
      <c r="O9" s="109"/>
      <c r="P9" s="5"/>
    </row>
    <row r="10" spans="2:16" ht="22.5" customHeight="1">
      <c r="B10" s="14" t="s">
        <v>117</v>
      </c>
      <c r="E10" s="69"/>
      <c r="F10" s="15" t="s">
        <v>1</v>
      </c>
      <c r="G10" s="82">
        <f>ROUND(G9/G5,0)</f>
        <v>861</v>
      </c>
      <c r="H10" s="67" t="s">
        <v>121</v>
      </c>
      <c r="K10" s="114"/>
      <c r="L10" s="115"/>
      <c r="M10" s="116"/>
      <c r="N10" s="109"/>
      <c r="O10" s="109"/>
      <c r="P10" s="5"/>
    </row>
    <row r="11" spans="2:16" ht="22.5" customHeight="1">
      <c r="B11" s="14" t="s">
        <v>120</v>
      </c>
      <c r="E11" s="69"/>
      <c r="F11" s="15" t="s">
        <v>1</v>
      </c>
      <c r="G11" s="105">
        <v>15</v>
      </c>
      <c r="H11" s="67" t="s">
        <v>121</v>
      </c>
      <c r="N11" s="3"/>
      <c r="O11" s="44"/>
      <c r="P11" s="5"/>
    </row>
    <row r="12" spans="2:16" ht="22.5" customHeight="1">
      <c r="B12" s="14" t="s">
        <v>190</v>
      </c>
      <c r="E12" s="69"/>
      <c r="F12" s="15" t="s">
        <v>1</v>
      </c>
      <c r="G12" s="127">
        <f>แป!O19</f>
        <v>20</v>
      </c>
      <c r="H12" s="67" t="s">
        <v>144</v>
      </c>
      <c r="N12" s="3"/>
      <c r="O12" s="44"/>
      <c r="P12" s="5"/>
    </row>
    <row r="13" spans="2:8" ht="21.75" customHeight="1">
      <c r="B13" s="123" t="s">
        <v>191</v>
      </c>
      <c r="F13" s="3" t="s">
        <v>1</v>
      </c>
      <c r="G13" s="84">
        <f>SUM(G10:G11)*COS(G12*PI()/180)</f>
        <v>823.1707358084558</v>
      </c>
      <c r="H13" s="67" t="s">
        <v>121</v>
      </c>
    </row>
    <row r="14" spans="2:16" ht="22.5" customHeight="1">
      <c r="B14" s="6" t="s">
        <v>122</v>
      </c>
      <c r="C14" s="2" t="s">
        <v>1</v>
      </c>
      <c r="D14" s="1" t="s">
        <v>125</v>
      </c>
      <c r="F14" s="15" t="s">
        <v>1</v>
      </c>
      <c r="G14" s="128">
        <f>CEILING((G13*G7^2)/8,1)</f>
        <v>1261</v>
      </c>
      <c r="H14" s="67" t="s">
        <v>124</v>
      </c>
      <c r="N14" s="3"/>
      <c r="O14" s="4"/>
      <c r="P14" s="5"/>
    </row>
    <row r="15" spans="2:16" ht="22.5" customHeight="1">
      <c r="B15" s="20" t="s">
        <v>24</v>
      </c>
      <c r="C15" s="20"/>
      <c r="D15" s="20"/>
      <c r="E15" s="21"/>
      <c r="F15" s="24"/>
      <c r="G15" s="22" t="s">
        <v>26</v>
      </c>
      <c r="H15" s="25" t="s">
        <v>1</v>
      </c>
      <c r="I15" s="23">
        <v>5000</v>
      </c>
      <c r="J15" s="24" t="s">
        <v>128</v>
      </c>
      <c r="K15" s="22" t="s">
        <v>25</v>
      </c>
      <c r="L15" s="25" t="s">
        <v>1</v>
      </c>
      <c r="M15" s="23">
        <v>2520</v>
      </c>
      <c r="N15" s="24" t="s">
        <v>128</v>
      </c>
      <c r="P15" s="5"/>
    </row>
    <row r="16" spans="2:16" ht="22.5" customHeight="1">
      <c r="B16" s="21"/>
      <c r="C16" s="21"/>
      <c r="D16" s="21"/>
      <c r="E16" s="21"/>
      <c r="F16" s="21"/>
      <c r="G16" s="22" t="s">
        <v>33</v>
      </c>
      <c r="H16" s="25" t="s">
        <v>1</v>
      </c>
      <c r="I16" s="100">
        <f>2.04*10^6</f>
        <v>2040000</v>
      </c>
      <c r="J16" s="24" t="s">
        <v>128</v>
      </c>
      <c r="K16" s="22"/>
      <c r="L16" s="25"/>
      <c r="M16" s="23"/>
      <c r="N16" s="24"/>
      <c r="P16" s="5"/>
    </row>
    <row r="17" spans="2:15" ht="18" customHeight="1">
      <c r="B17" s="72"/>
      <c r="C17" s="85">
        <v>1</v>
      </c>
      <c r="D17" s="85"/>
      <c r="E17" s="85"/>
      <c r="F17" s="85"/>
      <c r="G17" s="85"/>
      <c r="H17" s="85"/>
      <c r="I17" s="86"/>
      <c r="J17" s="86"/>
      <c r="K17" s="86"/>
      <c r="L17" s="87" t="s">
        <v>11</v>
      </c>
      <c r="M17" s="88" t="s">
        <v>1</v>
      </c>
      <c r="N17" s="86">
        <f>INDEX('Data Base'!B$2:B$71,จันทัน!$C$17)</f>
        <v>4.06</v>
      </c>
      <c r="O17" s="103" t="s">
        <v>121</v>
      </c>
    </row>
    <row r="18" spans="2:18" ht="22.5" customHeight="1">
      <c r="B18" s="72"/>
      <c r="C18" s="86"/>
      <c r="D18" s="86"/>
      <c r="E18" s="86"/>
      <c r="F18" s="86"/>
      <c r="G18" s="86"/>
      <c r="H18" s="87" t="s">
        <v>12</v>
      </c>
      <c r="I18" s="88" t="s">
        <v>1</v>
      </c>
      <c r="J18" s="86">
        <f>INDEX('Data Base'!D2:D71,จันทัน!$C$17)</f>
        <v>80.7</v>
      </c>
      <c r="K18" s="86" t="s">
        <v>59</v>
      </c>
      <c r="L18" s="87" t="s">
        <v>34</v>
      </c>
      <c r="M18" s="88" t="s">
        <v>1</v>
      </c>
      <c r="N18" s="86">
        <f>INDEX('Data Base'!E2:E71,จันทัน!$C$17)</f>
        <v>19</v>
      </c>
      <c r="O18" s="103" t="s">
        <v>59</v>
      </c>
      <c r="P18" s="6"/>
      <c r="Q18" s="3"/>
      <c r="R18" s="8"/>
    </row>
    <row r="19" spans="2:18" ht="22.5" customHeight="1">
      <c r="B19" s="72"/>
      <c r="C19" s="86"/>
      <c r="D19" s="86"/>
      <c r="E19" s="86"/>
      <c r="F19" s="86"/>
      <c r="G19" s="86"/>
      <c r="H19" s="87" t="s">
        <v>13</v>
      </c>
      <c r="I19" s="88" t="s">
        <v>1</v>
      </c>
      <c r="J19" s="86">
        <f>INDEX('Data Base'!F2:F71,จันทัน!$C$17)</f>
        <v>16.1</v>
      </c>
      <c r="K19" s="86" t="s">
        <v>60</v>
      </c>
      <c r="L19" s="87" t="s">
        <v>27</v>
      </c>
      <c r="M19" s="88" t="s">
        <v>1</v>
      </c>
      <c r="N19" s="86">
        <f>INDEX('Data Base'!G2:G71,จันทัน!$C$17)</f>
        <v>6.06</v>
      </c>
      <c r="O19" s="103" t="s">
        <v>60</v>
      </c>
      <c r="Q19" s="3"/>
      <c r="R19" s="8"/>
    </row>
    <row r="20" spans="2:19" ht="22.5" customHeight="1">
      <c r="B20" s="72"/>
      <c r="C20" s="72"/>
      <c r="D20" s="72"/>
      <c r="E20" s="72"/>
      <c r="F20" s="72"/>
      <c r="G20" s="72"/>
      <c r="H20" s="90" t="s">
        <v>54</v>
      </c>
      <c r="I20" s="91" t="s">
        <v>1</v>
      </c>
      <c r="J20" s="86">
        <f>INDEX('Data Base'!C2:C71,จันทัน!$C$17)</f>
        <v>5.172</v>
      </c>
      <c r="K20" s="72" t="s">
        <v>55</v>
      </c>
      <c r="L20" s="87" t="s">
        <v>94</v>
      </c>
      <c r="M20" s="89" t="s">
        <v>1</v>
      </c>
      <c r="N20" s="86">
        <f>INDEX('Data Base'!I2:I71,จันทัน!$C$17)</f>
        <v>5</v>
      </c>
      <c r="O20" s="103" t="s">
        <v>95</v>
      </c>
      <c r="P20" s="51">
        <f>INDEX('Data Base'!J2:J71,จันทัน!$C$17)</f>
        <v>0.23</v>
      </c>
      <c r="Q20" s="3"/>
      <c r="R20" s="7"/>
      <c r="S20" s="5"/>
    </row>
    <row r="21" spans="2:19" ht="22.5" customHeight="1">
      <c r="B21" s="46" t="s">
        <v>146</v>
      </c>
      <c r="C21" s="14"/>
      <c r="D21" s="14"/>
      <c r="E21" s="14"/>
      <c r="F21" s="14"/>
      <c r="G21" s="130" t="s">
        <v>147</v>
      </c>
      <c r="H21" s="130" t="s">
        <v>1</v>
      </c>
      <c r="I21" s="133">
        <f>G14*100/(0.6*M15)</f>
        <v>83.3994708994709</v>
      </c>
      <c r="J21" s="131" t="s">
        <v>60</v>
      </c>
      <c r="K21" s="5" t="str">
        <f>IF(I21&lt;J19,"&lt;","&gt;")</f>
        <v>&gt;</v>
      </c>
      <c r="L21" s="139" t="s">
        <v>163</v>
      </c>
      <c r="M21" s="134" t="str">
        <f>IF(I21&lt;J19,"OK","Check steel")</f>
        <v>Check steel</v>
      </c>
      <c r="N21" s="131"/>
      <c r="O21" s="132"/>
      <c r="P21" s="51"/>
      <c r="Q21" s="3"/>
      <c r="R21" s="7"/>
      <c r="S21" s="5"/>
    </row>
    <row r="22" spans="2:19" ht="22.5" customHeight="1">
      <c r="B22" s="46" t="s">
        <v>148</v>
      </c>
      <c r="C22" s="14"/>
      <c r="D22" s="14"/>
      <c r="E22" s="14"/>
      <c r="F22" s="14"/>
      <c r="G22" s="65" t="s">
        <v>149</v>
      </c>
      <c r="H22" s="130" t="s">
        <v>1</v>
      </c>
      <c r="I22" s="133">
        <f>0.6*M15*J19/100</f>
        <v>243.43200000000002</v>
      </c>
      <c r="J22" s="67" t="s">
        <v>124</v>
      </c>
      <c r="K22" s="15" t="str">
        <f>IF(I22&gt;G14,"&gt;","&lt;")</f>
        <v>&lt;</v>
      </c>
      <c r="L22" s="67" t="s">
        <v>122</v>
      </c>
      <c r="M22" s="53" t="str">
        <f>IF(I22&gt;G14,"OK","check steel")</f>
        <v>check steel</v>
      </c>
      <c r="N22" s="131"/>
      <c r="O22" s="132"/>
      <c r="P22" s="51"/>
      <c r="Q22" s="3"/>
      <c r="R22" s="7"/>
      <c r="S22" s="5"/>
    </row>
    <row r="23" ht="22.5" customHeight="1">
      <c r="B23" s="20" t="s">
        <v>103</v>
      </c>
    </row>
    <row r="24" spans="2:13" ht="24.75" customHeight="1">
      <c r="B24" s="20"/>
      <c r="G24" s="107" t="s">
        <v>133</v>
      </c>
      <c r="H24" s="3" t="s">
        <v>1</v>
      </c>
      <c r="I24" s="1" t="s">
        <v>167</v>
      </c>
      <c r="J24" s="3" t="s">
        <v>1</v>
      </c>
      <c r="K24" s="176">
        <f>0.6*M15</f>
        <v>1512</v>
      </c>
      <c r="L24" s="176"/>
      <c r="M24" s="24" t="s">
        <v>128</v>
      </c>
    </row>
    <row r="25" spans="4:13" ht="24.75" customHeight="1">
      <c r="D25" s="3"/>
      <c r="G25" s="107" t="s">
        <v>134</v>
      </c>
      <c r="H25" s="3" t="s">
        <v>1</v>
      </c>
      <c r="I25" s="83">
        <f>G14*100/J19</f>
        <v>7832.298136645962</v>
      </c>
      <c r="J25" s="24" t="s">
        <v>128</v>
      </c>
      <c r="K25" s="3" t="str">
        <f>IF(I25&lt;K24,"&lt;","&gt;")</f>
        <v>&gt;</v>
      </c>
      <c r="L25" s="107" t="s">
        <v>133</v>
      </c>
      <c r="M25" s="106" t="str">
        <f>IF(K25="&lt;","OK","Check again")</f>
        <v>Check again</v>
      </c>
    </row>
    <row r="26" ht="19.5" customHeight="1">
      <c r="B26" s="20" t="s">
        <v>29</v>
      </c>
    </row>
    <row r="27" spans="3:12" ht="22.5" customHeight="1">
      <c r="C27" s="5"/>
      <c r="E27" s="58"/>
      <c r="F27" s="64" t="s">
        <v>104</v>
      </c>
      <c r="G27" s="104" t="s">
        <v>32</v>
      </c>
      <c r="H27" s="3" t="s">
        <v>1</v>
      </c>
      <c r="I27" s="1" t="s">
        <v>30</v>
      </c>
      <c r="J27" s="3" t="s">
        <v>1</v>
      </c>
      <c r="K27" s="10">
        <f>G7*100/360</f>
        <v>0.9722222222222222</v>
      </c>
      <c r="L27" s="1" t="s">
        <v>31</v>
      </c>
    </row>
    <row r="28" spans="2:16" ht="22.5" customHeight="1">
      <c r="B28" s="14"/>
      <c r="C28" s="14"/>
      <c r="D28" s="14"/>
      <c r="E28" s="14"/>
      <c r="F28" s="64" t="s">
        <v>104</v>
      </c>
      <c r="G28" s="102" t="s">
        <v>132</v>
      </c>
      <c r="H28" s="42" t="s">
        <v>1</v>
      </c>
      <c r="I28" s="14" t="s">
        <v>145</v>
      </c>
      <c r="J28" s="14"/>
      <c r="K28" s="14"/>
      <c r="L28" s="42"/>
      <c r="M28" s="14"/>
      <c r="N28" s="14"/>
      <c r="O28" s="14"/>
      <c r="P28" s="14"/>
    </row>
    <row r="29" spans="2:16" ht="22.5" customHeight="1">
      <c r="B29" s="14"/>
      <c r="C29" s="14"/>
      <c r="D29" s="14"/>
      <c r="E29" s="14"/>
      <c r="F29" s="65"/>
      <c r="G29" s="14"/>
      <c r="H29" s="42" t="s">
        <v>1</v>
      </c>
      <c r="I29" s="138">
        <f>(5*G13*G7*100^4)/(384*I16*J18*100)</f>
        <v>0.2278730917306742</v>
      </c>
      <c r="J29" s="15" t="str">
        <f>IF(I29&lt;K27,"&lt;","&gt;")</f>
        <v>&lt;</v>
      </c>
      <c r="K29" s="137" t="s">
        <v>162</v>
      </c>
      <c r="L29" s="136" t="str">
        <f>IF(K29&gt;I29,"O.K.","No Pass")</f>
        <v>O.K.</v>
      </c>
      <c r="N29" s="14"/>
      <c r="O29" s="14"/>
      <c r="P29" s="45"/>
    </row>
    <row r="30" spans="2:16" ht="22.5" customHeight="1">
      <c r="B30" s="46" t="s">
        <v>43</v>
      </c>
      <c r="C30" s="14"/>
      <c r="D30" s="14"/>
      <c r="E30" s="14"/>
      <c r="F30" s="14"/>
      <c r="G30" s="47" t="s">
        <v>126</v>
      </c>
      <c r="H30" s="42" t="s">
        <v>1</v>
      </c>
      <c r="I30" s="14" t="s">
        <v>150</v>
      </c>
      <c r="J30" s="14"/>
      <c r="K30" s="14"/>
      <c r="L30" s="42" t="s">
        <v>1</v>
      </c>
      <c r="M30" s="39">
        <f>0.5*G13*G7</f>
        <v>1440.5487876647976</v>
      </c>
      <c r="N30" s="15" t="s">
        <v>45</v>
      </c>
      <c r="O30" s="14"/>
      <c r="P30" s="14"/>
    </row>
    <row r="31" spans="2:16" ht="22.5" customHeight="1">
      <c r="B31" s="174" t="s">
        <v>46</v>
      </c>
      <c r="C31" s="174"/>
      <c r="D31" s="174"/>
      <c r="E31" s="174"/>
      <c r="F31" s="14"/>
      <c r="G31" s="47" t="s">
        <v>127</v>
      </c>
      <c r="H31" s="42" t="s">
        <v>1</v>
      </c>
      <c r="I31" s="49" t="s">
        <v>47</v>
      </c>
      <c r="J31" s="14"/>
      <c r="K31" s="14"/>
      <c r="L31" s="42" t="s">
        <v>1</v>
      </c>
      <c r="M31" s="44">
        <f>0.4*M15</f>
        <v>1008</v>
      </c>
      <c r="N31" s="24" t="s">
        <v>128</v>
      </c>
      <c r="O31" s="14"/>
      <c r="P31" s="14"/>
    </row>
    <row r="32" spans="2:16" ht="22.5" customHeight="1">
      <c r="B32" s="175" t="s">
        <v>48</v>
      </c>
      <c r="C32" s="175"/>
      <c r="D32" s="175"/>
      <c r="E32" s="175"/>
      <c r="F32" s="14"/>
      <c r="G32" s="47" t="s">
        <v>130</v>
      </c>
      <c r="H32" s="42" t="s">
        <v>1</v>
      </c>
      <c r="I32" s="14" t="s">
        <v>52</v>
      </c>
      <c r="J32" s="14"/>
      <c r="K32" s="14"/>
      <c r="L32" s="42" t="s">
        <v>1</v>
      </c>
      <c r="M32" s="39">
        <f>M30/J20</f>
        <v>278.52838121902505</v>
      </c>
      <c r="N32" s="24" t="s">
        <v>128</v>
      </c>
      <c r="O32" s="50" t="s">
        <v>129</v>
      </c>
      <c r="P32" s="38" t="str">
        <f>IF(M32&lt;M31,"O.K."," No Pass")</f>
        <v>O.K.</v>
      </c>
    </row>
    <row r="33" spans="2:16" ht="18.75" customHeight="1">
      <c r="B33" s="175" t="s">
        <v>49</v>
      </c>
      <c r="C33" s="175"/>
      <c r="D33" s="175"/>
      <c r="E33" s="175"/>
      <c r="F33" s="14"/>
      <c r="G33" s="47" t="s">
        <v>131</v>
      </c>
      <c r="H33" s="42" t="s">
        <v>1</v>
      </c>
      <c r="I33" s="14" t="s">
        <v>53</v>
      </c>
      <c r="J33" s="14"/>
      <c r="K33" s="14"/>
      <c r="L33" s="42" t="s">
        <v>1</v>
      </c>
      <c r="M33" s="39">
        <f>M30/(N20*P20)</f>
        <v>1252.6511197085194</v>
      </c>
      <c r="N33" s="24" t="s">
        <v>128</v>
      </c>
      <c r="O33" s="50" t="s">
        <v>129</v>
      </c>
      <c r="P33" s="38" t="str">
        <f>IF(M33&lt;M31,"O.K."," No Pass")</f>
        <v> No Pass</v>
      </c>
    </row>
    <row r="34" spans="2:16" ht="18.75" customHeight="1">
      <c r="B34" s="14"/>
      <c r="C34" s="14"/>
      <c r="D34" s="14"/>
      <c r="E34" s="14"/>
      <c r="F34" s="14"/>
      <c r="G34" s="47"/>
      <c r="H34" s="42"/>
      <c r="I34" s="14"/>
      <c r="J34" s="14"/>
      <c r="K34" s="14"/>
      <c r="L34" s="42"/>
      <c r="M34" s="39"/>
      <c r="N34" s="15"/>
      <c r="O34" s="50"/>
      <c r="P34" s="45"/>
    </row>
    <row r="35" spans="2:16" ht="22.5" customHeight="1">
      <c r="B35" s="14"/>
      <c r="C35" s="14"/>
      <c r="D35" s="14"/>
      <c r="E35" s="14"/>
      <c r="F35" s="14"/>
      <c r="G35" s="14"/>
      <c r="H35" s="14"/>
      <c r="I35" s="57"/>
      <c r="J35" s="57"/>
      <c r="K35" s="57"/>
      <c r="L35" s="57"/>
      <c r="M35" s="57"/>
      <c r="N35" s="57"/>
      <c r="O35" s="57"/>
      <c r="P35" s="14"/>
    </row>
  </sheetData>
  <mergeCells count="10">
    <mergeCell ref="A1:B1"/>
    <mergeCell ref="C1:H1"/>
    <mergeCell ref="M1:P1"/>
    <mergeCell ref="A2:B2"/>
    <mergeCell ref="C2:H2"/>
    <mergeCell ref="B31:E31"/>
    <mergeCell ref="B32:E32"/>
    <mergeCell ref="B33:E33"/>
    <mergeCell ref="A3:P3"/>
    <mergeCell ref="K24:L24"/>
  </mergeCells>
  <printOptions/>
  <pageMargins left="0.5511811023622047" right="0.35433070866141736" top="0.7874015748031497" bottom="0.5905511811023623" header="0.5118110236220472" footer="0.5118110236220472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9">
      <selection activeCell="P21" sqref="P21"/>
    </sheetView>
  </sheetViews>
  <sheetFormatPr defaultColWidth="9.140625" defaultRowHeight="21.75"/>
  <cols>
    <col min="1" max="1" width="3.421875" style="1" customWidth="1"/>
    <col min="2" max="2" width="5.7109375" style="1" customWidth="1"/>
    <col min="3" max="3" width="4.140625" style="1" customWidth="1"/>
    <col min="4" max="4" width="5.7109375" style="1" customWidth="1"/>
    <col min="5" max="5" width="4.8515625" style="1" customWidth="1"/>
    <col min="6" max="6" width="3.140625" style="1" customWidth="1"/>
    <col min="7" max="7" width="10.7109375" style="1" customWidth="1"/>
    <col min="8" max="8" width="4.7109375" style="1" customWidth="1"/>
    <col min="9" max="9" width="10.57421875" style="1" customWidth="1"/>
    <col min="10" max="10" width="6.421875" style="1" customWidth="1"/>
    <col min="11" max="11" width="6.7109375" style="1" customWidth="1"/>
    <col min="12" max="12" width="6.8515625" style="1" customWidth="1"/>
    <col min="13" max="13" width="9.00390625" style="1" customWidth="1"/>
    <col min="14" max="14" width="7.140625" style="1" customWidth="1"/>
    <col min="15" max="16" width="6.28125" style="1" customWidth="1"/>
    <col min="17" max="16384" width="9.140625" style="1" customWidth="1"/>
  </cols>
  <sheetData>
    <row r="1" spans="1:16" ht="21" customHeight="1">
      <c r="A1" s="168" t="s">
        <v>105</v>
      </c>
      <c r="B1" s="168"/>
      <c r="C1" s="171" t="str">
        <f>ชื่อโครงการ!C5</f>
        <v>โรงงานวิชา Steel Design</v>
      </c>
      <c r="D1" s="171"/>
      <c r="E1" s="171"/>
      <c r="F1" s="171"/>
      <c r="G1" s="171"/>
      <c r="H1" s="171"/>
      <c r="I1" s="60"/>
      <c r="K1" s="60"/>
      <c r="L1" s="60"/>
      <c r="M1" s="168" t="str">
        <f>(""&amp;ชื่อโครงการ!B7&amp;" "&amp;ชื่อโครงการ!C7&amp;"")</f>
        <v>เจ้าของ : ภาควิชาวิศวกรรมโยธา</v>
      </c>
      <c r="N1" s="168"/>
      <c r="O1" s="168"/>
      <c r="P1" s="168"/>
    </row>
    <row r="2" spans="1:16" ht="21" customHeight="1" thickBot="1">
      <c r="A2" s="172" t="s">
        <v>106</v>
      </c>
      <c r="B2" s="172"/>
      <c r="C2" s="173" t="str">
        <f>ชื่อโครงการ!C6</f>
        <v>ภาควิชาวิศวกรรมโยธา</v>
      </c>
      <c r="D2" s="173"/>
      <c r="E2" s="173"/>
      <c r="F2" s="173"/>
      <c r="G2" s="173"/>
      <c r="H2" s="173"/>
      <c r="I2" s="61"/>
      <c r="J2" s="61"/>
      <c r="K2" s="61"/>
      <c r="L2" s="61"/>
      <c r="M2" s="61"/>
      <c r="N2" s="62"/>
      <c r="O2" s="63"/>
      <c r="P2" s="63"/>
    </row>
    <row r="3" spans="1:16" ht="24.75" customHeight="1">
      <c r="A3" s="170" t="s">
        <v>137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1:15" ht="21" customHeight="1">
      <c r="K4" s="14"/>
      <c r="L4" s="14"/>
      <c r="M4" s="14"/>
      <c r="N4" s="14"/>
      <c r="O4" s="14"/>
    </row>
    <row r="5" spans="2:18" ht="22.5" customHeight="1">
      <c r="B5" s="16"/>
      <c r="K5" s="78"/>
      <c r="L5" s="14"/>
      <c r="M5" s="79"/>
      <c r="N5" s="14"/>
      <c r="O5" s="14"/>
      <c r="R5" s="52"/>
    </row>
    <row r="6" spans="2:18" ht="22.5" customHeight="1">
      <c r="B6" s="1" t="s">
        <v>116</v>
      </c>
      <c r="F6" s="3" t="s">
        <v>1</v>
      </c>
      <c r="G6" s="68">
        <v>1</v>
      </c>
      <c r="H6" s="1" t="s">
        <v>2</v>
      </c>
      <c r="K6" s="113"/>
      <c r="L6" s="118" t="s">
        <v>135</v>
      </c>
      <c r="M6" s="119">
        <f>G13</f>
        <v>1368.1924558642827</v>
      </c>
      <c r="N6" s="120" t="str">
        <f>H13</f>
        <v>kg /m</v>
      </c>
      <c r="O6" s="109"/>
      <c r="R6" s="54"/>
    </row>
    <row r="7" spans="2:18" ht="22.5" customHeight="1">
      <c r="B7" s="1" t="s">
        <v>139</v>
      </c>
      <c r="F7" s="3" t="s">
        <v>1</v>
      </c>
      <c r="G7" s="68">
        <v>6.1</v>
      </c>
      <c r="H7" s="1" t="s">
        <v>2</v>
      </c>
      <c r="K7" s="114"/>
      <c r="L7" s="115"/>
      <c r="M7" s="116"/>
      <c r="N7" s="109"/>
      <c r="O7" s="109"/>
      <c r="R7" s="54"/>
    </row>
    <row r="8" spans="2:18" ht="22.5" customHeight="1">
      <c r="B8" s="46" t="s">
        <v>35</v>
      </c>
      <c r="F8" s="3"/>
      <c r="G8" s="4"/>
      <c r="H8" s="2"/>
      <c r="I8" s="4"/>
      <c r="K8" s="114"/>
      <c r="L8" s="117"/>
      <c r="M8" s="111"/>
      <c r="N8" s="109"/>
      <c r="O8" s="109"/>
      <c r="R8" s="5"/>
    </row>
    <row r="9" spans="2:16" ht="22.5" customHeight="1">
      <c r="B9" s="14" t="s">
        <v>142</v>
      </c>
      <c r="E9" s="69"/>
      <c r="F9" s="5" t="s">
        <v>1</v>
      </c>
      <c r="G9" s="81">
        <f>ROUND(จันทัน!M30,0)</f>
        <v>1441</v>
      </c>
      <c r="H9" s="67" t="s">
        <v>119</v>
      </c>
      <c r="K9" s="114"/>
      <c r="L9" s="118" t="s">
        <v>136</v>
      </c>
      <c r="M9" s="121">
        <f>G7</f>
        <v>6.1</v>
      </c>
      <c r="N9" s="122" t="str">
        <f>H7</f>
        <v>m.</v>
      </c>
      <c r="O9" s="109"/>
      <c r="P9" s="5"/>
    </row>
    <row r="10" spans="2:16" ht="22.5" customHeight="1">
      <c r="B10" s="14" t="s">
        <v>117</v>
      </c>
      <c r="E10" s="69"/>
      <c r="F10" s="15" t="s">
        <v>1</v>
      </c>
      <c r="G10" s="82">
        <f>ROUND(G9/G6,0)</f>
        <v>1441</v>
      </c>
      <c r="H10" s="67" t="s">
        <v>121</v>
      </c>
      <c r="K10" s="114"/>
      <c r="L10" s="115"/>
      <c r="M10" s="116"/>
      <c r="N10" s="109"/>
      <c r="O10" s="109"/>
      <c r="P10" s="5"/>
    </row>
    <row r="11" spans="2:16" ht="22.5" customHeight="1">
      <c r="B11" s="14" t="s">
        <v>143</v>
      </c>
      <c r="E11" s="69"/>
      <c r="F11" s="15" t="s">
        <v>1</v>
      </c>
      <c r="G11" s="105">
        <v>15</v>
      </c>
      <c r="H11" s="67" t="s">
        <v>121</v>
      </c>
      <c r="N11" s="3"/>
      <c r="O11" s="44"/>
      <c r="P11" s="5"/>
    </row>
    <row r="12" spans="2:16" ht="22.5" customHeight="1">
      <c r="B12" s="14" t="s">
        <v>190</v>
      </c>
      <c r="E12" s="69"/>
      <c r="F12" s="15" t="s">
        <v>1</v>
      </c>
      <c r="G12" s="127">
        <f>แป!O19</f>
        <v>20</v>
      </c>
      <c r="H12" s="67" t="s">
        <v>144</v>
      </c>
      <c r="N12" s="3"/>
      <c r="O12" s="44"/>
      <c r="P12" s="5"/>
    </row>
    <row r="13" spans="2:16" ht="22.5" customHeight="1">
      <c r="B13" s="123" t="s">
        <v>191</v>
      </c>
      <c r="F13" s="3" t="s">
        <v>1</v>
      </c>
      <c r="G13" s="135">
        <f>SUM(G10:G11)*COS(G12*PI()/180)</f>
        <v>1368.1924558642827</v>
      </c>
      <c r="H13" s="67" t="s">
        <v>121</v>
      </c>
      <c r="N13" s="3"/>
      <c r="O13" s="44"/>
      <c r="P13" s="5"/>
    </row>
    <row r="14" spans="2:16" ht="22.5" customHeight="1">
      <c r="B14" s="6" t="s">
        <v>122</v>
      </c>
      <c r="C14" s="2" t="s">
        <v>1</v>
      </c>
      <c r="D14" s="1" t="s">
        <v>125</v>
      </c>
      <c r="F14" s="15" t="s">
        <v>1</v>
      </c>
      <c r="G14" s="128">
        <f>CEILING((G13*G7^2)/8,1)</f>
        <v>6364</v>
      </c>
      <c r="H14" s="67" t="s">
        <v>124</v>
      </c>
      <c r="N14" s="3"/>
      <c r="O14" s="4"/>
      <c r="P14" s="5"/>
    </row>
    <row r="15" spans="2:16" ht="22.5" customHeight="1">
      <c r="B15" s="20" t="s">
        <v>24</v>
      </c>
      <c r="C15" s="20"/>
      <c r="D15" s="20"/>
      <c r="E15" s="21"/>
      <c r="F15" s="24"/>
      <c r="G15" s="22" t="s">
        <v>26</v>
      </c>
      <c r="H15" s="25" t="s">
        <v>1</v>
      </c>
      <c r="I15" s="23">
        <v>5000</v>
      </c>
      <c r="J15" s="24" t="s">
        <v>128</v>
      </c>
      <c r="K15" s="22" t="s">
        <v>25</v>
      </c>
      <c r="L15" s="25" t="s">
        <v>1</v>
      </c>
      <c r="M15" s="23">
        <v>2520</v>
      </c>
      <c r="N15" s="24" t="s">
        <v>128</v>
      </c>
      <c r="P15" s="5"/>
    </row>
    <row r="16" spans="2:16" ht="22.5" customHeight="1">
      <c r="B16" s="28" t="s">
        <v>140</v>
      </c>
      <c r="C16" s="21"/>
      <c r="D16" s="21"/>
      <c r="E16" s="21"/>
      <c r="F16" s="21"/>
      <c r="G16" s="22" t="s">
        <v>33</v>
      </c>
      <c r="H16" s="25" t="s">
        <v>1</v>
      </c>
      <c r="I16" s="100">
        <f>2.04*10^6</f>
        <v>2040000</v>
      </c>
      <c r="J16" s="24" t="s">
        <v>128</v>
      </c>
      <c r="K16" s="22"/>
      <c r="L16" s="25"/>
      <c r="M16" s="23"/>
      <c r="N16" s="24"/>
      <c r="P16" s="5"/>
    </row>
    <row r="17" spans="2:15" ht="18" customHeight="1">
      <c r="B17" s="125">
        <v>2</v>
      </c>
      <c r="C17" s="85">
        <v>18</v>
      </c>
      <c r="D17" s="85"/>
      <c r="E17" s="85"/>
      <c r="F17" s="85"/>
      <c r="G17" s="85"/>
      <c r="H17" s="85"/>
      <c r="I17" s="86"/>
      <c r="J17" s="86"/>
      <c r="K17" s="86"/>
      <c r="L17" s="87" t="s">
        <v>11</v>
      </c>
      <c r="M17" s="88" t="s">
        <v>1</v>
      </c>
      <c r="N17" s="126">
        <f>INDEX('Data Base'!B$2:B$71,ตะเฆ่สัน!$C$17)*B17</f>
        <v>18.54</v>
      </c>
      <c r="O17" s="103" t="s">
        <v>121</v>
      </c>
    </row>
    <row r="18" spans="2:18" ht="22.5" customHeight="1">
      <c r="B18" s="72"/>
      <c r="C18" s="86"/>
      <c r="D18" s="86"/>
      <c r="E18" s="86"/>
      <c r="F18" s="86"/>
      <c r="G18" s="86"/>
      <c r="H18" s="87" t="s">
        <v>12</v>
      </c>
      <c r="I18" s="88" t="s">
        <v>1</v>
      </c>
      <c r="J18" s="86">
        <f>INDEX('Data Base'!D2:D71,ตะเฆ่สัน!$C$17)</f>
        <v>716</v>
      </c>
      <c r="K18" s="86" t="s">
        <v>59</v>
      </c>
      <c r="L18" s="87" t="s">
        <v>34</v>
      </c>
      <c r="M18" s="88" t="s">
        <v>1</v>
      </c>
      <c r="N18" s="86">
        <f>INDEX('Data Base'!E2:E71,ตะเฆ่สัน!$C$17)</f>
        <v>84.1</v>
      </c>
      <c r="O18" s="103" t="s">
        <v>59</v>
      </c>
      <c r="P18" s="6"/>
      <c r="Q18" s="3"/>
      <c r="R18" s="8"/>
    </row>
    <row r="19" spans="2:18" ht="22.5" customHeight="1">
      <c r="B19" s="72"/>
      <c r="C19" s="86"/>
      <c r="D19" s="86"/>
      <c r="E19" s="86"/>
      <c r="F19" s="86"/>
      <c r="G19" s="86"/>
      <c r="H19" s="87" t="s">
        <v>13</v>
      </c>
      <c r="I19" s="88" t="s">
        <v>1</v>
      </c>
      <c r="J19" s="86">
        <f>INDEX('Data Base'!F2:F71,ตะเฆ่สัน!$C$17)</f>
        <v>71.6</v>
      </c>
      <c r="K19" s="86" t="s">
        <v>60</v>
      </c>
      <c r="L19" s="87" t="s">
        <v>27</v>
      </c>
      <c r="M19" s="88" t="s">
        <v>1</v>
      </c>
      <c r="N19" s="86">
        <f>INDEX('Data Base'!G2:G71,ตะเฆ่สัน!$C$17)</f>
        <v>15.8</v>
      </c>
      <c r="O19" s="103" t="s">
        <v>60</v>
      </c>
      <c r="Q19" s="3"/>
      <c r="R19" s="8"/>
    </row>
    <row r="20" spans="2:19" ht="22.5" customHeight="1">
      <c r="B20" s="72"/>
      <c r="C20" s="72"/>
      <c r="D20" s="72"/>
      <c r="E20" s="72"/>
      <c r="F20" s="72"/>
      <c r="G20" s="72"/>
      <c r="H20" s="90" t="s">
        <v>54</v>
      </c>
      <c r="I20" s="91" t="s">
        <v>1</v>
      </c>
      <c r="J20" s="86">
        <f>INDEX('Data Base'!C2:C71,ตะเฆ่สัน!$C$17)*B17</f>
        <v>23.62</v>
      </c>
      <c r="K20" s="72" t="s">
        <v>55</v>
      </c>
      <c r="L20" s="87" t="s">
        <v>94</v>
      </c>
      <c r="M20" s="89" t="s">
        <v>1</v>
      </c>
      <c r="N20" s="86">
        <f>INDEX('Data Base'!I2:I71,ตะเฆ่สัน!$C$17)</f>
        <v>10</v>
      </c>
      <c r="O20" s="103" t="s">
        <v>95</v>
      </c>
      <c r="P20" s="51">
        <f>INDEX('Data Base'!J2:J71,ตะเฆ่สัน!$C$17)</f>
        <v>0.32</v>
      </c>
      <c r="Q20" s="3"/>
      <c r="R20" s="7"/>
      <c r="S20" s="5"/>
    </row>
    <row r="21" spans="2:19" ht="22.5" customHeight="1">
      <c r="B21" s="46" t="s">
        <v>146</v>
      </c>
      <c r="C21" s="14"/>
      <c r="D21" s="14"/>
      <c r="E21" s="14"/>
      <c r="F21" s="14"/>
      <c r="G21" s="130" t="s">
        <v>147</v>
      </c>
      <c r="H21" s="130" t="s">
        <v>1</v>
      </c>
      <c r="I21" s="133">
        <f>G14*100/(0.6*M15)</f>
        <v>420.8994708994709</v>
      </c>
      <c r="J21" s="131" t="s">
        <v>60</v>
      </c>
      <c r="K21" s="5" t="str">
        <f>IF(I21&lt;J19,"&lt;","&gt;")</f>
        <v>&gt;</v>
      </c>
      <c r="L21" s="139" t="s">
        <v>163</v>
      </c>
      <c r="M21" s="140" t="str">
        <f>IF(I21&lt;J19,"OK","Check steel")</f>
        <v>Check steel</v>
      </c>
      <c r="N21" s="131"/>
      <c r="O21" s="132"/>
      <c r="P21" s="51"/>
      <c r="Q21" s="3"/>
      <c r="R21" s="7"/>
      <c r="S21" s="5"/>
    </row>
    <row r="22" spans="2:19" ht="22.5" customHeight="1">
      <c r="B22" s="46" t="s">
        <v>148</v>
      </c>
      <c r="C22" s="14"/>
      <c r="D22" s="14"/>
      <c r="E22" s="14"/>
      <c r="F22" s="14"/>
      <c r="G22" s="65" t="s">
        <v>149</v>
      </c>
      <c r="H22" s="130" t="s">
        <v>1</v>
      </c>
      <c r="I22" s="133">
        <f>0.66*M15*J19/100</f>
        <v>1190.8512</v>
      </c>
      <c r="J22" s="67" t="s">
        <v>124</v>
      </c>
      <c r="K22" s="15" t="str">
        <f>IF(I22&gt;G14,"&gt;","&lt;")</f>
        <v>&lt;</v>
      </c>
      <c r="L22" s="67" t="s">
        <v>122</v>
      </c>
      <c r="M22" s="53" t="str">
        <f>IF(I22&gt;G14,"OK","check steel")</f>
        <v>check steel</v>
      </c>
      <c r="N22" s="131"/>
      <c r="O22" s="132"/>
      <c r="P22" s="51"/>
      <c r="Q22" s="3"/>
      <c r="R22" s="7"/>
      <c r="S22" s="5"/>
    </row>
    <row r="23" ht="22.5" customHeight="1">
      <c r="B23" s="20" t="s">
        <v>103</v>
      </c>
    </row>
    <row r="24" spans="2:13" ht="24.75" customHeight="1">
      <c r="B24" s="20"/>
      <c r="G24" s="107" t="s">
        <v>133</v>
      </c>
      <c r="H24" s="3" t="s">
        <v>1</v>
      </c>
      <c r="I24" s="1" t="s">
        <v>167</v>
      </c>
      <c r="J24" s="3" t="s">
        <v>1</v>
      </c>
      <c r="K24" s="177">
        <f>0.6*M15</f>
        <v>1512</v>
      </c>
      <c r="L24" s="177"/>
      <c r="M24" s="24" t="s">
        <v>128</v>
      </c>
    </row>
    <row r="25" spans="4:13" ht="24.75" customHeight="1">
      <c r="D25" s="3"/>
      <c r="G25" s="107" t="s">
        <v>134</v>
      </c>
      <c r="H25" s="3" t="s">
        <v>1</v>
      </c>
      <c r="I25" s="83">
        <f>G14*100/J19</f>
        <v>8888.268156424581</v>
      </c>
      <c r="J25" s="24" t="s">
        <v>128</v>
      </c>
      <c r="K25" s="3" t="str">
        <f>IF(I25&lt;K24,"&lt;","&gt;")</f>
        <v>&gt;</v>
      </c>
      <c r="L25" s="107" t="s">
        <v>133</v>
      </c>
      <c r="M25" s="129" t="str">
        <f>IF(K25="&lt;","OK","Check again")</f>
        <v>Check again</v>
      </c>
    </row>
    <row r="26" spans="8:16" ht="22.5" customHeight="1">
      <c r="H26" s="5"/>
      <c r="I26" s="11"/>
      <c r="J26" s="3"/>
      <c r="K26" s="5"/>
      <c r="M26" s="38"/>
      <c r="N26" s="13"/>
      <c r="O26" s="4"/>
      <c r="P26" s="12"/>
    </row>
    <row r="27" ht="19.5" customHeight="1">
      <c r="B27" s="20" t="s">
        <v>29</v>
      </c>
    </row>
    <row r="28" spans="3:12" ht="22.5" customHeight="1">
      <c r="C28" s="5"/>
      <c r="E28" s="58"/>
      <c r="F28" s="64" t="s">
        <v>104</v>
      </c>
      <c r="G28" s="104" t="s">
        <v>32</v>
      </c>
      <c r="H28" s="3" t="s">
        <v>1</v>
      </c>
      <c r="I28" s="1" t="s">
        <v>30</v>
      </c>
      <c r="J28" s="3" t="s">
        <v>1</v>
      </c>
      <c r="K28" s="10">
        <f>G7*100/360</f>
        <v>1.6944444444444444</v>
      </c>
      <c r="L28" s="1" t="s">
        <v>31</v>
      </c>
    </row>
    <row r="29" spans="2:16" ht="22.5" customHeight="1">
      <c r="B29" s="14"/>
      <c r="C29" s="14"/>
      <c r="D29" s="14"/>
      <c r="E29" s="14"/>
      <c r="F29" s="64" t="s">
        <v>104</v>
      </c>
      <c r="G29" s="102" t="s">
        <v>132</v>
      </c>
      <c r="H29" s="42" t="s">
        <v>1</v>
      </c>
      <c r="I29" s="14" t="s">
        <v>145</v>
      </c>
      <c r="J29" s="14"/>
      <c r="K29" s="14"/>
      <c r="L29" s="42"/>
      <c r="M29" s="14"/>
      <c r="N29" s="14"/>
      <c r="O29" s="14"/>
      <c r="P29" s="14"/>
    </row>
    <row r="30" spans="2:16" ht="22.5" customHeight="1">
      <c r="B30" s="14"/>
      <c r="C30" s="14"/>
      <c r="D30" s="14"/>
      <c r="E30" s="14"/>
      <c r="F30" s="65"/>
      <c r="G30" s="14"/>
      <c r="H30" s="42" t="s">
        <v>1</v>
      </c>
      <c r="I30" s="101">
        <f>(5*G13*G7^4*10000)/(384*I16*J18)</f>
        <v>0.1688737400045276</v>
      </c>
      <c r="J30" s="15" t="str">
        <f>IF(I30&lt;K28,"&lt;","&gt;")</f>
        <v>&lt;</v>
      </c>
      <c r="K30" s="137" t="s">
        <v>162</v>
      </c>
      <c r="L30" s="53" t="str">
        <f>IF(K30&gt;I30,"O.K.","No Pass")</f>
        <v>O.K.</v>
      </c>
      <c r="N30" s="14"/>
      <c r="O30" s="14"/>
      <c r="P30" s="45"/>
    </row>
    <row r="31" spans="2:16" ht="22.5" customHeight="1">
      <c r="B31" s="46" t="s">
        <v>43</v>
      </c>
      <c r="C31" s="14"/>
      <c r="D31" s="14"/>
      <c r="E31" s="14"/>
      <c r="F31" s="14"/>
      <c r="G31" s="47" t="s">
        <v>126</v>
      </c>
      <c r="H31" s="42" t="s">
        <v>1</v>
      </c>
      <c r="I31" s="14" t="s">
        <v>150</v>
      </c>
      <c r="J31" s="14"/>
      <c r="K31" s="14"/>
      <c r="L31" s="42" t="s">
        <v>1</v>
      </c>
      <c r="M31" s="39">
        <f>0.5*G13*G7</f>
        <v>4172.986990386062</v>
      </c>
      <c r="N31" s="15" t="s">
        <v>45</v>
      </c>
      <c r="O31" s="14"/>
      <c r="P31" s="14"/>
    </row>
    <row r="32" spans="2:16" ht="22.5" customHeight="1">
      <c r="B32" s="41" t="s">
        <v>46</v>
      </c>
      <c r="C32" s="14"/>
      <c r="D32" s="14"/>
      <c r="E32" s="14"/>
      <c r="F32" s="14"/>
      <c r="G32" s="47" t="s">
        <v>127</v>
      </c>
      <c r="H32" s="42" t="s">
        <v>1</v>
      </c>
      <c r="I32" s="49" t="s">
        <v>47</v>
      </c>
      <c r="J32" s="14"/>
      <c r="K32" s="14"/>
      <c r="L32" s="42" t="s">
        <v>1</v>
      </c>
      <c r="M32" s="44">
        <f>0.4*M15</f>
        <v>1008</v>
      </c>
      <c r="N32" s="24" t="s">
        <v>128</v>
      </c>
      <c r="O32" s="14"/>
      <c r="P32" s="14"/>
    </row>
    <row r="33" spans="2:16" ht="22.5" customHeight="1">
      <c r="B33" s="14" t="s">
        <v>48</v>
      </c>
      <c r="C33" s="14"/>
      <c r="D33" s="14"/>
      <c r="E33" s="14"/>
      <c r="F33" s="14"/>
      <c r="G33" s="47" t="s">
        <v>130</v>
      </c>
      <c r="H33" s="42" t="s">
        <v>1</v>
      </c>
      <c r="I33" s="14" t="s">
        <v>52</v>
      </c>
      <c r="J33" s="14"/>
      <c r="K33" s="14"/>
      <c r="L33" s="42" t="s">
        <v>1</v>
      </c>
      <c r="M33" s="39">
        <f>M31/J20</f>
        <v>176.67176081228033</v>
      </c>
      <c r="N33" s="24" t="s">
        <v>128</v>
      </c>
      <c r="O33" s="50" t="s">
        <v>129</v>
      </c>
      <c r="P33" s="38" t="str">
        <f>IF(M33&lt;M32,"O.K."," No Pass")</f>
        <v>O.K.</v>
      </c>
    </row>
    <row r="34" spans="2:16" ht="18.75" customHeight="1">
      <c r="B34" s="14" t="s">
        <v>49</v>
      </c>
      <c r="C34" s="14"/>
      <c r="D34" s="14"/>
      <c r="E34" s="14"/>
      <c r="F34" s="14"/>
      <c r="G34" s="47" t="s">
        <v>131</v>
      </c>
      <c r="H34" s="42" t="s">
        <v>1</v>
      </c>
      <c r="I34" s="14" t="s">
        <v>53</v>
      </c>
      <c r="J34" s="14"/>
      <c r="K34" s="14"/>
      <c r="L34" s="42" t="s">
        <v>1</v>
      </c>
      <c r="M34" s="39">
        <f>M31/(N20*P20)</f>
        <v>1304.0584344956442</v>
      </c>
      <c r="N34" s="24" t="s">
        <v>128</v>
      </c>
      <c r="O34" s="50" t="s">
        <v>129</v>
      </c>
      <c r="P34" s="38" t="str">
        <f>IF(M34&lt;M32,"O.K."," No Pass")</f>
        <v> No Pass</v>
      </c>
    </row>
    <row r="35" spans="2:16" ht="18.75" customHeight="1">
      <c r="B35" s="14"/>
      <c r="C35" s="14"/>
      <c r="D35" s="14"/>
      <c r="E35" s="14"/>
      <c r="F35" s="14"/>
      <c r="G35" s="47"/>
      <c r="H35" s="42"/>
      <c r="I35" s="14"/>
      <c r="J35" s="14"/>
      <c r="K35" s="14"/>
      <c r="L35" s="42"/>
      <c r="M35" s="39"/>
      <c r="N35" s="15"/>
      <c r="O35" s="50"/>
      <c r="P35" s="45"/>
    </row>
    <row r="36" spans="2:16" ht="22.5" customHeight="1">
      <c r="B36" s="14"/>
      <c r="C36" s="14"/>
      <c r="D36" s="14"/>
      <c r="E36" s="14"/>
      <c r="F36" s="14"/>
      <c r="G36" s="14"/>
      <c r="H36" s="14"/>
      <c r="I36" s="57"/>
      <c r="J36" s="57"/>
      <c r="K36" s="57"/>
      <c r="L36" s="57"/>
      <c r="M36" s="57"/>
      <c r="N36" s="57"/>
      <c r="O36" s="57"/>
      <c r="P36" s="14"/>
    </row>
  </sheetData>
  <mergeCells count="7">
    <mergeCell ref="K24:L24"/>
    <mergeCell ref="A3:P3"/>
    <mergeCell ref="A1:B1"/>
    <mergeCell ref="C1:H1"/>
    <mergeCell ref="M1:P1"/>
    <mergeCell ref="A2:B2"/>
    <mergeCell ref="C2:H2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7">
      <selection activeCell="P20" sqref="P20"/>
    </sheetView>
  </sheetViews>
  <sheetFormatPr defaultColWidth="9.140625" defaultRowHeight="21.75"/>
  <cols>
    <col min="1" max="1" width="3.421875" style="1" customWidth="1"/>
    <col min="2" max="2" width="5.7109375" style="1" customWidth="1"/>
    <col min="3" max="3" width="4.140625" style="1" customWidth="1"/>
    <col min="4" max="4" width="5.7109375" style="1" customWidth="1"/>
    <col min="5" max="5" width="4.8515625" style="1" customWidth="1"/>
    <col min="6" max="6" width="3.140625" style="1" customWidth="1"/>
    <col min="7" max="7" width="10.7109375" style="1" customWidth="1"/>
    <col min="8" max="8" width="4.7109375" style="1" customWidth="1"/>
    <col min="9" max="9" width="10.57421875" style="1" customWidth="1"/>
    <col min="10" max="10" width="6.421875" style="1" customWidth="1"/>
    <col min="11" max="11" width="6.7109375" style="1" customWidth="1"/>
    <col min="12" max="12" width="6.8515625" style="1" customWidth="1"/>
    <col min="13" max="13" width="9.00390625" style="1" customWidth="1"/>
    <col min="14" max="14" width="6.421875" style="1" customWidth="1"/>
    <col min="15" max="15" width="6.28125" style="1" customWidth="1"/>
    <col min="16" max="16" width="6.8515625" style="1" customWidth="1"/>
    <col min="17" max="16384" width="9.140625" style="1" customWidth="1"/>
  </cols>
  <sheetData>
    <row r="1" spans="1:16" ht="21" customHeight="1">
      <c r="A1" s="168" t="s">
        <v>105</v>
      </c>
      <c r="B1" s="168"/>
      <c r="C1" s="171" t="str">
        <f>ชื่อโครงการ!C5</f>
        <v>โรงงานวิชา Steel Design</v>
      </c>
      <c r="D1" s="171"/>
      <c r="E1" s="171"/>
      <c r="F1" s="171"/>
      <c r="G1" s="171"/>
      <c r="H1" s="171"/>
      <c r="I1" s="60"/>
      <c r="K1" s="60"/>
      <c r="L1" s="60"/>
      <c r="M1" s="168" t="str">
        <f>(""&amp;ชื่อโครงการ!B7&amp;" "&amp;ชื่อโครงการ!C7&amp;"")</f>
        <v>เจ้าของ : ภาควิชาวิศวกรรมโยธา</v>
      </c>
      <c r="N1" s="168"/>
      <c r="O1" s="168"/>
      <c r="P1" s="168"/>
    </row>
    <row r="2" spans="1:16" ht="21" customHeight="1" thickBot="1">
      <c r="A2" s="172" t="s">
        <v>106</v>
      </c>
      <c r="B2" s="172"/>
      <c r="C2" s="173" t="str">
        <f>ชื่อโครงการ!C6</f>
        <v>ภาควิชาวิศวกรรมโยธา</v>
      </c>
      <c r="D2" s="173"/>
      <c r="E2" s="173"/>
      <c r="F2" s="173"/>
      <c r="G2" s="173"/>
      <c r="H2" s="173"/>
      <c r="I2" s="61"/>
      <c r="J2" s="61"/>
      <c r="K2" s="61"/>
      <c r="L2" s="61"/>
      <c r="M2" s="61"/>
      <c r="N2" s="62"/>
      <c r="O2" s="63"/>
      <c r="P2" s="63"/>
    </row>
    <row r="3" spans="1:16" ht="24.75" customHeight="1">
      <c r="A3" s="170" t="s">
        <v>138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1:15" ht="21" customHeight="1">
      <c r="K4" s="14"/>
      <c r="L4" s="14"/>
      <c r="M4" s="14"/>
      <c r="N4" s="14"/>
      <c r="O4" s="14"/>
    </row>
    <row r="5" spans="2:18" ht="22.5" customHeight="1">
      <c r="B5" s="16"/>
      <c r="K5" s="78"/>
      <c r="L5" s="14"/>
      <c r="M5" s="79"/>
      <c r="N5" s="14"/>
      <c r="O5" s="14"/>
      <c r="R5" s="52"/>
    </row>
    <row r="6" spans="2:18" ht="22.5" customHeight="1">
      <c r="B6" s="1" t="s">
        <v>116</v>
      </c>
      <c r="F6" s="3" t="s">
        <v>1</v>
      </c>
      <c r="G6" s="68">
        <v>1</v>
      </c>
      <c r="H6" s="1" t="s">
        <v>2</v>
      </c>
      <c r="K6" s="113"/>
      <c r="L6" s="118" t="s">
        <v>135</v>
      </c>
      <c r="M6" s="119">
        <f>G12</f>
        <v>1674.3999999999999</v>
      </c>
      <c r="N6" s="120" t="str">
        <f>H12</f>
        <v>kg /m</v>
      </c>
      <c r="O6" s="109"/>
      <c r="R6" s="54"/>
    </row>
    <row r="7" spans="2:18" ht="22.5" customHeight="1">
      <c r="B7" s="1" t="s">
        <v>152</v>
      </c>
      <c r="F7" s="3" t="s">
        <v>1</v>
      </c>
      <c r="G7" s="68">
        <v>4</v>
      </c>
      <c r="H7" s="1" t="s">
        <v>2</v>
      </c>
      <c r="K7" s="114"/>
      <c r="L7" s="115"/>
      <c r="M7" s="116"/>
      <c r="N7" s="109"/>
      <c r="O7" s="109"/>
      <c r="R7" s="54"/>
    </row>
    <row r="8" spans="2:18" ht="22.5" customHeight="1">
      <c r="B8" s="46" t="s">
        <v>35</v>
      </c>
      <c r="F8" s="3"/>
      <c r="G8" s="4"/>
      <c r="H8" s="2"/>
      <c r="I8" s="4"/>
      <c r="K8" s="114"/>
      <c r="L8" s="117"/>
      <c r="M8" s="111"/>
      <c r="N8" s="109"/>
      <c r="O8" s="109"/>
      <c r="R8" s="5"/>
    </row>
    <row r="9" spans="2:16" ht="22.5" customHeight="1">
      <c r="B9" s="14" t="s">
        <v>142</v>
      </c>
      <c r="E9" s="69"/>
      <c r="F9" s="5" t="s">
        <v>1</v>
      </c>
      <c r="G9" s="81">
        <f>ROUND(จันทัน!M30,0)</f>
        <v>1441</v>
      </c>
      <c r="H9" s="67" t="s">
        <v>119</v>
      </c>
      <c r="K9" s="114"/>
      <c r="L9" s="118" t="s">
        <v>136</v>
      </c>
      <c r="M9" s="121">
        <f>G7</f>
        <v>4</v>
      </c>
      <c r="N9" s="122" t="str">
        <f>H7</f>
        <v>m.</v>
      </c>
      <c r="O9" s="109"/>
      <c r="P9" s="5"/>
    </row>
    <row r="10" spans="2:16" ht="22.5" customHeight="1">
      <c r="B10" s="14" t="s">
        <v>117</v>
      </c>
      <c r="E10" s="69"/>
      <c r="F10" s="15" t="s">
        <v>1</v>
      </c>
      <c r="G10" s="82">
        <f>G9/G6</f>
        <v>1441</v>
      </c>
      <c r="H10" s="67" t="s">
        <v>121</v>
      </c>
      <c r="K10" s="114"/>
      <c r="L10" s="115"/>
      <c r="M10" s="116"/>
      <c r="N10" s="109"/>
      <c r="O10" s="109"/>
      <c r="P10" s="5"/>
    </row>
    <row r="11" spans="2:16" ht="22.5" customHeight="1">
      <c r="B11" s="14" t="s">
        <v>151</v>
      </c>
      <c r="E11" s="69"/>
      <c r="F11" s="15" t="s">
        <v>1</v>
      </c>
      <c r="G11" s="105">
        <v>15</v>
      </c>
      <c r="H11" s="67" t="s">
        <v>121</v>
      </c>
      <c r="N11" s="3"/>
      <c r="O11" s="44"/>
      <c r="P11" s="5"/>
    </row>
    <row r="12" spans="2:8" ht="21.75" customHeight="1">
      <c r="B12" s="28" t="s">
        <v>110</v>
      </c>
      <c r="F12" s="3" t="s">
        <v>1</v>
      </c>
      <c r="G12" s="84">
        <f>SUM(G10:G11)*1.15</f>
        <v>1674.3999999999999</v>
      </c>
      <c r="H12" s="67" t="s">
        <v>121</v>
      </c>
    </row>
    <row r="13" spans="2:16" ht="22.5" customHeight="1">
      <c r="B13" s="6" t="s">
        <v>122</v>
      </c>
      <c r="C13" s="2" t="s">
        <v>1</v>
      </c>
      <c r="D13" s="1" t="s">
        <v>125</v>
      </c>
      <c r="F13" s="15" t="s">
        <v>1</v>
      </c>
      <c r="G13" s="6">
        <f>CEILING((G12*G7^2)/8,1)</f>
        <v>3349</v>
      </c>
      <c r="H13" s="67" t="s">
        <v>124</v>
      </c>
      <c r="N13" s="3"/>
      <c r="O13" s="4"/>
      <c r="P13" s="5"/>
    </row>
    <row r="14" spans="2:16" ht="22.5" customHeight="1">
      <c r="B14" s="20" t="s">
        <v>24</v>
      </c>
      <c r="C14" s="20"/>
      <c r="D14" s="20"/>
      <c r="E14" s="21"/>
      <c r="F14" s="24"/>
      <c r="G14" s="22" t="s">
        <v>26</v>
      </c>
      <c r="H14" s="25" t="s">
        <v>1</v>
      </c>
      <c r="I14" s="23">
        <v>5000</v>
      </c>
      <c r="J14" s="24" t="s">
        <v>128</v>
      </c>
      <c r="K14" s="22" t="s">
        <v>25</v>
      </c>
      <c r="L14" s="25" t="s">
        <v>1</v>
      </c>
      <c r="M14" s="23">
        <v>2520</v>
      </c>
      <c r="N14" s="24" t="s">
        <v>128</v>
      </c>
      <c r="P14" s="5"/>
    </row>
    <row r="15" spans="2:16" ht="22.5" customHeight="1">
      <c r="B15" s="28" t="s">
        <v>140</v>
      </c>
      <c r="C15" s="21"/>
      <c r="D15" s="21"/>
      <c r="E15" s="21"/>
      <c r="F15" s="21"/>
      <c r="G15" s="22" t="s">
        <v>33</v>
      </c>
      <c r="H15" s="25" t="s">
        <v>1</v>
      </c>
      <c r="I15" s="100">
        <f>2.04*10^6</f>
        <v>2040000</v>
      </c>
      <c r="J15" s="24" t="s">
        <v>128</v>
      </c>
      <c r="K15" s="22"/>
      <c r="L15" s="25"/>
      <c r="M15" s="23"/>
      <c r="N15" s="24"/>
      <c r="P15" s="5"/>
    </row>
    <row r="16" spans="2:15" ht="18" customHeight="1">
      <c r="B16" s="125">
        <v>2</v>
      </c>
      <c r="C16" s="85">
        <v>18</v>
      </c>
      <c r="D16" s="85"/>
      <c r="E16" s="85"/>
      <c r="F16" s="85"/>
      <c r="G16" s="85"/>
      <c r="H16" s="85"/>
      <c r="I16" s="86"/>
      <c r="J16" s="86"/>
      <c r="K16" s="86"/>
      <c r="L16" s="87" t="s">
        <v>11</v>
      </c>
      <c r="M16" s="88" t="s">
        <v>1</v>
      </c>
      <c r="N16" s="126">
        <f>INDEX('Data Base'!B$2:B$71,อกไก่!$C$16)*B16</f>
        <v>18.54</v>
      </c>
      <c r="O16" s="103" t="s">
        <v>121</v>
      </c>
    </row>
    <row r="17" spans="2:18" ht="22.5" customHeight="1">
      <c r="B17" s="72"/>
      <c r="C17" s="86"/>
      <c r="D17" s="86"/>
      <c r="E17" s="86"/>
      <c r="F17" s="86"/>
      <c r="G17" s="86"/>
      <c r="H17" s="87" t="s">
        <v>12</v>
      </c>
      <c r="I17" s="88" t="s">
        <v>1</v>
      </c>
      <c r="J17" s="86">
        <f>INDEX('Data Base'!D2:D71,อกไก่!$C$16)</f>
        <v>716</v>
      </c>
      <c r="K17" s="86" t="s">
        <v>59</v>
      </c>
      <c r="L17" s="87" t="s">
        <v>34</v>
      </c>
      <c r="M17" s="88" t="s">
        <v>1</v>
      </c>
      <c r="N17" s="86">
        <f>INDEX('Data Base'!E2:E71,อกไก่!$C$16)</f>
        <v>84.1</v>
      </c>
      <c r="O17" s="103" t="s">
        <v>59</v>
      </c>
      <c r="P17" s="6"/>
      <c r="Q17" s="3"/>
      <c r="R17" s="8"/>
    </row>
    <row r="18" spans="2:18" ht="22.5" customHeight="1">
      <c r="B18" s="72"/>
      <c r="C18" s="86"/>
      <c r="D18" s="86"/>
      <c r="E18" s="86"/>
      <c r="F18" s="86"/>
      <c r="G18" s="86"/>
      <c r="H18" s="87" t="s">
        <v>13</v>
      </c>
      <c r="I18" s="88" t="s">
        <v>1</v>
      </c>
      <c r="J18" s="86">
        <f>INDEX('Data Base'!F2:F71,อกไก่!$C$16)</f>
        <v>71.6</v>
      </c>
      <c r="K18" s="86" t="s">
        <v>60</v>
      </c>
      <c r="L18" s="87" t="s">
        <v>27</v>
      </c>
      <c r="M18" s="88" t="s">
        <v>1</v>
      </c>
      <c r="N18" s="86">
        <f>INDEX('Data Base'!G2:G71,อกไก่!$C$16)</f>
        <v>15.8</v>
      </c>
      <c r="O18" s="103" t="s">
        <v>60</v>
      </c>
      <c r="Q18" s="3"/>
      <c r="R18" s="8"/>
    </row>
    <row r="19" spans="2:19" ht="22.5" customHeight="1">
      <c r="B19" s="72"/>
      <c r="C19" s="72"/>
      <c r="D19" s="72"/>
      <c r="E19" s="72"/>
      <c r="F19" s="72"/>
      <c r="G19" s="72"/>
      <c r="H19" s="90" t="s">
        <v>54</v>
      </c>
      <c r="I19" s="91" t="s">
        <v>1</v>
      </c>
      <c r="J19" s="86">
        <f>INDEX('Data Base'!C2:C71,อกไก่!$C$16)*B16</f>
        <v>23.62</v>
      </c>
      <c r="K19" s="72" t="s">
        <v>55</v>
      </c>
      <c r="L19" s="87" t="s">
        <v>94</v>
      </c>
      <c r="M19" s="89" t="s">
        <v>1</v>
      </c>
      <c r="N19" s="86">
        <f>INDEX('Data Base'!I2:I71,อกไก่!$C$16)</f>
        <v>10</v>
      </c>
      <c r="O19" s="103" t="s">
        <v>95</v>
      </c>
      <c r="P19" s="51">
        <f>INDEX('Data Base'!J2:J71,อกไก่!$C$17)</f>
        <v>0.32</v>
      </c>
      <c r="Q19" s="3"/>
      <c r="R19" s="7"/>
      <c r="S19" s="5"/>
    </row>
    <row r="20" spans="2:19" ht="22.5" customHeight="1">
      <c r="B20" s="46" t="s">
        <v>146</v>
      </c>
      <c r="C20" s="14"/>
      <c r="D20" s="14"/>
      <c r="E20" s="14"/>
      <c r="F20" s="14"/>
      <c r="G20" s="130" t="s">
        <v>147</v>
      </c>
      <c r="H20" s="130" t="s">
        <v>1</v>
      </c>
      <c r="I20" s="133">
        <f>G13*100/(0.6*M14)</f>
        <v>221.494708994709</v>
      </c>
      <c r="J20" s="131" t="s">
        <v>60</v>
      </c>
      <c r="K20" s="5" t="str">
        <f>IF(I20&lt;J18,"&lt;","&gt;")</f>
        <v>&gt;</v>
      </c>
      <c r="L20" s="139" t="s">
        <v>163</v>
      </c>
      <c r="M20" s="134" t="str">
        <f>IF(I20&lt;J18,"OK","Check steel")</f>
        <v>Check steel</v>
      </c>
      <c r="N20" s="131"/>
      <c r="O20" s="132"/>
      <c r="P20" s="51"/>
      <c r="Q20" s="3"/>
      <c r="R20" s="7"/>
      <c r="S20" s="5"/>
    </row>
    <row r="21" spans="2:19" ht="22.5" customHeight="1">
      <c r="B21" s="46" t="s">
        <v>148</v>
      </c>
      <c r="C21" s="14"/>
      <c r="D21" s="14"/>
      <c r="E21" s="14"/>
      <c r="F21" s="14"/>
      <c r="G21" s="65" t="s">
        <v>149</v>
      </c>
      <c r="H21" s="130" t="s">
        <v>1</v>
      </c>
      <c r="I21" s="133">
        <f>0.6*M14*J18/100</f>
        <v>1082.5919999999999</v>
      </c>
      <c r="J21" s="67" t="s">
        <v>124</v>
      </c>
      <c r="K21" s="15" t="str">
        <f>IF(I21&gt;G13,"&gt;","&lt;")</f>
        <v>&lt;</v>
      </c>
      <c r="L21" s="67" t="s">
        <v>122</v>
      </c>
      <c r="M21" s="53" t="str">
        <f>IF(I21&gt;G13,"OK","check steel")</f>
        <v>check steel</v>
      </c>
      <c r="N21" s="131"/>
      <c r="O21" s="132"/>
      <c r="P21" s="51"/>
      <c r="Q21" s="3"/>
      <c r="R21" s="7"/>
      <c r="S21" s="5"/>
    </row>
    <row r="22" ht="22.5" customHeight="1">
      <c r="B22" s="20" t="s">
        <v>103</v>
      </c>
    </row>
    <row r="23" spans="2:13" ht="24.75" customHeight="1">
      <c r="B23" s="20"/>
      <c r="G23" s="107" t="s">
        <v>133</v>
      </c>
      <c r="H23" s="3" t="s">
        <v>1</v>
      </c>
      <c r="I23" s="1" t="s">
        <v>167</v>
      </c>
      <c r="J23" s="3" t="s">
        <v>1</v>
      </c>
      <c r="K23" s="178">
        <f>0.6*M14</f>
        <v>1512</v>
      </c>
      <c r="L23" s="178"/>
      <c r="M23" s="24" t="s">
        <v>128</v>
      </c>
    </row>
    <row r="24" spans="4:13" ht="24.75" customHeight="1">
      <c r="D24" s="3"/>
      <c r="G24" s="107" t="s">
        <v>134</v>
      </c>
      <c r="H24" s="3" t="s">
        <v>1</v>
      </c>
      <c r="I24" s="83">
        <f>G13*100/J18</f>
        <v>4677.374301675978</v>
      </c>
      <c r="J24" s="24" t="s">
        <v>128</v>
      </c>
      <c r="K24" s="3" t="str">
        <f>IF(I24&lt;K23,"&lt;","&gt;")</f>
        <v>&gt;</v>
      </c>
      <c r="L24" s="107" t="s">
        <v>133</v>
      </c>
      <c r="M24" s="129" t="str">
        <f>IF(K24="&lt;","OK","Check again")</f>
        <v>Check again</v>
      </c>
    </row>
    <row r="25" spans="8:16" ht="22.5" customHeight="1">
      <c r="H25" s="5"/>
      <c r="I25" s="11"/>
      <c r="J25" s="3"/>
      <c r="K25" s="5"/>
      <c r="M25" s="38"/>
      <c r="N25" s="13"/>
      <c r="O25" s="4"/>
      <c r="P25" s="12"/>
    </row>
    <row r="26" ht="19.5" customHeight="1">
      <c r="B26" s="20" t="s">
        <v>29</v>
      </c>
    </row>
    <row r="27" spans="3:12" ht="22.5" customHeight="1">
      <c r="C27" s="5"/>
      <c r="E27" s="58"/>
      <c r="F27" s="64" t="s">
        <v>104</v>
      </c>
      <c r="G27" s="104" t="s">
        <v>32</v>
      </c>
      <c r="H27" s="3" t="s">
        <v>1</v>
      </c>
      <c r="I27" s="1" t="s">
        <v>30</v>
      </c>
      <c r="J27" s="3" t="s">
        <v>1</v>
      </c>
      <c r="K27" s="10">
        <f>G7*100/360</f>
        <v>1.1111111111111112</v>
      </c>
      <c r="L27" s="1" t="s">
        <v>31</v>
      </c>
    </row>
    <row r="28" spans="2:16" ht="22.5" customHeight="1">
      <c r="B28" s="14"/>
      <c r="C28" s="14"/>
      <c r="D28" s="14"/>
      <c r="E28" s="14"/>
      <c r="F28" s="64" t="s">
        <v>104</v>
      </c>
      <c r="G28" s="102" t="s">
        <v>132</v>
      </c>
      <c r="H28" s="42" t="s">
        <v>1</v>
      </c>
      <c r="I28" s="14" t="s">
        <v>145</v>
      </c>
      <c r="J28" s="14"/>
      <c r="K28" s="14"/>
      <c r="L28" s="42"/>
      <c r="M28" s="14"/>
      <c r="N28" s="14"/>
      <c r="O28" s="14"/>
      <c r="P28" s="14"/>
    </row>
    <row r="29" spans="2:16" ht="22.5" customHeight="1">
      <c r="B29" s="14"/>
      <c r="C29" s="14"/>
      <c r="D29" s="14"/>
      <c r="E29" s="14"/>
      <c r="F29" s="65"/>
      <c r="G29" s="14"/>
      <c r="H29" s="42" t="s">
        <v>1</v>
      </c>
      <c r="I29" s="101">
        <f>(5*G12*0.01*(G7*100)^4)/(384*I15*J17)</f>
        <v>3.8211560229305874</v>
      </c>
      <c r="J29" s="15" t="str">
        <f>IF(I29&lt;K27,"&lt;","&gt;")</f>
        <v>&gt;</v>
      </c>
      <c r="K29" s="137" t="s">
        <v>162</v>
      </c>
      <c r="L29" s="53" t="str">
        <f>IF(I29&lt;K27,"O.K.","No Pass")</f>
        <v>No Pass</v>
      </c>
      <c r="N29" s="14"/>
      <c r="O29" s="14"/>
      <c r="P29" s="45"/>
    </row>
    <row r="30" spans="2:16" ht="22.5" customHeight="1">
      <c r="B30" s="46" t="s">
        <v>43</v>
      </c>
      <c r="C30" s="14"/>
      <c r="D30" s="14"/>
      <c r="E30" s="14"/>
      <c r="F30" s="14"/>
      <c r="G30" s="47" t="s">
        <v>126</v>
      </c>
      <c r="H30" s="42" t="s">
        <v>1</v>
      </c>
      <c r="I30" s="14" t="s">
        <v>150</v>
      </c>
      <c r="J30" s="14"/>
      <c r="K30" s="14"/>
      <c r="L30" s="42" t="s">
        <v>1</v>
      </c>
      <c r="M30" s="39">
        <f>0.5*G12*G7</f>
        <v>3348.7999999999997</v>
      </c>
      <c r="N30" s="15" t="s">
        <v>45</v>
      </c>
      <c r="O30" s="14"/>
      <c r="P30" s="14"/>
    </row>
    <row r="31" spans="2:16" ht="22.5" customHeight="1">
      <c r="B31" s="41" t="s">
        <v>46</v>
      </c>
      <c r="C31" s="14"/>
      <c r="D31" s="14"/>
      <c r="E31" s="14"/>
      <c r="F31" s="14"/>
      <c r="G31" s="47" t="s">
        <v>127</v>
      </c>
      <c r="H31" s="42" t="s">
        <v>1</v>
      </c>
      <c r="I31" s="49" t="s">
        <v>47</v>
      </c>
      <c r="J31" s="14"/>
      <c r="K31" s="14"/>
      <c r="L31" s="42" t="s">
        <v>1</v>
      </c>
      <c r="M31" s="44">
        <f>0.4*M14</f>
        <v>1008</v>
      </c>
      <c r="N31" s="24" t="s">
        <v>128</v>
      </c>
      <c r="O31" s="14"/>
      <c r="P31" s="14"/>
    </row>
    <row r="32" spans="2:16" ht="22.5" customHeight="1">
      <c r="B32" s="14" t="s">
        <v>48</v>
      </c>
      <c r="C32" s="14"/>
      <c r="D32" s="14"/>
      <c r="E32" s="14"/>
      <c r="F32" s="14"/>
      <c r="G32" s="47" t="s">
        <v>130</v>
      </c>
      <c r="H32" s="42" t="s">
        <v>1</v>
      </c>
      <c r="I32" s="14" t="s">
        <v>52</v>
      </c>
      <c r="J32" s="14"/>
      <c r="K32" s="14"/>
      <c r="L32" s="42" t="s">
        <v>1</v>
      </c>
      <c r="M32" s="39">
        <f>M30/J19</f>
        <v>141.77815410668924</v>
      </c>
      <c r="N32" s="24" t="s">
        <v>128</v>
      </c>
      <c r="O32" s="50" t="s">
        <v>129</v>
      </c>
      <c r="P32" s="38" t="str">
        <f>IF(M32&lt;M31,"O.K."," No Pass")</f>
        <v>O.K.</v>
      </c>
    </row>
    <row r="33" spans="2:16" ht="18.75" customHeight="1">
      <c r="B33" s="14" t="s">
        <v>49</v>
      </c>
      <c r="C33" s="14"/>
      <c r="D33" s="14"/>
      <c r="E33" s="14"/>
      <c r="F33" s="14"/>
      <c r="G33" s="47" t="s">
        <v>131</v>
      </c>
      <c r="H33" s="42" t="s">
        <v>1</v>
      </c>
      <c r="I33" s="14" t="s">
        <v>53</v>
      </c>
      <c r="J33" s="14"/>
      <c r="K33" s="14"/>
      <c r="L33" s="42" t="s">
        <v>1</v>
      </c>
      <c r="M33" s="39">
        <f>M30/(N19*P19)</f>
        <v>1046.4999999999998</v>
      </c>
      <c r="N33" s="24" t="s">
        <v>128</v>
      </c>
      <c r="O33" s="50" t="s">
        <v>129</v>
      </c>
      <c r="P33" s="38" t="str">
        <f>IF(M33&lt;M31,"O.K."," No Pass")</f>
        <v> No Pass</v>
      </c>
    </row>
    <row r="34" spans="2:16" ht="18.75" customHeight="1">
      <c r="B34" s="14"/>
      <c r="C34" s="14"/>
      <c r="D34" s="14"/>
      <c r="E34" s="14"/>
      <c r="F34" s="14"/>
      <c r="G34" s="47"/>
      <c r="H34" s="42"/>
      <c r="I34" s="14"/>
      <c r="J34" s="14"/>
      <c r="K34" s="14"/>
      <c r="L34" s="42"/>
      <c r="M34" s="39"/>
      <c r="N34" s="15"/>
      <c r="O34" s="50"/>
      <c r="P34" s="45"/>
    </row>
    <row r="35" spans="2:16" ht="22.5" customHeight="1">
      <c r="B35" s="14"/>
      <c r="C35" s="14"/>
      <c r="D35" s="14"/>
      <c r="E35" s="14"/>
      <c r="F35" s="14"/>
      <c r="G35" s="14"/>
      <c r="H35" s="14"/>
      <c r="I35" s="57"/>
      <c r="J35" s="57"/>
      <c r="K35" s="57"/>
      <c r="L35" s="57"/>
      <c r="M35" s="57"/>
      <c r="N35" s="57"/>
      <c r="O35" s="57"/>
      <c r="P35" s="14"/>
    </row>
  </sheetData>
  <mergeCells count="7">
    <mergeCell ref="K23:L23"/>
    <mergeCell ref="A3:P3"/>
    <mergeCell ref="A1:B1"/>
    <mergeCell ref="C1:H1"/>
    <mergeCell ref="M1:P1"/>
    <mergeCell ref="A2:B2"/>
    <mergeCell ref="C2:H2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10">
      <selection activeCell="I28" sqref="I28"/>
    </sheetView>
  </sheetViews>
  <sheetFormatPr defaultColWidth="9.140625" defaultRowHeight="21.75"/>
  <cols>
    <col min="1" max="1" width="3.421875" style="1" customWidth="1"/>
    <col min="2" max="2" width="5.7109375" style="1" customWidth="1"/>
    <col min="3" max="3" width="4.140625" style="1" customWidth="1"/>
    <col min="4" max="4" width="5.7109375" style="1" customWidth="1"/>
    <col min="5" max="5" width="4.8515625" style="1" customWidth="1"/>
    <col min="6" max="6" width="3.140625" style="1" customWidth="1"/>
    <col min="7" max="7" width="10.7109375" style="1" customWidth="1"/>
    <col min="8" max="8" width="4.7109375" style="1" customWidth="1"/>
    <col min="9" max="9" width="10.57421875" style="1" customWidth="1"/>
    <col min="10" max="10" width="6.421875" style="1" customWidth="1"/>
    <col min="11" max="11" width="6.7109375" style="1" customWidth="1"/>
    <col min="12" max="12" width="6.8515625" style="1" customWidth="1"/>
    <col min="13" max="13" width="9.00390625" style="1" customWidth="1"/>
    <col min="14" max="14" width="6.421875" style="1" customWidth="1"/>
    <col min="15" max="15" width="6.28125" style="1" customWidth="1"/>
    <col min="16" max="16" width="5.00390625" style="1" customWidth="1"/>
    <col min="17" max="17" width="6.8515625" style="1" customWidth="1"/>
    <col min="18" max="20" width="9.140625" style="1" customWidth="1"/>
    <col min="21" max="21" width="37.00390625" style="1" customWidth="1"/>
    <col min="22" max="22" width="9.140625" style="1" customWidth="1"/>
    <col min="23" max="23" width="5.00390625" style="14" customWidth="1"/>
    <col min="24" max="16384" width="9.140625" style="1" customWidth="1"/>
  </cols>
  <sheetData>
    <row r="1" spans="1:23" ht="21" customHeight="1">
      <c r="A1" s="168" t="s">
        <v>105</v>
      </c>
      <c r="B1" s="168"/>
      <c r="C1" s="171" t="str">
        <f>ชื่อโครงการ!C5</f>
        <v>โรงงานวิชา Steel Design</v>
      </c>
      <c r="D1" s="171"/>
      <c r="E1" s="171"/>
      <c r="F1" s="171"/>
      <c r="G1" s="171"/>
      <c r="H1" s="171"/>
      <c r="I1" s="60"/>
      <c r="K1" s="60"/>
      <c r="L1" s="168" t="str">
        <f>(""&amp;ชื่อโครงการ!B7&amp;" "&amp;ชื่อโครงการ!C7&amp;"")</f>
        <v>เจ้าของ : ภาควิชาวิศวกรรมโยธา</v>
      </c>
      <c r="M1" s="168"/>
      <c r="N1" s="168"/>
      <c r="O1" s="168"/>
      <c r="P1" s="168"/>
      <c r="Q1" s="124"/>
      <c r="W1" s="14"/>
    </row>
    <row r="2" spans="1:23" ht="21" customHeight="1" thickBot="1">
      <c r="A2" s="172" t="s">
        <v>106</v>
      </c>
      <c r="B2" s="172"/>
      <c r="C2" s="173" t="str">
        <f>ชื่อโครงการ!C6</f>
        <v>ภาควิชาวิศวกรรมโยธา</v>
      </c>
      <c r="D2" s="173"/>
      <c r="E2" s="173"/>
      <c r="F2" s="173"/>
      <c r="G2" s="173"/>
      <c r="H2" s="173"/>
      <c r="I2" s="61"/>
      <c r="J2" s="61"/>
      <c r="K2" s="61"/>
      <c r="L2" s="61"/>
      <c r="M2" s="61"/>
      <c r="N2" s="62"/>
      <c r="O2" s="63"/>
      <c r="P2" s="63"/>
      <c r="W2" s="14"/>
    </row>
    <row r="3" spans="1:17" ht="30" customHeight="1">
      <c r="A3" s="170" t="s">
        <v>153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08"/>
    </row>
    <row r="4" spans="11:15" ht="21" customHeight="1">
      <c r="K4" s="14"/>
      <c r="L4" s="14"/>
      <c r="M4" s="14"/>
      <c r="N4" s="14"/>
      <c r="O4" s="14"/>
    </row>
    <row r="5" spans="2:19" ht="22.5" customHeight="1">
      <c r="B5" s="16"/>
      <c r="K5" s="78"/>
      <c r="L5" s="14"/>
      <c r="M5" s="79"/>
      <c r="N5" s="14"/>
      <c r="O5" s="14"/>
      <c r="S5" s="52"/>
    </row>
    <row r="6" spans="2:25" ht="22.5" customHeight="1">
      <c r="B6" s="46" t="s">
        <v>35</v>
      </c>
      <c r="F6" s="3"/>
      <c r="G6" s="4"/>
      <c r="H6" s="2"/>
      <c r="I6" s="4"/>
      <c r="R6" s="147" t="s">
        <v>181</v>
      </c>
      <c r="S6" s="149" t="s">
        <v>180</v>
      </c>
      <c r="T6" s="147"/>
      <c r="U6" s="147" t="s">
        <v>174</v>
      </c>
      <c r="V6" s="147" t="s">
        <v>175</v>
      </c>
      <c r="W6" s="15"/>
      <c r="X6" s="179" t="s">
        <v>180</v>
      </c>
      <c r="Y6" s="179"/>
    </row>
    <row r="7" spans="2:25" ht="22.5" customHeight="1">
      <c r="B7" s="14" t="s">
        <v>154</v>
      </c>
      <c r="E7" s="69"/>
      <c r="F7" s="5" t="s">
        <v>1</v>
      </c>
      <c r="G7" s="156">
        <f>ROUND(อกไก่!M30,0)</f>
        <v>3349</v>
      </c>
      <c r="H7" s="67" t="s">
        <v>119</v>
      </c>
      <c r="J7" s="168" t="s">
        <v>164</v>
      </c>
      <c r="K7" s="168"/>
      <c r="L7" s="5" t="s">
        <v>1</v>
      </c>
      <c r="M7" s="142">
        <v>30</v>
      </c>
      <c r="N7" s="141" t="s">
        <v>165</v>
      </c>
      <c r="O7" s="1" t="s">
        <v>168</v>
      </c>
      <c r="R7" s="147" t="s">
        <v>182</v>
      </c>
      <c r="S7" s="149" t="s">
        <v>182</v>
      </c>
      <c r="T7" s="147">
        <v>1</v>
      </c>
      <c r="U7" s="148" t="s">
        <v>176</v>
      </c>
      <c r="V7" s="147">
        <v>0.65</v>
      </c>
      <c r="W7" s="15"/>
      <c r="Y7" s="144"/>
    </row>
    <row r="8" spans="2:25" ht="22.5" customHeight="1">
      <c r="B8" s="14" t="s">
        <v>155</v>
      </c>
      <c r="E8" s="69"/>
      <c r="F8" s="5" t="s">
        <v>1</v>
      </c>
      <c r="G8" s="155">
        <f>ROUND(ตะเฆ่สัน!M31,0)*2</f>
        <v>8346</v>
      </c>
      <c r="H8" s="67" t="s">
        <v>119</v>
      </c>
      <c r="K8" s="124" t="s">
        <v>166</v>
      </c>
      <c r="L8" s="5" t="s">
        <v>1</v>
      </c>
      <c r="M8" s="143">
        <f>M13*M7/100</f>
        <v>756</v>
      </c>
      <c r="N8" s="24" t="s">
        <v>128</v>
      </c>
      <c r="R8" s="147" t="s">
        <v>182</v>
      </c>
      <c r="S8" s="149" t="s">
        <v>183</v>
      </c>
      <c r="T8" s="147">
        <v>2</v>
      </c>
      <c r="U8" s="148" t="s">
        <v>177</v>
      </c>
      <c r="V8" s="147">
        <v>0.8</v>
      </c>
      <c r="W8" s="15"/>
      <c r="Y8" s="145"/>
    </row>
    <row r="9" spans="2:25" ht="22.5" customHeight="1">
      <c r="B9" s="14" t="s">
        <v>157</v>
      </c>
      <c r="E9" s="69"/>
      <c r="F9" s="15" t="s">
        <v>1</v>
      </c>
      <c r="G9" s="105">
        <v>15</v>
      </c>
      <c r="H9" s="67" t="s">
        <v>121</v>
      </c>
      <c r="J9" s="60" t="s">
        <v>169</v>
      </c>
      <c r="K9" s="60"/>
      <c r="L9" s="5" t="s">
        <v>1</v>
      </c>
      <c r="M9" s="84">
        <f>G11/M8</f>
        <v>23.215228174603176</v>
      </c>
      <c r="N9" s="14" t="s">
        <v>55</v>
      </c>
      <c r="P9" s="5"/>
      <c r="Q9" s="5"/>
      <c r="R9" s="147" t="s">
        <v>182</v>
      </c>
      <c r="S9" s="149" t="s">
        <v>182</v>
      </c>
      <c r="T9" s="147">
        <v>3</v>
      </c>
      <c r="U9" s="148" t="s">
        <v>178</v>
      </c>
      <c r="V9" s="147">
        <v>1.2</v>
      </c>
      <c r="W9" s="15"/>
      <c r="Y9" s="145"/>
    </row>
    <row r="10" spans="2:25" ht="22.5" customHeight="1">
      <c r="B10" s="14" t="s">
        <v>158</v>
      </c>
      <c r="E10" s="69"/>
      <c r="F10" s="15" t="s">
        <v>1</v>
      </c>
      <c r="G10" s="127">
        <f>แป!O16</f>
        <v>0.365</v>
      </c>
      <c r="H10" s="67" t="s">
        <v>159</v>
      </c>
      <c r="K10" s="20" t="s">
        <v>185</v>
      </c>
      <c r="L10" s="152">
        <v>4</v>
      </c>
      <c r="O10" s="157"/>
      <c r="P10" s="5"/>
      <c r="Q10" s="5"/>
      <c r="R10" s="147" t="s">
        <v>183</v>
      </c>
      <c r="S10" s="149" t="s">
        <v>183</v>
      </c>
      <c r="T10" s="147">
        <v>4</v>
      </c>
      <c r="U10" s="148" t="s">
        <v>177</v>
      </c>
      <c r="V10" s="147">
        <v>1</v>
      </c>
      <c r="W10" s="15"/>
      <c r="Y10" s="145"/>
    </row>
    <row r="11" spans="2:25" ht="21.75" customHeight="1">
      <c r="B11" s="123" t="s">
        <v>156</v>
      </c>
      <c r="F11" s="3" t="s">
        <v>1</v>
      </c>
      <c r="G11" s="143">
        <f>(SUM(G7:G8)+G9*G10)*1.5</f>
        <v>17550.7125</v>
      </c>
      <c r="H11" s="67" t="s">
        <v>121</v>
      </c>
      <c r="K11" s="150" t="s">
        <v>175</v>
      </c>
      <c r="L11" s="28" t="s">
        <v>1</v>
      </c>
      <c r="M11" s="157">
        <f>IF(L10=T7,V7,IF(L10=T8,V8,IF(L10=T9,V9,IF(L10=T10,V10,IF(L10=T11,V11,V12)))))</f>
        <v>1</v>
      </c>
      <c r="R11" s="147" t="s">
        <v>182</v>
      </c>
      <c r="S11" s="149" t="s">
        <v>184</v>
      </c>
      <c r="T11" s="147">
        <v>5</v>
      </c>
      <c r="U11" s="148" t="s">
        <v>179</v>
      </c>
      <c r="V11" s="147">
        <v>2.1</v>
      </c>
      <c r="W11" s="15"/>
      <c r="Y11" s="145"/>
    </row>
    <row r="12" spans="18:25" ht="21.75" customHeight="1" thickBot="1">
      <c r="R12" s="147" t="s">
        <v>183</v>
      </c>
      <c r="S12" s="149" t="s">
        <v>182</v>
      </c>
      <c r="T12" s="147">
        <v>6</v>
      </c>
      <c r="U12" s="148" t="s">
        <v>178</v>
      </c>
      <c r="V12" s="147">
        <v>2</v>
      </c>
      <c r="W12" s="15"/>
      <c r="X12" s="63"/>
      <c r="Y12" s="146" t="s">
        <v>181</v>
      </c>
    </row>
    <row r="13" spans="2:17" ht="22.5" customHeight="1">
      <c r="B13" s="20" t="s">
        <v>24</v>
      </c>
      <c r="C13" s="20"/>
      <c r="D13" s="20"/>
      <c r="E13" s="21"/>
      <c r="F13" s="24"/>
      <c r="G13" s="22" t="s">
        <v>26</v>
      </c>
      <c r="H13" s="25" t="s">
        <v>1</v>
      </c>
      <c r="I13" s="23">
        <v>5000</v>
      </c>
      <c r="J13" s="24" t="s">
        <v>128</v>
      </c>
      <c r="K13" s="22" t="s">
        <v>25</v>
      </c>
      <c r="L13" s="25" t="s">
        <v>1</v>
      </c>
      <c r="M13" s="23">
        <v>2520</v>
      </c>
      <c r="N13" s="24" t="s">
        <v>128</v>
      </c>
      <c r="P13" s="5"/>
      <c r="Q13" s="5"/>
    </row>
    <row r="14" spans="2:17" ht="22.5" customHeight="1">
      <c r="B14" s="28" t="s">
        <v>140</v>
      </c>
      <c r="C14" s="21"/>
      <c r="D14" s="21"/>
      <c r="E14" s="21"/>
      <c r="F14" s="21"/>
      <c r="G14" s="22" t="s">
        <v>33</v>
      </c>
      <c r="H14" s="25" t="s">
        <v>1</v>
      </c>
      <c r="I14" s="100">
        <f>2.04*10^6</f>
        <v>2040000</v>
      </c>
      <c r="J14" s="24" t="s">
        <v>128</v>
      </c>
      <c r="K14" s="22"/>
      <c r="L14" s="25"/>
      <c r="M14" s="23"/>
      <c r="N14" s="24"/>
      <c r="P14" s="5"/>
      <c r="Q14" s="5"/>
    </row>
    <row r="15" spans="2:15" ht="18" customHeight="1">
      <c r="B15" s="125">
        <v>2</v>
      </c>
      <c r="C15" s="85">
        <v>11</v>
      </c>
      <c r="D15" s="85"/>
      <c r="E15" s="85"/>
      <c r="F15" s="85"/>
      <c r="G15" s="85"/>
      <c r="H15" s="85"/>
      <c r="I15" s="86"/>
      <c r="J15" s="86"/>
      <c r="K15" s="86"/>
      <c r="L15" s="87" t="s">
        <v>11</v>
      </c>
      <c r="M15" s="88" t="s">
        <v>1</v>
      </c>
      <c r="N15" s="126">
        <f>INDEX('Data Base'!B$2:B$71,ดั้ง!$C$15)*B15</f>
        <v>13.52</v>
      </c>
      <c r="O15" s="103" t="s">
        <v>121</v>
      </c>
    </row>
    <row r="16" spans="2:19" ht="22.5" customHeight="1">
      <c r="B16" s="72"/>
      <c r="C16" s="86"/>
      <c r="D16" s="86"/>
      <c r="E16" s="86"/>
      <c r="F16" s="86"/>
      <c r="G16" s="86"/>
      <c r="H16" s="87" t="s">
        <v>12</v>
      </c>
      <c r="I16" s="88" t="s">
        <v>1</v>
      </c>
      <c r="J16" s="86">
        <f>INDEX('Data Base'!D2:D71,ดั้ง!$C$15)</f>
        <v>280</v>
      </c>
      <c r="K16" s="86" t="s">
        <v>59</v>
      </c>
      <c r="L16" s="87" t="s">
        <v>34</v>
      </c>
      <c r="M16" s="88" t="s">
        <v>1</v>
      </c>
      <c r="N16" s="86">
        <f>INDEX('Data Base'!E2:E71,ดั้ง!$C$15)</f>
        <v>28.3</v>
      </c>
      <c r="O16" s="103" t="s">
        <v>59</v>
      </c>
      <c r="P16" s="6"/>
      <c r="Q16" s="6"/>
      <c r="R16" s="3"/>
      <c r="S16" s="8"/>
    </row>
    <row r="17" spans="2:19" ht="22.5" customHeight="1">
      <c r="B17" s="72"/>
      <c r="C17" s="86"/>
      <c r="D17" s="86"/>
      <c r="E17" s="86"/>
      <c r="F17" s="86"/>
      <c r="G17" s="86"/>
      <c r="H17" s="87" t="s">
        <v>13</v>
      </c>
      <c r="I17" s="88" t="s">
        <v>1</v>
      </c>
      <c r="J17" s="86">
        <f>INDEX('Data Base'!F2:F71,ดั้ง!$C$15)</f>
        <v>37.4</v>
      </c>
      <c r="K17" s="86" t="s">
        <v>60</v>
      </c>
      <c r="L17" s="87" t="s">
        <v>27</v>
      </c>
      <c r="M17" s="88" t="s">
        <v>1</v>
      </c>
      <c r="N17" s="86">
        <f>INDEX('Data Base'!G2:G71,ดั้ง!$C$15)</f>
        <v>8.19</v>
      </c>
      <c r="O17" s="103" t="s">
        <v>60</v>
      </c>
      <c r="R17" s="3"/>
      <c r="S17" s="8"/>
    </row>
    <row r="18" spans="2:19" ht="22.5" customHeight="1">
      <c r="B18" s="72"/>
      <c r="C18" s="86"/>
      <c r="D18" s="86"/>
      <c r="E18" s="86"/>
      <c r="F18" s="86"/>
      <c r="G18" s="86"/>
      <c r="H18" s="87" t="s">
        <v>172</v>
      </c>
      <c r="I18" s="89" t="s">
        <v>1</v>
      </c>
      <c r="J18" s="86">
        <f>INDEX('Data Base'!K2:K71,ดั้ง!$C$15)</f>
        <v>5.71</v>
      </c>
      <c r="K18" s="86" t="s">
        <v>95</v>
      </c>
      <c r="L18" s="87" t="s">
        <v>173</v>
      </c>
      <c r="M18" s="89" t="s">
        <v>1</v>
      </c>
      <c r="N18" s="86">
        <f>INDEX('Data Base'!L2:L71,ดั้ง!$C$15)</f>
        <v>1.81</v>
      </c>
      <c r="O18" s="86" t="s">
        <v>95</v>
      </c>
      <c r="R18" s="3"/>
      <c r="S18" s="8"/>
    </row>
    <row r="19" spans="2:20" ht="22.5" customHeight="1">
      <c r="B19" s="72"/>
      <c r="C19" s="72"/>
      <c r="D19" s="72"/>
      <c r="E19" s="72"/>
      <c r="F19" s="72"/>
      <c r="G19" s="72"/>
      <c r="H19" s="90" t="s">
        <v>54</v>
      </c>
      <c r="I19" s="91" t="s">
        <v>1</v>
      </c>
      <c r="J19" s="86">
        <f>INDEX('Data Base'!C2:C71,ดั้ง!$C$15)*B15</f>
        <v>17.214</v>
      </c>
      <c r="K19" s="72" t="s">
        <v>55</v>
      </c>
      <c r="L19" s="87" t="s">
        <v>94</v>
      </c>
      <c r="M19" s="89" t="s">
        <v>1</v>
      </c>
      <c r="N19" s="86">
        <f>INDEX('Data Base'!I2:I71,ดั้ง!$C$15)</f>
        <v>7.5</v>
      </c>
      <c r="O19" s="103" t="s">
        <v>95</v>
      </c>
      <c r="P19" s="51">
        <f>INDEX('Data Base'!J2:J71,ดั้ง!$C$15)</f>
        <v>0.32</v>
      </c>
      <c r="Q19" s="51"/>
      <c r="R19" s="3"/>
      <c r="S19" s="7"/>
      <c r="T19" s="5"/>
    </row>
    <row r="20" ht="22.5" customHeight="1"/>
    <row r="21" spans="2:19" ht="22.5" customHeight="1">
      <c r="B21" s="1" t="s">
        <v>187</v>
      </c>
      <c r="F21" s="5" t="s">
        <v>1</v>
      </c>
      <c r="G21" s="153">
        <f>((2*PI()^2)*I14/M13)^0.5</f>
        <v>126.40949136249868</v>
      </c>
      <c r="K21" s="1" t="s">
        <v>186</v>
      </c>
      <c r="L21" s="5" t="s">
        <v>1</v>
      </c>
      <c r="M21" s="153">
        <f>M11*G10*100/J18</f>
        <v>6.392294220665499</v>
      </c>
      <c r="S21" s="20" t="s">
        <v>188</v>
      </c>
    </row>
    <row r="22" spans="2:19" ht="22.5" customHeight="1">
      <c r="B22" s="151" t="str">
        <f>IF(M21&lt;G21,"KL / r  &lt;  Cc","KL / r  &gt;  Cc")</f>
        <v>KL / r  &lt;  Cc</v>
      </c>
      <c r="R22" s="151" t="str">
        <f>IF(M21&lt;G21,"1","2")</f>
        <v>1</v>
      </c>
      <c r="S22" s="20">
        <f>M21/G21</f>
        <v>0.05056815079126148</v>
      </c>
    </row>
    <row r="23" spans="2:8" ht="22.5" customHeight="1">
      <c r="B23" s="14" t="s">
        <v>166</v>
      </c>
      <c r="F23" s="5" t="s">
        <v>1</v>
      </c>
      <c r="G23" s="154">
        <f>IF(R22="1",((1-0.5*S22^2)/(5/3+3*S22/8-S22^3/8))*M13,12*PI()^2*I14/(23*M21^2))</f>
        <v>1493.0931185850745</v>
      </c>
      <c r="H23" s="24" t="s">
        <v>128</v>
      </c>
    </row>
    <row r="24" spans="2:9" ht="22.5" customHeight="1">
      <c r="B24" s="14" t="s">
        <v>189</v>
      </c>
      <c r="F24" s="15" t="s">
        <v>1</v>
      </c>
      <c r="G24" s="154">
        <f>G23*J19</f>
        <v>25702.10494332347</v>
      </c>
      <c r="H24" s="5" t="s">
        <v>119</v>
      </c>
      <c r="I24" s="151" t="str">
        <f>IF(G24&gt;G11,"   P  &gt;  Pu             OK","   P  &lt;  Pu             Check steel")</f>
        <v>   P  &gt;  Pu             OK</v>
      </c>
    </row>
    <row r="25" spans="2:17" ht="18.75" customHeight="1">
      <c r="B25" s="14"/>
      <c r="C25" s="14"/>
      <c r="D25" s="14"/>
      <c r="E25" s="14"/>
      <c r="F25" s="14"/>
      <c r="G25" s="47"/>
      <c r="H25" s="42"/>
      <c r="I25" s="14"/>
      <c r="J25" s="14"/>
      <c r="K25" s="14"/>
      <c r="L25" s="42"/>
      <c r="M25" s="39"/>
      <c r="N25" s="15"/>
      <c r="O25" s="50"/>
      <c r="P25" s="45"/>
      <c r="Q25" s="45"/>
    </row>
    <row r="26" spans="2:17" ht="22.5" customHeight="1">
      <c r="B26" s="14"/>
      <c r="C26" s="14"/>
      <c r="D26" s="14"/>
      <c r="E26" s="14"/>
      <c r="F26" s="14"/>
      <c r="G26" s="14"/>
      <c r="H26" s="14"/>
      <c r="I26" s="57"/>
      <c r="J26" s="57"/>
      <c r="K26" s="57"/>
      <c r="L26" s="57"/>
      <c r="M26" s="57"/>
      <c r="N26" s="57"/>
      <c r="O26" s="57"/>
      <c r="P26" s="14"/>
      <c r="Q26" s="14"/>
    </row>
  </sheetData>
  <mergeCells count="8">
    <mergeCell ref="J7:K7"/>
    <mergeCell ref="X6:Y6"/>
    <mergeCell ref="L1:P1"/>
    <mergeCell ref="A3:P3"/>
    <mergeCell ref="A1:B1"/>
    <mergeCell ref="C1:H1"/>
    <mergeCell ref="A2:B2"/>
    <mergeCell ref="C2:H2"/>
  </mergeCells>
  <dataValidations count="1">
    <dataValidation type="list" allowBlank="1" showInputMessage="1" showErrorMessage="1" sqref="L10">
      <formula1>$T$7:$T$12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5:F7"/>
  <sheetViews>
    <sheetView workbookViewId="0" topLeftCell="A1">
      <selection activeCell="C6" sqref="C6:F6"/>
    </sheetView>
  </sheetViews>
  <sheetFormatPr defaultColWidth="9.140625" defaultRowHeight="21.75"/>
  <sheetData>
    <row r="5" spans="2:6" ht="21.75">
      <c r="B5" s="59" t="s">
        <v>105</v>
      </c>
      <c r="C5" s="180" t="s">
        <v>232</v>
      </c>
      <c r="D5" s="180"/>
      <c r="E5" s="180"/>
      <c r="F5" s="180"/>
    </row>
    <row r="6" spans="2:6" ht="21.75">
      <c r="B6" s="59" t="s">
        <v>106</v>
      </c>
      <c r="C6" s="180" t="s">
        <v>230</v>
      </c>
      <c r="D6" s="180"/>
      <c r="E6" s="180"/>
      <c r="F6" s="180"/>
    </row>
    <row r="7" spans="2:6" ht="21.75">
      <c r="B7" s="59" t="s">
        <v>107</v>
      </c>
      <c r="C7" s="181" t="s">
        <v>230</v>
      </c>
      <c r="D7" s="181"/>
      <c r="E7" s="181"/>
      <c r="F7" s="181"/>
    </row>
  </sheetData>
  <mergeCells count="3">
    <mergeCell ref="C5:F5"/>
    <mergeCell ref="C6:F6"/>
    <mergeCell ref="C7:F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1"/>
  <sheetViews>
    <sheetView showGridLines="0" workbookViewId="0" topLeftCell="A1">
      <pane xSplit="1" ySplit="1" topLeftCell="B65" activePane="bottomRight" state="frozen"/>
      <selection pane="topLeft" activeCell="A1" sqref="A1"/>
      <selection pane="topRight" activeCell="K1" sqref="K1"/>
      <selection pane="bottomLeft" activeCell="A2" sqref="A2"/>
      <selection pane="bottomRight" activeCell="I1" sqref="I1"/>
    </sheetView>
  </sheetViews>
  <sheetFormatPr defaultColWidth="9.140625" defaultRowHeight="21.75"/>
  <cols>
    <col min="1" max="1" width="47.421875" style="34" customWidth="1"/>
    <col min="2" max="2" width="7.57421875" style="35" bestFit="1" customWidth="1"/>
    <col min="3" max="3" width="9.140625" style="34" customWidth="1"/>
    <col min="4" max="4" width="8.57421875" style="36" bestFit="1" customWidth="1"/>
    <col min="5" max="7" width="9.140625" style="34" customWidth="1"/>
    <col min="8" max="8" width="8.57421875" style="36" bestFit="1" customWidth="1"/>
    <col min="9" max="16384" width="9.140625" style="34" customWidth="1"/>
  </cols>
  <sheetData>
    <row r="1" spans="1:12" s="33" customFormat="1" ht="42">
      <c r="A1" s="30"/>
      <c r="B1" s="31" t="s">
        <v>63</v>
      </c>
      <c r="C1" s="33" t="s">
        <v>54</v>
      </c>
      <c r="D1" s="33" t="s">
        <v>12</v>
      </c>
      <c r="E1" s="33" t="s">
        <v>34</v>
      </c>
      <c r="F1" s="33" t="s">
        <v>13</v>
      </c>
      <c r="G1" s="33" t="s">
        <v>27</v>
      </c>
      <c r="H1" s="32" t="s">
        <v>64</v>
      </c>
      <c r="I1" s="33" t="s">
        <v>94</v>
      </c>
      <c r="J1" s="33" t="s">
        <v>96</v>
      </c>
      <c r="K1" s="33" t="s">
        <v>170</v>
      </c>
      <c r="L1" s="33" t="s">
        <v>171</v>
      </c>
    </row>
    <row r="2" spans="1:12" ht="21.75">
      <c r="A2" s="37" t="s">
        <v>71</v>
      </c>
      <c r="B2" s="35">
        <v>4.06</v>
      </c>
      <c r="C2" s="34">
        <v>5.172</v>
      </c>
      <c r="D2" s="36">
        <v>80.7</v>
      </c>
      <c r="E2" s="34">
        <v>19</v>
      </c>
      <c r="F2" s="34">
        <v>16.1</v>
      </c>
      <c r="G2" s="34">
        <v>6.06</v>
      </c>
      <c r="H2" s="36">
        <v>0.48</v>
      </c>
      <c r="I2" s="34">
        <v>5</v>
      </c>
      <c r="J2" s="34">
        <v>0.23</v>
      </c>
      <c r="K2" s="34">
        <v>3.95</v>
      </c>
      <c r="L2" s="34">
        <v>1.92</v>
      </c>
    </row>
    <row r="3" spans="1:14" ht="21.75">
      <c r="A3" s="37" t="s">
        <v>70</v>
      </c>
      <c r="B3" s="35">
        <v>5.5</v>
      </c>
      <c r="C3" s="34">
        <v>7.007</v>
      </c>
      <c r="D3" s="36">
        <v>107</v>
      </c>
      <c r="E3" s="34">
        <v>24.5</v>
      </c>
      <c r="F3" s="34">
        <v>21.3</v>
      </c>
      <c r="G3" s="34">
        <v>7.81</v>
      </c>
      <c r="H3" s="36">
        <v>0.48</v>
      </c>
      <c r="I3" s="34">
        <v>5</v>
      </c>
      <c r="J3" s="34">
        <v>0.32</v>
      </c>
      <c r="K3" s="34">
        <v>3.9</v>
      </c>
      <c r="L3" s="34">
        <v>1.87</v>
      </c>
      <c r="M3" s="55" t="s">
        <v>54</v>
      </c>
      <c r="N3" s="34">
        <v>23</v>
      </c>
    </row>
    <row r="4" spans="1:14" ht="21.75">
      <c r="A4" s="37" t="s">
        <v>69</v>
      </c>
      <c r="B4" s="35">
        <v>6.71</v>
      </c>
      <c r="C4" s="34">
        <v>8.548</v>
      </c>
      <c r="D4" s="36">
        <v>127</v>
      </c>
      <c r="E4" s="34">
        <v>28.7</v>
      </c>
      <c r="F4" s="34">
        <v>25.4</v>
      </c>
      <c r="G4" s="34">
        <v>9.13</v>
      </c>
      <c r="H4" s="36">
        <v>0.48</v>
      </c>
      <c r="I4" s="34">
        <v>5</v>
      </c>
      <c r="J4" s="34">
        <v>0.4</v>
      </c>
      <c r="K4" s="34">
        <v>3.85</v>
      </c>
      <c r="L4" s="34">
        <v>1.83</v>
      </c>
      <c r="M4" s="55" t="s">
        <v>101</v>
      </c>
      <c r="N4" s="34">
        <v>25</v>
      </c>
    </row>
    <row r="5" spans="1:12" ht="21.75">
      <c r="A5" s="37" t="s">
        <v>68</v>
      </c>
      <c r="B5" s="35">
        <v>7.43</v>
      </c>
      <c r="C5" s="34">
        <v>9.463</v>
      </c>
      <c r="D5" s="36">
        <v>139</v>
      </c>
      <c r="E5" s="34">
        <v>30.9</v>
      </c>
      <c r="F5" s="34">
        <v>27.7</v>
      </c>
      <c r="G5" s="34">
        <v>9.82</v>
      </c>
      <c r="H5" s="36">
        <v>0.48</v>
      </c>
      <c r="I5" s="34">
        <v>5</v>
      </c>
      <c r="J5" s="34">
        <v>0.45</v>
      </c>
      <c r="K5" s="34">
        <v>3.82</v>
      </c>
      <c r="L5" s="34">
        <v>1.81</v>
      </c>
    </row>
    <row r="6" spans="1:12" ht="21.75">
      <c r="A6" s="37" t="s">
        <v>72</v>
      </c>
      <c r="B6" s="35">
        <v>5.5</v>
      </c>
      <c r="C6" s="34">
        <v>7.007</v>
      </c>
      <c r="D6" s="36">
        <v>144</v>
      </c>
      <c r="E6" s="34">
        <v>15.3</v>
      </c>
      <c r="F6" s="34">
        <v>24</v>
      </c>
      <c r="G6" s="34">
        <v>5.71</v>
      </c>
      <c r="H6" s="36">
        <v>0.48</v>
      </c>
      <c r="I6" s="34">
        <v>4</v>
      </c>
      <c r="J6" s="34">
        <v>0.32</v>
      </c>
      <c r="K6" s="34">
        <v>4.53</v>
      </c>
      <c r="L6" s="34">
        <v>1.48</v>
      </c>
    </row>
    <row r="7" spans="1:12" ht="21.75">
      <c r="A7" s="37" t="s">
        <v>73</v>
      </c>
      <c r="B7" s="35">
        <v>6.51</v>
      </c>
      <c r="C7" s="34">
        <v>8.287</v>
      </c>
      <c r="D7" s="36">
        <v>186</v>
      </c>
      <c r="E7" s="34">
        <v>40.9</v>
      </c>
      <c r="F7" s="34">
        <v>31</v>
      </c>
      <c r="G7" s="34">
        <v>10.5</v>
      </c>
      <c r="H7" s="36">
        <v>0.56</v>
      </c>
      <c r="I7" s="34">
        <v>6</v>
      </c>
      <c r="J7" s="34">
        <v>0.32</v>
      </c>
      <c r="K7" s="34">
        <v>4.74</v>
      </c>
      <c r="L7" s="34">
        <v>2.22</v>
      </c>
    </row>
    <row r="8" spans="1:12" ht="21.75">
      <c r="A8" s="37" t="s">
        <v>74</v>
      </c>
      <c r="B8" s="35">
        <v>9.2</v>
      </c>
      <c r="C8" s="34">
        <v>11.72</v>
      </c>
      <c r="D8" s="36">
        <v>252</v>
      </c>
      <c r="E8" s="34">
        <v>58</v>
      </c>
      <c r="F8" s="34">
        <v>41.9</v>
      </c>
      <c r="G8" s="34">
        <v>15.5</v>
      </c>
      <c r="H8" s="36">
        <v>0.58</v>
      </c>
      <c r="I8" s="34">
        <v>6</v>
      </c>
      <c r="J8" s="34">
        <v>0.45</v>
      </c>
      <c r="K8" s="34">
        <v>4.63</v>
      </c>
      <c r="L8" s="34">
        <v>2.22</v>
      </c>
    </row>
    <row r="9" spans="1:12" ht="21.75">
      <c r="A9" s="37" t="s">
        <v>77</v>
      </c>
      <c r="B9" s="35">
        <v>6.13</v>
      </c>
      <c r="C9" s="34">
        <v>7.807</v>
      </c>
      <c r="D9" s="36">
        <v>181</v>
      </c>
      <c r="E9" s="34">
        <v>26.6</v>
      </c>
      <c r="F9" s="34">
        <v>29</v>
      </c>
      <c r="G9" s="34">
        <v>8.02</v>
      </c>
      <c r="H9" s="36">
        <v>0.53</v>
      </c>
      <c r="I9" s="34">
        <v>6.25</v>
      </c>
      <c r="J9" s="34">
        <v>0.32</v>
      </c>
      <c r="K9" s="34">
        <v>4.82</v>
      </c>
      <c r="L9" s="34">
        <v>1.85</v>
      </c>
    </row>
    <row r="10" spans="1:12" ht="21.75">
      <c r="A10" s="37" t="s">
        <v>76</v>
      </c>
      <c r="B10" s="35">
        <v>7.5</v>
      </c>
      <c r="C10" s="34">
        <v>9.548</v>
      </c>
      <c r="D10" s="36">
        <v>217</v>
      </c>
      <c r="E10" s="34">
        <v>33.1</v>
      </c>
      <c r="F10" s="34">
        <v>34.7</v>
      </c>
      <c r="G10" s="34">
        <v>9.38</v>
      </c>
      <c r="H10" s="36">
        <v>0.53</v>
      </c>
      <c r="I10" s="34">
        <v>6.25</v>
      </c>
      <c r="J10" s="34">
        <v>0.4</v>
      </c>
      <c r="K10" s="34">
        <v>4.77</v>
      </c>
      <c r="L10" s="34">
        <v>1.81</v>
      </c>
    </row>
    <row r="11" spans="1:12" ht="21.75">
      <c r="A11" s="37" t="s">
        <v>75</v>
      </c>
      <c r="B11" s="35">
        <v>8.32</v>
      </c>
      <c r="C11" s="34">
        <v>10.59</v>
      </c>
      <c r="D11" s="36">
        <v>238</v>
      </c>
      <c r="E11" s="34">
        <v>33.5</v>
      </c>
      <c r="F11" s="34">
        <v>38</v>
      </c>
      <c r="G11" s="34">
        <v>10</v>
      </c>
      <c r="H11" s="36">
        <v>0.53</v>
      </c>
      <c r="I11" s="34">
        <v>6.25</v>
      </c>
      <c r="J11" s="34">
        <v>0.45</v>
      </c>
      <c r="K11" s="34">
        <v>4.74</v>
      </c>
      <c r="L11" s="34">
        <v>1.78</v>
      </c>
    </row>
    <row r="12" spans="1:12" ht="21.75">
      <c r="A12" s="37" t="s">
        <v>79</v>
      </c>
      <c r="B12" s="35">
        <v>6.76</v>
      </c>
      <c r="C12" s="34">
        <v>8.607</v>
      </c>
      <c r="D12" s="36">
        <v>280</v>
      </c>
      <c r="E12" s="34">
        <v>28.3</v>
      </c>
      <c r="F12" s="34">
        <v>37.4</v>
      </c>
      <c r="G12" s="34">
        <v>8.19</v>
      </c>
      <c r="H12" s="36">
        <v>0.58</v>
      </c>
      <c r="I12" s="34">
        <v>7.5</v>
      </c>
      <c r="J12" s="34">
        <v>0.32</v>
      </c>
      <c r="K12" s="34">
        <v>5.71</v>
      </c>
      <c r="L12" s="34">
        <v>1.81</v>
      </c>
    </row>
    <row r="13" spans="1:12" ht="21.75">
      <c r="A13" s="37" t="s">
        <v>78</v>
      </c>
      <c r="B13" s="35">
        <v>9.2</v>
      </c>
      <c r="C13" s="34">
        <v>11.72</v>
      </c>
      <c r="D13" s="36">
        <v>368</v>
      </c>
      <c r="E13" s="34">
        <v>35.7</v>
      </c>
      <c r="F13" s="34">
        <v>49</v>
      </c>
      <c r="G13" s="34">
        <v>10.5</v>
      </c>
      <c r="H13" s="36">
        <v>0.58</v>
      </c>
      <c r="I13" s="34">
        <v>7.5</v>
      </c>
      <c r="J13" s="34">
        <v>0.45</v>
      </c>
      <c r="K13" s="34">
        <v>5.6</v>
      </c>
      <c r="L13" s="34">
        <v>1.75</v>
      </c>
    </row>
    <row r="14" spans="1:12" ht="21.75">
      <c r="A14" s="37" t="s">
        <v>81</v>
      </c>
      <c r="B14" s="35">
        <v>7.51</v>
      </c>
      <c r="C14" s="34">
        <v>9.567</v>
      </c>
      <c r="D14" s="36">
        <v>332</v>
      </c>
      <c r="E14" s="34">
        <v>53.8</v>
      </c>
      <c r="F14" s="34">
        <v>44.3</v>
      </c>
      <c r="G14" s="34">
        <v>12.2</v>
      </c>
      <c r="H14" s="36">
        <v>0.64</v>
      </c>
      <c r="I14" s="34">
        <v>7.5</v>
      </c>
      <c r="J14" s="34">
        <v>0.32</v>
      </c>
      <c r="K14" s="34">
        <v>5.89</v>
      </c>
      <c r="L14" s="34">
        <v>2.37</v>
      </c>
    </row>
    <row r="15" spans="1:12" ht="21.75">
      <c r="A15" s="37" t="s">
        <v>80</v>
      </c>
      <c r="B15" s="35">
        <v>9.22</v>
      </c>
      <c r="C15" s="34">
        <v>11.75</v>
      </c>
      <c r="D15" s="36">
        <v>401</v>
      </c>
      <c r="E15" s="34">
        <v>63.7</v>
      </c>
      <c r="F15" s="34">
        <v>53.3</v>
      </c>
      <c r="G15" s="34">
        <v>14.5</v>
      </c>
      <c r="H15" s="36">
        <v>0.64</v>
      </c>
      <c r="I15" s="34">
        <v>7.5</v>
      </c>
      <c r="J15" s="34">
        <v>0.4</v>
      </c>
      <c r="K15" s="34">
        <v>5.84</v>
      </c>
      <c r="L15" s="34">
        <v>2.33</v>
      </c>
    </row>
    <row r="16" spans="1:12" ht="21.75">
      <c r="A16" s="37" t="s">
        <v>84</v>
      </c>
      <c r="B16" s="35">
        <v>8.27</v>
      </c>
      <c r="C16" s="34">
        <v>10.53</v>
      </c>
      <c r="D16" s="36">
        <v>375</v>
      </c>
      <c r="E16" s="34">
        <v>83.6</v>
      </c>
      <c r="F16" s="34">
        <v>50</v>
      </c>
      <c r="G16" s="34">
        <v>17.3</v>
      </c>
      <c r="H16" s="36">
        <v>0.7</v>
      </c>
      <c r="I16" s="34">
        <v>7.5</v>
      </c>
      <c r="J16" s="34">
        <v>0.32</v>
      </c>
      <c r="K16" s="34">
        <v>5.97</v>
      </c>
      <c r="L16" s="34">
        <v>2.82</v>
      </c>
    </row>
    <row r="17" spans="1:12" ht="21.75">
      <c r="A17" s="37" t="s">
        <v>83</v>
      </c>
      <c r="B17" s="35">
        <v>10.2</v>
      </c>
      <c r="C17" s="34">
        <v>12.95</v>
      </c>
      <c r="D17" s="36">
        <v>455</v>
      </c>
      <c r="E17" s="34">
        <v>99.8</v>
      </c>
      <c r="F17" s="34">
        <v>60.6</v>
      </c>
      <c r="G17" s="34">
        <v>20.6</v>
      </c>
      <c r="H17" s="36">
        <v>0.7</v>
      </c>
      <c r="I17" s="34">
        <v>7.5</v>
      </c>
      <c r="J17" s="34">
        <v>0.4</v>
      </c>
      <c r="K17" s="34">
        <v>5.93</v>
      </c>
      <c r="L17" s="34">
        <v>2.78</v>
      </c>
    </row>
    <row r="18" spans="1:12" ht="21.75">
      <c r="A18" s="40" t="s">
        <v>82</v>
      </c>
      <c r="B18" s="35">
        <v>11.3</v>
      </c>
      <c r="C18" s="34">
        <v>14.42</v>
      </c>
      <c r="D18" s="36">
        <v>501</v>
      </c>
      <c r="E18" s="34">
        <v>109</v>
      </c>
      <c r="F18" s="34">
        <v>66.9</v>
      </c>
      <c r="G18" s="34">
        <v>22.5</v>
      </c>
      <c r="H18" s="36">
        <v>0.68</v>
      </c>
      <c r="I18" s="34">
        <v>7.5</v>
      </c>
      <c r="J18" s="34">
        <v>0.45</v>
      </c>
      <c r="K18" s="34">
        <v>5.9</v>
      </c>
      <c r="L18" s="34">
        <v>2.75</v>
      </c>
    </row>
    <row r="19" spans="1:12" ht="21.75">
      <c r="A19" s="37" t="s">
        <v>87</v>
      </c>
      <c r="B19" s="35">
        <v>9.27</v>
      </c>
      <c r="C19" s="34">
        <v>11.81</v>
      </c>
      <c r="D19" s="36">
        <v>716</v>
      </c>
      <c r="E19" s="34">
        <v>84.1</v>
      </c>
      <c r="F19" s="34">
        <v>71.6</v>
      </c>
      <c r="G19" s="34">
        <v>15.8</v>
      </c>
      <c r="H19" s="36">
        <v>0.78</v>
      </c>
      <c r="I19" s="34">
        <v>10</v>
      </c>
      <c r="J19" s="34">
        <v>0.32</v>
      </c>
      <c r="K19" s="34">
        <v>7.79</v>
      </c>
      <c r="L19" s="34">
        <v>2.67</v>
      </c>
    </row>
    <row r="20" spans="1:12" ht="21.75">
      <c r="A20" s="37" t="s">
        <v>86</v>
      </c>
      <c r="B20" s="35">
        <v>11.4</v>
      </c>
      <c r="C20" s="34">
        <v>14.55</v>
      </c>
      <c r="D20" s="36">
        <v>871</v>
      </c>
      <c r="E20" s="34">
        <v>100</v>
      </c>
      <c r="F20" s="34">
        <v>87.1</v>
      </c>
      <c r="G20" s="34">
        <v>18.9</v>
      </c>
      <c r="H20" s="36">
        <v>0.78</v>
      </c>
      <c r="I20" s="34">
        <v>10</v>
      </c>
      <c r="J20" s="34">
        <v>0.4</v>
      </c>
      <c r="K20" s="34">
        <v>7.74</v>
      </c>
      <c r="L20" s="34">
        <v>2.62</v>
      </c>
    </row>
    <row r="21" spans="1:12" ht="21.75">
      <c r="A21" s="37" t="s">
        <v>85</v>
      </c>
      <c r="B21" s="35">
        <v>12.7</v>
      </c>
      <c r="C21" s="34">
        <v>16.22</v>
      </c>
      <c r="D21" s="36">
        <v>963</v>
      </c>
      <c r="E21" s="34">
        <v>109</v>
      </c>
      <c r="F21" s="34">
        <v>96.3</v>
      </c>
      <c r="G21" s="34">
        <v>20.6</v>
      </c>
      <c r="H21" s="36">
        <v>0.78</v>
      </c>
      <c r="I21" s="34">
        <v>10</v>
      </c>
      <c r="J21" s="34">
        <v>0.45</v>
      </c>
      <c r="K21" s="34">
        <v>7.71</v>
      </c>
      <c r="L21" s="34">
        <v>2.6</v>
      </c>
    </row>
    <row r="22" spans="1:12" ht="21.75">
      <c r="A22" s="37" t="s">
        <v>90</v>
      </c>
      <c r="B22" s="35">
        <v>9.52</v>
      </c>
      <c r="C22" s="34">
        <v>12.13</v>
      </c>
      <c r="D22" s="36">
        <v>736</v>
      </c>
      <c r="E22" s="34">
        <v>92.3</v>
      </c>
      <c r="F22" s="34">
        <v>73.6</v>
      </c>
      <c r="G22" s="34">
        <v>17.8</v>
      </c>
      <c r="H22" s="36">
        <v>0.8</v>
      </c>
      <c r="I22" s="34">
        <v>10</v>
      </c>
      <c r="J22" s="34">
        <v>0.32</v>
      </c>
      <c r="K22" s="34">
        <v>7.7</v>
      </c>
      <c r="L22" s="34">
        <v>2.76</v>
      </c>
    </row>
    <row r="23" spans="1:12" ht="21.75">
      <c r="A23" s="37" t="s">
        <v>89</v>
      </c>
      <c r="B23" s="35">
        <v>11.7</v>
      </c>
      <c r="C23" s="34">
        <v>14.95</v>
      </c>
      <c r="D23" s="36">
        <v>895</v>
      </c>
      <c r="E23" s="34">
        <v>110</v>
      </c>
      <c r="F23" s="34">
        <v>89.5</v>
      </c>
      <c r="G23" s="34">
        <v>21.3</v>
      </c>
      <c r="H23" s="36">
        <v>0.8</v>
      </c>
      <c r="I23" s="34">
        <v>10</v>
      </c>
      <c r="J23" s="34">
        <v>0.4</v>
      </c>
      <c r="K23" s="34">
        <v>7.74</v>
      </c>
      <c r="L23" s="34">
        <v>2.72</v>
      </c>
    </row>
    <row r="24" spans="1:12" ht="21.75">
      <c r="A24" s="37" t="s">
        <v>88</v>
      </c>
      <c r="B24" s="35">
        <v>13.1</v>
      </c>
      <c r="C24" s="34">
        <v>16.67</v>
      </c>
      <c r="D24" s="36">
        <v>990</v>
      </c>
      <c r="E24" s="34">
        <v>121</v>
      </c>
      <c r="F24" s="34">
        <v>99</v>
      </c>
      <c r="G24" s="34">
        <v>23.3</v>
      </c>
      <c r="H24" s="36">
        <v>0.8</v>
      </c>
      <c r="I24" s="34">
        <v>10</v>
      </c>
      <c r="J24" s="34">
        <v>0.45</v>
      </c>
      <c r="K24" s="34">
        <v>7.61</v>
      </c>
      <c r="L24" s="34">
        <v>2.69</v>
      </c>
    </row>
    <row r="25" spans="1:12" ht="21.75">
      <c r="A25" s="37" t="s">
        <v>91</v>
      </c>
      <c r="B25" s="35">
        <v>14.9</v>
      </c>
      <c r="C25" s="34">
        <v>18.92</v>
      </c>
      <c r="D25" s="36">
        <v>1690</v>
      </c>
      <c r="E25" s="34">
        <v>129</v>
      </c>
      <c r="F25" s="34">
        <v>135</v>
      </c>
      <c r="G25" s="34">
        <v>23.8</v>
      </c>
      <c r="H25" s="36">
        <v>0.9</v>
      </c>
      <c r="I25" s="34">
        <v>10</v>
      </c>
      <c r="J25" s="34">
        <v>0.45</v>
      </c>
      <c r="K25" s="34">
        <v>9.44</v>
      </c>
      <c r="L25" s="34">
        <v>2.62</v>
      </c>
    </row>
    <row r="26" spans="1:12" ht="21.75">
      <c r="A26" s="37" t="s">
        <v>65</v>
      </c>
      <c r="B26" s="35">
        <v>2.25</v>
      </c>
      <c r="C26" s="34">
        <v>2.872</v>
      </c>
      <c r="D26" s="36">
        <v>15.6</v>
      </c>
      <c r="E26" s="34">
        <v>3.32</v>
      </c>
      <c r="F26" s="34">
        <v>5.2</v>
      </c>
      <c r="G26" s="34">
        <v>1.71</v>
      </c>
      <c r="H26" s="36">
        <v>0.28</v>
      </c>
      <c r="I26" s="34">
        <v>3</v>
      </c>
      <c r="J26" s="34">
        <v>0.23</v>
      </c>
      <c r="K26" s="34">
        <v>2.33</v>
      </c>
      <c r="L26" s="34">
        <v>1.07</v>
      </c>
    </row>
    <row r="27" spans="1:12" ht="21.75">
      <c r="A27" s="40" t="s">
        <v>141</v>
      </c>
      <c r="B27" s="35">
        <v>1.99</v>
      </c>
      <c r="C27" s="34">
        <v>2.537</v>
      </c>
      <c r="D27" s="36">
        <v>14</v>
      </c>
      <c r="E27" s="34">
        <v>3.01</v>
      </c>
      <c r="F27" s="34">
        <v>4.65</v>
      </c>
      <c r="G27" s="34">
        <v>1.55</v>
      </c>
      <c r="I27" s="34">
        <v>3</v>
      </c>
      <c r="J27" s="34">
        <v>0.2</v>
      </c>
      <c r="K27" s="34">
        <v>4.65</v>
      </c>
      <c r="L27" s="34">
        <v>1.55</v>
      </c>
    </row>
    <row r="28" spans="1:12" ht="21.75">
      <c r="A28" s="37" t="s">
        <v>66</v>
      </c>
      <c r="B28" s="35">
        <v>2.89</v>
      </c>
      <c r="C28" s="34">
        <v>3.677</v>
      </c>
      <c r="D28" s="36">
        <v>31</v>
      </c>
      <c r="E28" s="34">
        <v>6.58</v>
      </c>
      <c r="F28" s="34">
        <v>8.28</v>
      </c>
      <c r="G28" s="34">
        <v>2.98</v>
      </c>
      <c r="H28" s="36">
        <v>0.35</v>
      </c>
      <c r="I28" s="34">
        <v>3.75</v>
      </c>
      <c r="J28" s="34">
        <v>0.23</v>
      </c>
      <c r="K28" s="34">
        <v>8.28</v>
      </c>
      <c r="L28" s="34">
        <v>2.98</v>
      </c>
    </row>
    <row r="29" spans="1:12" ht="21.75">
      <c r="A29" s="37" t="s">
        <v>67</v>
      </c>
      <c r="B29" s="35">
        <v>3.25</v>
      </c>
      <c r="C29" s="34">
        <v>4.137</v>
      </c>
      <c r="D29" s="36">
        <v>37.1</v>
      </c>
      <c r="E29" s="34">
        <v>11.8</v>
      </c>
      <c r="F29" s="34">
        <v>9.9</v>
      </c>
      <c r="G29" s="34">
        <v>4.24</v>
      </c>
      <c r="H29" s="36">
        <v>0.39</v>
      </c>
      <c r="I29" s="34">
        <v>3.75</v>
      </c>
      <c r="J29" s="34">
        <v>0.23</v>
      </c>
      <c r="K29" s="34">
        <v>9.9</v>
      </c>
      <c r="L29" s="34">
        <v>4.24</v>
      </c>
    </row>
    <row r="30" spans="1:12" ht="21.75">
      <c r="A30" s="40" t="s">
        <v>93</v>
      </c>
      <c r="B30" s="35">
        <v>3.7</v>
      </c>
      <c r="C30" s="34">
        <v>4.712</v>
      </c>
      <c r="D30" s="36">
        <v>58.6</v>
      </c>
      <c r="E30" s="34">
        <v>14.2</v>
      </c>
      <c r="F30" s="34">
        <v>13</v>
      </c>
      <c r="G30" s="34">
        <v>5.14</v>
      </c>
      <c r="H30" s="36">
        <v>0.452</v>
      </c>
      <c r="I30" s="34">
        <v>4.5</v>
      </c>
      <c r="J30" s="34">
        <v>0.23</v>
      </c>
      <c r="K30" s="34">
        <v>13</v>
      </c>
      <c r="L30" s="34">
        <v>5.41</v>
      </c>
    </row>
    <row r="31" spans="1:12" ht="21.75">
      <c r="A31" s="40" t="s">
        <v>92</v>
      </c>
      <c r="B31" s="35">
        <v>5</v>
      </c>
      <c r="C31" s="34">
        <v>6.367</v>
      </c>
      <c r="D31" s="36">
        <v>76.9</v>
      </c>
      <c r="E31" s="34">
        <v>18.3</v>
      </c>
      <c r="F31" s="34">
        <v>17.1</v>
      </c>
      <c r="G31" s="34">
        <v>6.57</v>
      </c>
      <c r="H31" s="36">
        <v>0.452</v>
      </c>
      <c r="I31" s="34">
        <v>4.5</v>
      </c>
      <c r="J31" s="34">
        <v>0.32</v>
      </c>
      <c r="K31" s="34">
        <v>17.1</v>
      </c>
      <c r="L31" s="34">
        <v>6.57</v>
      </c>
    </row>
    <row r="32" spans="1:12" ht="21.75">
      <c r="A32" s="159" t="s">
        <v>192</v>
      </c>
      <c r="B32" s="160">
        <v>14.9</v>
      </c>
      <c r="C32" s="160">
        <v>18.92</v>
      </c>
      <c r="D32" s="160">
        <v>1690</v>
      </c>
      <c r="E32" s="160">
        <v>129</v>
      </c>
      <c r="F32" s="160">
        <v>135</v>
      </c>
      <c r="G32" s="160">
        <v>23.8</v>
      </c>
      <c r="I32" s="34">
        <v>7.5</v>
      </c>
      <c r="J32" s="160">
        <v>4.5</v>
      </c>
      <c r="K32" s="160">
        <v>9.44</v>
      </c>
      <c r="L32" s="160">
        <v>2.62</v>
      </c>
    </row>
    <row r="33" spans="1:12" ht="21.75">
      <c r="A33" s="159" t="s">
        <v>193</v>
      </c>
      <c r="B33" s="160">
        <v>13.1</v>
      </c>
      <c r="C33" s="160">
        <v>16.67</v>
      </c>
      <c r="D33" s="160">
        <v>892</v>
      </c>
      <c r="E33" s="160">
        <v>110</v>
      </c>
      <c r="F33" s="160">
        <v>99</v>
      </c>
      <c r="G33" s="160">
        <v>23.3</v>
      </c>
      <c r="I33" s="34">
        <v>7.5</v>
      </c>
      <c r="J33" s="160">
        <v>4.5</v>
      </c>
      <c r="K33" s="160">
        <v>7.61</v>
      </c>
      <c r="L33" s="160">
        <v>2.69</v>
      </c>
    </row>
    <row r="34" spans="1:12" ht="21.75">
      <c r="A34" s="159" t="s">
        <v>194</v>
      </c>
      <c r="B34" s="160">
        <v>11.7</v>
      </c>
      <c r="C34" s="160">
        <v>14.95</v>
      </c>
      <c r="D34" s="160">
        <v>8.95</v>
      </c>
      <c r="E34" s="160">
        <v>110</v>
      </c>
      <c r="F34" s="160">
        <v>89.5</v>
      </c>
      <c r="G34" s="160">
        <v>21.3</v>
      </c>
      <c r="I34" s="34">
        <v>7.5</v>
      </c>
      <c r="J34" s="160">
        <v>4</v>
      </c>
      <c r="K34" s="160">
        <v>7.74</v>
      </c>
      <c r="L34" s="160">
        <v>2.72</v>
      </c>
    </row>
    <row r="35" spans="1:12" ht="21.75">
      <c r="A35" s="159" t="s">
        <v>195</v>
      </c>
      <c r="B35" s="160">
        <v>9.52</v>
      </c>
      <c r="C35" s="160">
        <v>12.13</v>
      </c>
      <c r="D35" s="160">
        <v>736</v>
      </c>
      <c r="E35" s="160">
        <v>92.3</v>
      </c>
      <c r="F35" s="160">
        <v>73.6</v>
      </c>
      <c r="G35" s="160">
        <v>17.8</v>
      </c>
      <c r="I35" s="34">
        <v>7.5</v>
      </c>
      <c r="J35" s="160">
        <v>3.2</v>
      </c>
      <c r="K35" s="160">
        <v>7.7</v>
      </c>
      <c r="L35" s="160">
        <v>2.76</v>
      </c>
    </row>
    <row r="36" spans="1:12" ht="21.75">
      <c r="A36" s="159" t="s">
        <v>193</v>
      </c>
      <c r="B36" s="160">
        <v>12.7</v>
      </c>
      <c r="C36" s="160">
        <v>16.22</v>
      </c>
      <c r="D36" s="160">
        <v>963</v>
      </c>
      <c r="E36" s="160">
        <v>109</v>
      </c>
      <c r="F36" s="160">
        <v>96.3</v>
      </c>
      <c r="G36" s="160">
        <v>20.6</v>
      </c>
      <c r="I36" s="34">
        <v>7.5</v>
      </c>
      <c r="J36" s="160">
        <v>4.5</v>
      </c>
      <c r="K36" s="160">
        <v>7.71</v>
      </c>
      <c r="L36" s="160">
        <v>2.6</v>
      </c>
    </row>
    <row r="37" spans="1:12" ht="21.75">
      <c r="A37" s="159" t="s">
        <v>194</v>
      </c>
      <c r="B37" s="160">
        <v>11.4</v>
      </c>
      <c r="C37" s="160">
        <v>14.55</v>
      </c>
      <c r="D37" s="160">
        <v>871</v>
      </c>
      <c r="E37" s="160">
        <v>100</v>
      </c>
      <c r="F37" s="160">
        <v>87.1</v>
      </c>
      <c r="G37" s="160">
        <v>18.9</v>
      </c>
      <c r="I37" s="34">
        <v>7.5</v>
      </c>
      <c r="J37" s="160">
        <v>4</v>
      </c>
      <c r="K37" s="160">
        <v>7.74</v>
      </c>
      <c r="L37" s="160">
        <v>2.62</v>
      </c>
    </row>
    <row r="38" spans="1:12" ht="21.75">
      <c r="A38" s="159" t="s">
        <v>195</v>
      </c>
      <c r="B38" s="160">
        <v>9.27</v>
      </c>
      <c r="C38" s="160">
        <v>11.81</v>
      </c>
      <c r="D38" s="160">
        <v>716</v>
      </c>
      <c r="E38" s="160">
        <v>84.1</v>
      </c>
      <c r="F38" s="160">
        <v>71.6</v>
      </c>
      <c r="G38" s="160">
        <v>15.8</v>
      </c>
      <c r="I38" s="34">
        <v>7.5</v>
      </c>
      <c r="J38" s="160">
        <v>3.2</v>
      </c>
      <c r="K38" s="160">
        <v>7.79</v>
      </c>
      <c r="L38" s="160">
        <v>2.67</v>
      </c>
    </row>
    <row r="39" spans="1:12" ht="21.75">
      <c r="A39" s="159" t="s">
        <v>196</v>
      </c>
      <c r="B39" s="160">
        <v>11.3</v>
      </c>
      <c r="C39" s="160">
        <v>14.42</v>
      </c>
      <c r="D39" s="160">
        <v>501</v>
      </c>
      <c r="E39" s="160">
        <v>109</v>
      </c>
      <c r="F39" s="160">
        <v>66.9</v>
      </c>
      <c r="G39" s="160">
        <v>22.5</v>
      </c>
      <c r="I39" s="34">
        <v>7.5</v>
      </c>
      <c r="J39" s="160">
        <v>4.5</v>
      </c>
      <c r="K39" s="160">
        <v>5.9</v>
      </c>
      <c r="L39" s="160">
        <v>2.75</v>
      </c>
    </row>
    <row r="40" spans="1:12" ht="21.75">
      <c r="A40" s="159" t="s">
        <v>197</v>
      </c>
      <c r="B40" s="160">
        <v>10.2</v>
      </c>
      <c r="C40" s="160">
        <v>12.95</v>
      </c>
      <c r="D40" s="160">
        <v>455</v>
      </c>
      <c r="E40" s="160">
        <v>99.8</v>
      </c>
      <c r="F40" s="160">
        <v>60.6</v>
      </c>
      <c r="G40" s="160">
        <v>20.6</v>
      </c>
      <c r="I40" s="34">
        <v>7.5</v>
      </c>
      <c r="J40" s="159">
        <v>4</v>
      </c>
      <c r="K40" s="160">
        <v>5.93</v>
      </c>
      <c r="L40" s="160">
        <v>2.78</v>
      </c>
    </row>
    <row r="41" spans="1:12" ht="21.75">
      <c r="A41" s="159" t="s">
        <v>198</v>
      </c>
      <c r="B41" s="160">
        <v>8.27</v>
      </c>
      <c r="C41" s="160">
        <v>10.53</v>
      </c>
      <c r="D41" s="160">
        <v>375</v>
      </c>
      <c r="E41" s="160">
        <v>83.6</v>
      </c>
      <c r="F41" s="160">
        <v>50</v>
      </c>
      <c r="G41" s="160">
        <v>17.3</v>
      </c>
      <c r="I41" s="34">
        <v>7.5</v>
      </c>
      <c r="J41" s="160">
        <v>3.2</v>
      </c>
      <c r="K41" s="160">
        <v>5.97</v>
      </c>
      <c r="L41" s="160">
        <v>2.82</v>
      </c>
    </row>
    <row r="42" spans="1:12" ht="21.75">
      <c r="A42" s="159" t="s">
        <v>199</v>
      </c>
      <c r="B42" s="160">
        <v>9.22</v>
      </c>
      <c r="C42" s="160">
        <v>11.75</v>
      </c>
      <c r="D42" s="160">
        <v>401</v>
      </c>
      <c r="E42" s="160">
        <v>63.7</v>
      </c>
      <c r="F42" s="160">
        <v>53.3</v>
      </c>
      <c r="G42" s="160">
        <v>14.5</v>
      </c>
      <c r="I42" s="34">
        <v>6.5</v>
      </c>
      <c r="J42" s="160">
        <v>4</v>
      </c>
      <c r="K42" s="160">
        <v>5.48</v>
      </c>
      <c r="L42" s="160">
        <v>2.33</v>
      </c>
    </row>
    <row r="43" spans="1:12" ht="21.75">
      <c r="A43" s="159" t="s">
        <v>200</v>
      </c>
      <c r="B43" s="160">
        <v>7.51</v>
      </c>
      <c r="C43" s="160">
        <v>9.567</v>
      </c>
      <c r="D43" s="160">
        <v>332</v>
      </c>
      <c r="E43" s="160">
        <v>53.8</v>
      </c>
      <c r="F43" s="160">
        <v>44.3</v>
      </c>
      <c r="G43" s="160">
        <v>12.2</v>
      </c>
      <c r="I43" s="34">
        <v>6.5</v>
      </c>
      <c r="J43" s="160">
        <v>3.2</v>
      </c>
      <c r="K43" s="160">
        <v>5.89</v>
      </c>
      <c r="L43" s="160">
        <v>2.37</v>
      </c>
    </row>
    <row r="44" spans="1:12" ht="21.75">
      <c r="A44" s="159" t="s">
        <v>201</v>
      </c>
      <c r="B44" s="160">
        <v>5.5</v>
      </c>
      <c r="C44" s="160">
        <v>7.012</v>
      </c>
      <c r="D44" s="160">
        <v>248</v>
      </c>
      <c r="E44" s="160">
        <v>41.1</v>
      </c>
      <c r="F44" s="160">
        <v>33</v>
      </c>
      <c r="G44" s="160">
        <v>9.37</v>
      </c>
      <c r="I44" s="34">
        <v>5</v>
      </c>
      <c r="J44" s="160">
        <v>2.3</v>
      </c>
      <c r="K44" s="160">
        <v>5.94</v>
      </c>
      <c r="L44" s="160">
        <v>2.42</v>
      </c>
    </row>
    <row r="45" spans="1:12" ht="21.75">
      <c r="A45" s="159" t="s">
        <v>202</v>
      </c>
      <c r="B45" s="160">
        <v>9.2</v>
      </c>
      <c r="C45" s="160">
        <v>11.72</v>
      </c>
      <c r="D45" s="160">
        <v>368</v>
      </c>
      <c r="E45" s="160">
        <v>35.7</v>
      </c>
      <c r="F45" s="160">
        <v>49</v>
      </c>
      <c r="G45" s="160">
        <v>10.5</v>
      </c>
      <c r="I45" s="34">
        <v>5</v>
      </c>
      <c r="J45" s="160">
        <v>4.5</v>
      </c>
      <c r="K45" s="160">
        <v>5.6</v>
      </c>
      <c r="L45" s="160">
        <v>1.75</v>
      </c>
    </row>
    <row r="46" spans="1:12" ht="21.75">
      <c r="A46" s="159" t="s">
        <v>203</v>
      </c>
      <c r="B46" s="160">
        <v>6.76</v>
      </c>
      <c r="C46" s="160">
        <v>8.607</v>
      </c>
      <c r="D46" s="160">
        <v>280</v>
      </c>
      <c r="E46" s="160">
        <v>28.3</v>
      </c>
      <c r="F46" s="160">
        <v>37.4</v>
      </c>
      <c r="G46" s="160">
        <v>8.19</v>
      </c>
      <c r="I46" s="34">
        <v>5</v>
      </c>
      <c r="J46" s="160">
        <v>3.2</v>
      </c>
      <c r="K46" s="160">
        <v>5.71</v>
      </c>
      <c r="L46" s="160">
        <v>1.81</v>
      </c>
    </row>
    <row r="47" spans="1:12" ht="21.75">
      <c r="A47" s="159" t="s">
        <v>204</v>
      </c>
      <c r="B47" s="160">
        <v>4.96</v>
      </c>
      <c r="C47" s="160">
        <v>6.322</v>
      </c>
      <c r="D47" s="160">
        <v>210</v>
      </c>
      <c r="E47" s="160">
        <v>21.9</v>
      </c>
      <c r="F47" s="160">
        <v>28</v>
      </c>
      <c r="G47" s="160">
        <v>6.33</v>
      </c>
      <c r="I47" s="34">
        <v>5</v>
      </c>
      <c r="J47" s="160">
        <v>2.3</v>
      </c>
      <c r="K47" s="160">
        <v>5.77</v>
      </c>
      <c r="L47" s="160">
        <v>1.86</v>
      </c>
    </row>
    <row r="48" spans="1:12" ht="21.75">
      <c r="A48" s="159" t="s">
        <v>205</v>
      </c>
      <c r="B48" s="160">
        <v>8.32</v>
      </c>
      <c r="C48" s="160">
        <v>10.59</v>
      </c>
      <c r="D48" s="160">
        <v>238</v>
      </c>
      <c r="E48" s="160">
        <v>33.5</v>
      </c>
      <c r="F48" s="160">
        <v>38</v>
      </c>
      <c r="G48" s="160">
        <v>10</v>
      </c>
      <c r="I48" s="34">
        <v>5</v>
      </c>
      <c r="J48" s="160">
        <v>4.5</v>
      </c>
      <c r="K48" s="160">
        <v>4.74</v>
      </c>
      <c r="L48" s="160">
        <v>1.78</v>
      </c>
    </row>
    <row r="49" spans="1:12" ht="21.75">
      <c r="A49" s="159" t="s">
        <v>206</v>
      </c>
      <c r="B49" s="160">
        <v>7.5</v>
      </c>
      <c r="C49" s="160">
        <v>9.548</v>
      </c>
      <c r="D49" s="160">
        <v>217</v>
      </c>
      <c r="E49" s="160">
        <v>33.1</v>
      </c>
      <c r="F49" s="160">
        <v>34.7</v>
      </c>
      <c r="G49" s="160">
        <v>9.38</v>
      </c>
      <c r="I49" s="34">
        <v>5</v>
      </c>
      <c r="J49" s="160">
        <v>4</v>
      </c>
      <c r="K49" s="160">
        <v>4.77</v>
      </c>
      <c r="L49" s="160">
        <v>1.811</v>
      </c>
    </row>
    <row r="50" spans="1:12" ht="21.75">
      <c r="A50" s="159" t="s">
        <v>207</v>
      </c>
      <c r="B50" s="160">
        <v>6.13</v>
      </c>
      <c r="C50" s="160">
        <v>7.807</v>
      </c>
      <c r="D50" s="160">
        <v>181</v>
      </c>
      <c r="E50" s="160">
        <v>26.6</v>
      </c>
      <c r="F50" s="160">
        <v>29</v>
      </c>
      <c r="G50" s="160">
        <v>8.02</v>
      </c>
      <c r="I50" s="34">
        <v>5</v>
      </c>
      <c r="J50" s="160">
        <v>3.2</v>
      </c>
      <c r="K50" s="160">
        <v>4.82</v>
      </c>
      <c r="L50" s="160">
        <v>1.85</v>
      </c>
    </row>
    <row r="51" spans="1:12" ht="21.75">
      <c r="A51" s="159" t="s">
        <v>208</v>
      </c>
      <c r="B51" s="160">
        <v>4.51</v>
      </c>
      <c r="C51" s="160">
        <v>5.747</v>
      </c>
      <c r="D51" s="160">
        <v>137</v>
      </c>
      <c r="E51" s="160">
        <v>20.6</v>
      </c>
      <c r="F51" s="160">
        <v>21.9</v>
      </c>
      <c r="G51" s="160">
        <v>6.22</v>
      </c>
      <c r="I51" s="34">
        <v>5</v>
      </c>
      <c r="J51" s="160">
        <v>2.3</v>
      </c>
      <c r="K51" s="160">
        <v>4.88</v>
      </c>
      <c r="L51" s="160">
        <v>1.89</v>
      </c>
    </row>
    <row r="52" spans="1:12" ht="21.75">
      <c r="A52" s="159" t="s">
        <v>209</v>
      </c>
      <c r="B52" s="160">
        <v>9.2</v>
      </c>
      <c r="C52" s="160">
        <v>11.72</v>
      </c>
      <c r="D52" s="160">
        <v>252</v>
      </c>
      <c r="E52" s="160">
        <v>58</v>
      </c>
      <c r="F52" s="160">
        <v>41.9</v>
      </c>
      <c r="G52" s="160">
        <v>15.5</v>
      </c>
      <c r="I52" s="34">
        <v>6</v>
      </c>
      <c r="J52" s="160">
        <v>4.5</v>
      </c>
      <c r="K52" s="160">
        <v>4.63</v>
      </c>
      <c r="L52" s="160">
        <v>2.22</v>
      </c>
    </row>
    <row r="53" spans="1:12" ht="21.75">
      <c r="A53" s="159" t="s">
        <v>210</v>
      </c>
      <c r="B53" s="160">
        <v>6.51</v>
      </c>
      <c r="C53" s="160">
        <v>8.287</v>
      </c>
      <c r="D53" s="160">
        <v>186</v>
      </c>
      <c r="E53" s="160">
        <v>40.9</v>
      </c>
      <c r="F53" s="160">
        <v>31</v>
      </c>
      <c r="G53" s="160">
        <v>10.5</v>
      </c>
      <c r="I53" s="34">
        <v>6</v>
      </c>
      <c r="J53" s="160">
        <v>3.2</v>
      </c>
      <c r="K53" s="160">
        <v>4.74</v>
      </c>
      <c r="L53" s="160">
        <v>2.22</v>
      </c>
    </row>
    <row r="54" spans="1:12" ht="21.75">
      <c r="A54" s="159" t="s">
        <v>211</v>
      </c>
      <c r="B54" s="160">
        <v>4.78</v>
      </c>
      <c r="C54" s="160">
        <v>6.092</v>
      </c>
      <c r="D54" s="160">
        <v>140</v>
      </c>
      <c r="E54" s="160">
        <v>31.3</v>
      </c>
      <c r="F54" s="160">
        <v>23.3</v>
      </c>
      <c r="G54" s="160">
        <v>8.1</v>
      </c>
      <c r="I54" s="34">
        <v>6</v>
      </c>
      <c r="J54" s="160">
        <v>2.3</v>
      </c>
      <c r="K54" s="160">
        <v>4.79</v>
      </c>
      <c r="L54" s="160">
        <v>2.27</v>
      </c>
    </row>
    <row r="55" spans="1:12" ht="21.75">
      <c r="A55" s="159" t="s">
        <v>212</v>
      </c>
      <c r="B55" s="160">
        <v>5.5</v>
      </c>
      <c r="C55" s="160">
        <v>7.007</v>
      </c>
      <c r="D55" s="160">
        <v>144</v>
      </c>
      <c r="E55" s="160">
        <v>15.3</v>
      </c>
      <c r="F55" s="160">
        <v>24</v>
      </c>
      <c r="G55" s="160">
        <v>5.71</v>
      </c>
      <c r="I55" s="34">
        <v>4</v>
      </c>
      <c r="J55" s="160">
        <v>3.2</v>
      </c>
      <c r="K55" s="160">
        <v>4.53</v>
      </c>
      <c r="L55" s="160">
        <v>1.48</v>
      </c>
    </row>
    <row r="56" spans="1:12" ht="21.75">
      <c r="A56" s="159" t="s">
        <v>213</v>
      </c>
      <c r="B56" s="160">
        <v>7.43</v>
      </c>
      <c r="C56" s="160">
        <v>9.469</v>
      </c>
      <c r="D56" s="160">
        <v>139</v>
      </c>
      <c r="E56" s="160">
        <v>30.9</v>
      </c>
      <c r="F56" s="160">
        <v>27.7</v>
      </c>
      <c r="G56" s="160">
        <v>9.82</v>
      </c>
      <c r="I56" s="34">
        <v>5</v>
      </c>
      <c r="J56" s="160">
        <v>4.5</v>
      </c>
      <c r="K56" s="160">
        <v>3.82</v>
      </c>
      <c r="L56" s="160">
        <v>1.81</v>
      </c>
    </row>
    <row r="57" spans="1:12" ht="21.75">
      <c r="A57" s="159" t="s">
        <v>214</v>
      </c>
      <c r="B57" s="160">
        <v>6.71</v>
      </c>
      <c r="C57" s="160">
        <v>8.548</v>
      </c>
      <c r="D57" s="160">
        <v>127</v>
      </c>
      <c r="E57" s="160">
        <v>28.7</v>
      </c>
      <c r="F57" s="160">
        <v>25.4</v>
      </c>
      <c r="G57" s="160">
        <v>9.13</v>
      </c>
      <c r="I57" s="34">
        <v>5</v>
      </c>
      <c r="J57" s="160">
        <v>4</v>
      </c>
      <c r="K57" s="160">
        <v>3.85</v>
      </c>
      <c r="L57" s="160">
        <v>1.83</v>
      </c>
    </row>
    <row r="58" spans="1:12" ht="21.75">
      <c r="A58" s="159" t="s">
        <v>215</v>
      </c>
      <c r="B58" s="160">
        <v>5.5</v>
      </c>
      <c r="C58" s="160">
        <v>7.007</v>
      </c>
      <c r="D58" s="160">
        <v>107</v>
      </c>
      <c r="E58" s="160">
        <v>24.5</v>
      </c>
      <c r="F58" s="160">
        <v>21.3</v>
      </c>
      <c r="G58" s="160">
        <v>7.81</v>
      </c>
      <c r="I58" s="34">
        <v>5</v>
      </c>
      <c r="J58" s="160">
        <v>3.2</v>
      </c>
      <c r="K58" s="160">
        <v>3.9</v>
      </c>
      <c r="L58" s="160">
        <v>1.87</v>
      </c>
    </row>
    <row r="59" spans="1:12" ht="21.75">
      <c r="A59" s="159" t="s">
        <v>216</v>
      </c>
      <c r="B59" s="160">
        <v>4.87</v>
      </c>
      <c r="C59" s="160">
        <v>6.205</v>
      </c>
      <c r="D59" s="160">
        <v>99.8</v>
      </c>
      <c r="E59" s="160">
        <v>23.2</v>
      </c>
      <c r="F59" s="160">
        <v>20</v>
      </c>
      <c r="G59" s="160">
        <v>7.44</v>
      </c>
      <c r="I59" s="34">
        <v>5</v>
      </c>
      <c r="J59" s="160">
        <v>2.8</v>
      </c>
      <c r="K59" s="160">
        <v>3.96</v>
      </c>
      <c r="L59" s="160">
        <v>1.91</v>
      </c>
    </row>
    <row r="60" spans="1:12" ht="21.75">
      <c r="A60" s="159" t="s">
        <v>217</v>
      </c>
      <c r="B60" s="160">
        <v>4.06</v>
      </c>
      <c r="C60" s="160">
        <v>5.172</v>
      </c>
      <c r="D60" s="160">
        <v>80.7</v>
      </c>
      <c r="E60" s="160">
        <v>19</v>
      </c>
      <c r="F60" s="160">
        <v>16.1</v>
      </c>
      <c r="G60" s="160">
        <v>6.06</v>
      </c>
      <c r="I60" s="34">
        <v>5</v>
      </c>
      <c r="J60" s="160">
        <v>2.3</v>
      </c>
      <c r="K60" s="160">
        <v>3.95</v>
      </c>
      <c r="L60" s="160">
        <v>1.92</v>
      </c>
    </row>
    <row r="61" spans="1:12" ht="21.75">
      <c r="A61" s="159" t="s">
        <v>218</v>
      </c>
      <c r="B61" s="160">
        <v>3.56</v>
      </c>
      <c r="C61" s="160">
        <v>4.537</v>
      </c>
      <c r="D61" s="160">
        <v>71.4</v>
      </c>
      <c r="E61" s="160">
        <v>16.9</v>
      </c>
      <c r="F61" s="160">
        <v>14.3</v>
      </c>
      <c r="G61" s="160">
        <v>5.4</v>
      </c>
      <c r="I61" s="34">
        <v>5</v>
      </c>
      <c r="J61" s="160">
        <v>2</v>
      </c>
      <c r="K61" s="160">
        <v>3.97</v>
      </c>
      <c r="L61" s="160">
        <v>1.93</v>
      </c>
    </row>
    <row r="62" spans="1:12" ht="21.75">
      <c r="A62" s="159" t="s">
        <v>219</v>
      </c>
      <c r="B62" s="160">
        <v>2.88</v>
      </c>
      <c r="C62" s="160">
        <v>3.672</v>
      </c>
      <c r="D62" s="160">
        <v>58.4</v>
      </c>
      <c r="E62" s="160">
        <v>14</v>
      </c>
      <c r="F62" s="160">
        <v>11.7</v>
      </c>
      <c r="G62" s="160">
        <v>4.47</v>
      </c>
      <c r="I62" s="34">
        <v>5</v>
      </c>
      <c r="J62" s="160">
        <v>1.6</v>
      </c>
      <c r="K62" s="160">
        <v>3.99</v>
      </c>
      <c r="L62" s="160">
        <v>1.95</v>
      </c>
    </row>
    <row r="63" spans="1:12" ht="21.75">
      <c r="A63" s="159" t="s">
        <v>220</v>
      </c>
      <c r="B63" s="160">
        <v>5</v>
      </c>
      <c r="C63" s="160">
        <v>6.367</v>
      </c>
      <c r="D63" s="160">
        <v>76.9</v>
      </c>
      <c r="E63" s="160">
        <v>18.3</v>
      </c>
      <c r="F63" s="160">
        <v>17.1</v>
      </c>
      <c r="G63" s="160">
        <v>6.57</v>
      </c>
      <c r="I63" s="34">
        <v>4.5</v>
      </c>
      <c r="J63" s="160">
        <v>3.2</v>
      </c>
      <c r="K63" s="160">
        <v>3.48</v>
      </c>
      <c r="L63" s="160">
        <v>1.69</v>
      </c>
    </row>
    <row r="64" spans="1:12" ht="21.75">
      <c r="A64" s="159" t="s">
        <v>221</v>
      </c>
      <c r="B64" s="160">
        <v>3.7</v>
      </c>
      <c r="C64" s="160">
        <v>4.712</v>
      </c>
      <c r="D64" s="160">
        <v>58.6</v>
      </c>
      <c r="E64" s="160">
        <v>14.2</v>
      </c>
      <c r="F64" s="160">
        <v>13</v>
      </c>
      <c r="G64" s="160">
        <v>5.14</v>
      </c>
      <c r="I64" s="34">
        <v>4.5</v>
      </c>
      <c r="J64" s="160">
        <v>2.3</v>
      </c>
      <c r="K64" s="160">
        <v>3.53</v>
      </c>
      <c r="L64" s="160">
        <v>1.74</v>
      </c>
    </row>
    <row r="65" spans="1:12" ht="21.75">
      <c r="A65" s="159" t="s">
        <v>222</v>
      </c>
      <c r="B65" s="160">
        <v>2.63</v>
      </c>
      <c r="C65" s="160">
        <v>3.352</v>
      </c>
      <c r="D65" s="160">
        <v>42.6</v>
      </c>
      <c r="E65" s="160">
        <v>10.5</v>
      </c>
      <c r="F65" s="160">
        <v>9.46</v>
      </c>
      <c r="G65" s="160">
        <v>5.8</v>
      </c>
      <c r="I65" s="34">
        <v>4.5</v>
      </c>
      <c r="J65" s="160">
        <v>1.6</v>
      </c>
      <c r="K65" s="160">
        <v>3.56</v>
      </c>
      <c r="L65" s="160">
        <v>1.77</v>
      </c>
    </row>
    <row r="66" spans="1:12" ht="21.75">
      <c r="A66" s="159" t="s">
        <v>223</v>
      </c>
      <c r="B66" s="160">
        <v>3.25</v>
      </c>
      <c r="C66" s="160">
        <v>4.137</v>
      </c>
      <c r="D66" s="160">
        <v>37.1</v>
      </c>
      <c r="E66" s="160">
        <v>11.8</v>
      </c>
      <c r="F66" s="160">
        <v>9.9</v>
      </c>
      <c r="G66" s="160">
        <v>4.24</v>
      </c>
      <c r="I66" s="34">
        <v>4.5</v>
      </c>
      <c r="J66" s="160">
        <v>2.3</v>
      </c>
      <c r="K66" s="160">
        <v>3</v>
      </c>
      <c r="L66" s="160">
        <v>1.69</v>
      </c>
    </row>
    <row r="67" spans="1:12" ht="21.75">
      <c r="A67" s="159" t="s">
        <v>224</v>
      </c>
      <c r="B67" s="160">
        <v>2.89</v>
      </c>
      <c r="C67" s="160">
        <v>3.677</v>
      </c>
      <c r="D67" s="160">
        <v>31</v>
      </c>
      <c r="E67" s="160">
        <v>6.58</v>
      </c>
      <c r="F67" s="160">
        <v>8.28</v>
      </c>
      <c r="G67" s="160">
        <v>2.98</v>
      </c>
      <c r="I67" s="34">
        <v>3.5</v>
      </c>
      <c r="J67" s="160">
        <v>2.3</v>
      </c>
      <c r="K67" s="160">
        <v>2.91</v>
      </c>
      <c r="L67" s="160">
        <v>1.34</v>
      </c>
    </row>
    <row r="68" spans="1:12" ht="21.75">
      <c r="A68" s="159" t="s">
        <v>225</v>
      </c>
      <c r="B68" s="160">
        <v>2.38</v>
      </c>
      <c r="C68" s="160">
        <v>3.032</v>
      </c>
      <c r="D68" s="160">
        <v>22</v>
      </c>
      <c r="E68" s="160">
        <v>8</v>
      </c>
      <c r="F68" s="160">
        <v>6.29</v>
      </c>
      <c r="G68" s="160">
        <v>3.64</v>
      </c>
      <c r="I68" s="34">
        <v>4</v>
      </c>
      <c r="J68" s="160">
        <v>1.6</v>
      </c>
      <c r="K68" s="160">
        <v>2.69</v>
      </c>
      <c r="L68" s="160">
        <v>1.62</v>
      </c>
    </row>
    <row r="69" spans="1:12" ht="21.75">
      <c r="A69" s="159" t="s">
        <v>226</v>
      </c>
      <c r="B69" s="160">
        <v>2.25</v>
      </c>
      <c r="C69" s="160">
        <v>2.872</v>
      </c>
      <c r="D69" s="160">
        <v>15.6</v>
      </c>
      <c r="E69" s="160">
        <v>3.32</v>
      </c>
      <c r="F69" s="160">
        <v>5.2</v>
      </c>
      <c r="G69" s="160">
        <v>1.71</v>
      </c>
      <c r="I69" s="34">
        <v>3</v>
      </c>
      <c r="J69" s="160">
        <v>2.3</v>
      </c>
      <c r="K69" s="160">
        <v>2.33</v>
      </c>
      <c r="L69" s="160">
        <v>1.07</v>
      </c>
    </row>
    <row r="70" spans="1:12" ht="21.75">
      <c r="A70" s="159" t="s">
        <v>227</v>
      </c>
      <c r="B70" s="160">
        <v>1.99</v>
      </c>
      <c r="C70" s="160">
        <v>2.537</v>
      </c>
      <c r="D70" s="160">
        <v>14</v>
      </c>
      <c r="E70" s="160">
        <v>3.01</v>
      </c>
      <c r="F70" s="160">
        <v>4.65</v>
      </c>
      <c r="G70" s="160">
        <v>1.55</v>
      </c>
      <c r="I70" s="34">
        <v>3</v>
      </c>
      <c r="J70" s="160">
        <v>2</v>
      </c>
      <c r="K70" s="160">
        <v>2.35</v>
      </c>
      <c r="L70" s="160">
        <v>1.09</v>
      </c>
    </row>
    <row r="71" spans="1:12" ht="21.75">
      <c r="A71" s="159" t="s">
        <v>228</v>
      </c>
      <c r="B71" s="160">
        <v>1.63</v>
      </c>
      <c r="C71" s="160">
        <v>2.072</v>
      </c>
      <c r="D71" s="160">
        <v>11.6</v>
      </c>
      <c r="E71" s="160">
        <v>2.56</v>
      </c>
      <c r="F71" s="160">
        <v>3.88</v>
      </c>
      <c r="G71" s="160">
        <v>1.32</v>
      </c>
      <c r="I71" s="34">
        <v>3</v>
      </c>
      <c r="J71" s="160">
        <v>1.6</v>
      </c>
      <c r="K71" s="160">
        <v>2.37</v>
      </c>
      <c r="L71" s="160">
        <v>1.11</v>
      </c>
    </row>
  </sheetData>
  <autoFilter ref="A1:A3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Outlaw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Daffy &amp; Guffy</dc:creator>
  <cp:keywords/>
  <dc:description/>
  <cp:lastModifiedBy>ideapad</cp:lastModifiedBy>
  <cp:lastPrinted>2009-10-29T03:56:51Z</cp:lastPrinted>
  <dcterms:created xsi:type="dcterms:W3CDTF">2000-09-01T03:50:41Z</dcterms:created>
  <dcterms:modified xsi:type="dcterms:W3CDTF">2009-10-29T03:57:09Z</dcterms:modified>
  <cp:category/>
  <cp:version/>
  <cp:contentType/>
  <cp:contentStatus/>
</cp:coreProperties>
</file>