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eso\OneDrive\Documents\"/>
    </mc:Choice>
  </mc:AlternateContent>
  <xr:revisionPtr revIDLastSave="0" documentId="13_ncr:1_{13BA82CC-0DDF-4D10-9462-9EC6F8DB8139}" xr6:coauthVersionLast="47" xr6:coauthVersionMax="47" xr10:uidLastSave="{00000000-0000-0000-0000-000000000000}"/>
  <bookViews>
    <workbookView xWindow="-120" yWindow="-120" windowWidth="29040" windowHeight="15720" xr2:uid="{B7D3A425-6D36-47F2-94FB-603A86263E1B}"/>
  </bookViews>
  <sheets>
    <sheet name="Sheet1" sheetId="1" r:id="rId1"/>
  </sheets>
  <definedNames>
    <definedName name="_xlnm.Print_Area" localSheetId="0">Sheet1!$A$1:$K$43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G37" i="1"/>
  <c r="G40" i="1"/>
  <c r="AJ24" i="1"/>
  <c r="AI24" i="1"/>
  <c r="BS90" i="1"/>
  <c r="AV14" i="1"/>
  <c r="AV9" i="1"/>
  <c r="AY7" i="1"/>
  <c r="AY9" i="1" s="1"/>
  <c r="AY11" i="1" s="1"/>
  <c r="AY13" i="1" s="1"/>
  <c r="AY15" i="1" s="1"/>
  <c r="AY17" i="1" s="1"/>
  <c r="AU14" i="1" s="1"/>
  <c r="AY6" i="1"/>
  <c r="AY8" i="1" s="1"/>
  <c r="AY10" i="1" s="1"/>
  <c r="AY12" i="1" s="1"/>
  <c r="AY14" i="1" s="1"/>
  <c r="AY16" i="1" s="1"/>
  <c r="AV11" i="1"/>
  <c r="AV13" i="1" s="1"/>
  <c r="AV10" i="1"/>
  <c r="AV12" i="1" s="1"/>
  <c r="AV8" i="1"/>
  <c r="AR30" i="1"/>
  <c r="AT28" i="1"/>
  <c r="AV28" i="1" s="1"/>
  <c r="AQ25" i="1"/>
  <c r="AR26" i="1" s="1"/>
  <c r="AU26" i="1" s="1"/>
  <c r="AQ26" i="1"/>
  <c r="AR25" i="1" s="1"/>
  <c r="AU25" i="1" s="1"/>
  <c r="AW25" i="1" s="1"/>
  <c r="AX25" i="1" s="1"/>
  <c r="AY25" i="1" s="1"/>
  <c r="AV5" i="1"/>
  <c r="AR4" i="1"/>
  <c r="AS5" i="1" s="1"/>
  <c r="AO8" i="1"/>
  <c r="AN8" i="1"/>
  <c r="AM8" i="1"/>
  <c r="AL8" i="1"/>
  <c r="AK8" i="1"/>
  <c r="AJ8" i="1"/>
  <c r="AI8" i="1"/>
  <c r="AO7" i="1"/>
  <c r="AN7" i="1"/>
  <c r="AM7" i="1"/>
  <c r="AL7" i="1"/>
  <c r="AK7" i="1"/>
  <c r="AJ7" i="1"/>
  <c r="AI7" i="1"/>
  <c r="BI25" i="1" l="1"/>
  <c r="AU4" i="1"/>
  <c r="AQ27" i="1"/>
  <c r="AS27" i="1" s="1"/>
  <c r="AT27" i="1" s="1"/>
  <c r="AV27" i="1" s="1"/>
  <c r="AP25" i="1"/>
  <c r="AP26" i="1"/>
  <c r="BA5" i="1"/>
  <c r="BB5" i="1" s="1"/>
  <c r="AT14" i="1"/>
  <c r="AZ5" i="1"/>
  <c r="AZ4" i="1" s="1"/>
  <c r="AZ14" i="1" s="1"/>
  <c r="AR31" i="1"/>
  <c r="AR27" i="1"/>
  <c r="AU27" i="1" s="1"/>
  <c r="AW27" i="1" s="1"/>
  <c r="BI56" i="1" s="1"/>
  <c r="AV4" i="1"/>
  <c r="AT5" i="1"/>
  <c r="AU5" i="1"/>
  <c r="AR5" i="1"/>
  <c r="AS4" i="1" s="1"/>
  <c r="BK25" i="1" l="1"/>
  <c r="BK26" i="1" s="1"/>
  <c r="BK27" i="1" s="1"/>
  <c r="BK28" i="1" s="1"/>
  <c r="BK29" i="1" s="1"/>
  <c r="BK30" i="1" s="1"/>
  <c r="BK31" i="1" s="1"/>
  <c r="BK32" i="1" s="1"/>
  <c r="BK33" i="1" s="1"/>
  <c r="BK34" i="1" s="1"/>
  <c r="BK35" i="1" s="1"/>
  <c r="BK36" i="1" s="1"/>
  <c r="BK37" i="1" s="1"/>
  <c r="BK38" i="1" s="1"/>
  <c r="BK39" i="1" s="1"/>
  <c r="BK40" i="1" s="1"/>
  <c r="BK41" i="1" s="1"/>
  <c r="BK42" i="1" s="1"/>
  <c r="BK43" i="1" s="1"/>
  <c r="BK44" i="1" s="1"/>
  <c r="BK45" i="1" s="1"/>
  <c r="BK46" i="1" s="1"/>
  <c r="BK47" i="1" s="1"/>
  <c r="BK48" i="1" s="1"/>
  <c r="BK49" i="1" s="1"/>
  <c r="BK50" i="1" s="1"/>
  <c r="BK51" i="1" s="1"/>
  <c r="BK52" i="1" s="1"/>
  <c r="BK53" i="1" s="1"/>
  <c r="BK54" i="1" s="1"/>
  <c r="BK55" i="1" s="1"/>
  <c r="BK56" i="1" s="1"/>
  <c r="AR12" i="1"/>
  <c r="AQ12" i="1"/>
  <c r="AX27" i="1"/>
  <c r="AT16" i="1" s="1"/>
  <c r="AW26" i="1"/>
  <c r="AP27" i="1"/>
  <c r="AZ15" i="1"/>
  <c r="AZ8" i="1"/>
  <c r="AZ16" i="1"/>
  <c r="AZ17" i="1"/>
  <c r="AZ7" i="1"/>
  <c r="AZ9" i="1"/>
  <c r="AZ11" i="1"/>
  <c r="AZ13" i="1"/>
  <c r="AZ10" i="1"/>
  <c r="AZ6" i="1"/>
  <c r="AZ12" i="1"/>
  <c r="AW22" i="1"/>
  <c r="AW28" i="1" s="1"/>
  <c r="AU28" i="1"/>
  <c r="AR28" i="1"/>
  <c r="BD30" i="1" l="1"/>
  <c r="BL25" i="1"/>
  <c r="BL26" i="1" s="1"/>
  <c r="BL27" i="1" s="1"/>
  <c r="BL28" i="1" s="1"/>
  <c r="BL29" i="1" s="1"/>
  <c r="BL30" i="1" s="1"/>
  <c r="BL31" i="1" s="1"/>
  <c r="BL32" i="1" s="1"/>
  <c r="BL33" i="1" s="1"/>
  <c r="BL34" i="1" s="1"/>
  <c r="BL35" i="1" s="1"/>
  <c r="BL36" i="1" s="1"/>
  <c r="BL37" i="1" s="1"/>
  <c r="BL38" i="1" s="1"/>
  <c r="BL39" i="1" s="1"/>
  <c r="BL40" i="1" s="1"/>
  <c r="BL41" i="1" s="1"/>
  <c r="BL42" i="1" s="1"/>
  <c r="BL43" i="1" s="1"/>
  <c r="BL44" i="1" s="1"/>
  <c r="BL45" i="1" s="1"/>
  <c r="BL46" i="1" s="1"/>
  <c r="BL47" i="1" s="1"/>
  <c r="BL48" i="1" s="1"/>
  <c r="BL49" i="1" s="1"/>
  <c r="BL50" i="1" s="1"/>
  <c r="BL51" i="1" s="1"/>
  <c r="BL52" i="1" s="1"/>
  <c r="BL53" i="1" s="1"/>
  <c r="BL54" i="1" s="1"/>
  <c r="BL55" i="1" s="1"/>
  <c r="AX26" i="1"/>
  <c r="AR32" i="1" s="1"/>
  <c r="BI55" i="1"/>
  <c r="AX28" i="1"/>
  <c r="BB27" i="1" s="1"/>
  <c r="AT32" i="1" l="1"/>
  <c r="BD31" i="1" s="1"/>
  <c r="AY26" i="1"/>
  <c r="AT30" i="1"/>
  <c r="AY27" i="1"/>
  <c r="AT31" i="1"/>
  <c r="AY28" i="1"/>
  <c r="AX31" i="1" l="1"/>
  <c r="AR35" i="1"/>
  <c r="AV30" i="1"/>
  <c r="AV31" i="1" s="1"/>
  <c r="AU19" i="1" l="1"/>
  <c r="AX30" i="1"/>
  <c r="AT18" i="1" s="1"/>
  <c r="AV32" i="1"/>
  <c r="AT19" i="1"/>
  <c r="AV33" i="1" l="1"/>
  <c r="AG34" i="1"/>
  <c r="AR37" i="1"/>
  <c r="AV19" i="1"/>
  <c r="B41" i="1"/>
  <c r="AR36" i="1"/>
  <c r="AV34" i="1"/>
  <c r="AU35" i="1" l="1"/>
  <c r="AV35" i="1" s="1"/>
  <c r="AW35" i="1" s="1"/>
  <c r="AU36" i="1"/>
  <c r="AU37" i="1" l="1"/>
  <c r="AV36" i="1"/>
  <c r="AW36" i="1" s="1"/>
  <c r="AW37" i="1" s="1"/>
  <c r="BK57" i="1" s="1"/>
  <c r="BK58" i="1" s="1"/>
  <c r="BK59" i="1" s="1"/>
  <c r="BK60" i="1" s="1"/>
  <c r="BK61" i="1" s="1"/>
  <c r="BK62" i="1" s="1"/>
  <c r="BK63" i="1" s="1"/>
  <c r="BK64" i="1" s="1"/>
  <c r="BK65" i="1" s="1"/>
  <c r="BK66" i="1" s="1"/>
  <c r="BK67" i="1" s="1"/>
  <c r="BK68" i="1" s="1"/>
  <c r="BK69" i="1" s="1"/>
  <c r="BK70" i="1" s="1"/>
  <c r="BK71" i="1" s="1"/>
  <c r="BK72" i="1" s="1"/>
  <c r="BK73" i="1" s="1"/>
  <c r="BK74" i="1" s="1"/>
  <c r="BK75" i="1" s="1"/>
  <c r="BK76" i="1" s="1"/>
  <c r="BK77" i="1" s="1"/>
  <c r="BK78" i="1" s="1"/>
  <c r="BK79" i="1" s="1"/>
  <c r="BK80" i="1" s="1"/>
  <c r="BK81" i="1" s="1"/>
  <c r="BK82" i="1" s="1"/>
  <c r="BK83" i="1" s="1"/>
  <c r="BK84" i="1" s="1"/>
  <c r="BK85" i="1" s="1"/>
  <c r="BK86" i="1" s="1"/>
  <c r="J18" i="1" l="1"/>
  <c r="AV17" i="1"/>
  <c r="AG35" i="1"/>
  <c r="B42" i="1" s="1"/>
  <c r="AH35" i="1"/>
  <c r="AP28" i="1"/>
  <c r="AH36" i="1"/>
  <c r="AU17" i="1"/>
  <c r="AH34" i="1"/>
  <c r="AI34" i="1" s="1"/>
  <c r="BM25" i="1"/>
  <c r="AT17" i="1"/>
  <c r="AR7" i="1" l="1"/>
  <c r="AV7" i="1" s="1"/>
  <c r="BD27" i="1"/>
  <c r="BE27" i="1" s="1"/>
  <c r="BN25" i="1"/>
  <c r="BU25" i="1"/>
  <c r="AI35" i="1"/>
  <c r="J37" i="1"/>
  <c r="J39" i="1"/>
  <c r="BM26" i="1"/>
  <c r="BJ25" i="1"/>
  <c r="D36" i="1" l="1"/>
  <c r="AQ13" i="1" s="1"/>
  <c r="BN26" i="1"/>
  <c r="BO26" i="1" s="1"/>
  <c r="BR26" i="1" s="1"/>
  <c r="BO25" i="1"/>
  <c r="BR25" i="1" s="1"/>
  <c r="BJ26" i="1"/>
  <c r="BU26" i="1" l="1"/>
  <c r="BT27" i="1"/>
  <c r="BT26" i="1"/>
  <c r="J40" i="1"/>
  <c r="BT25" i="1"/>
  <c r="B40" i="1"/>
  <c r="AQ11" i="1"/>
  <c r="BM27" i="1"/>
  <c r="BW26" i="1" l="1"/>
  <c r="BW25" i="1"/>
  <c r="BE30" i="1" s="1"/>
  <c r="BN27" i="1"/>
  <c r="BO27" i="1" s="1"/>
  <c r="BR27" i="1" s="1"/>
  <c r="BM28" i="1"/>
  <c r="BT28" i="1"/>
  <c r="BJ27" i="1"/>
  <c r="BU27" i="1" l="1"/>
  <c r="BW27" i="1" s="1"/>
  <c r="BF29" i="1"/>
  <c r="BE31" i="1"/>
  <c r="BN28" i="1"/>
  <c r="BO28" i="1" s="1"/>
  <c r="BR28" i="1" s="1"/>
  <c r="BM29" i="1"/>
  <c r="BT29" i="1"/>
  <c r="BJ28" i="1"/>
  <c r="BU28" i="1" l="1"/>
  <c r="BW28" i="1" s="1"/>
  <c r="BN29" i="1"/>
  <c r="BO29" i="1" s="1"/>
  <c r="BR29" i="1" s="1"/>
  <c r="BM30" i="1"/>
  <c r="BT30" i="1"/>
  <c r="BJ29" i="1"/>
  <c r="BU29" i="1" l="1"/>
  <c r="BW29" i="1" s="1"/>
  <c r="BN30" i="1"/>
  <c r="BO30" i="1" s="1"/>
  <c r="BR30" i="1" s="1"/>
  <c r="BM31" i="1"/>
  <c r="BT31" i="1"/>
  <c r="BJ30" i="1"/>
  <c r="BU30" i="1" l="1"/>
  <c r="BW30" i="1" s="1"/>
  <c r="BN31" i="1"/>
  <c r="BO31" i="1" s="1"/>
  <c r="BR31" i="1" s="1"/>
  <c r="BM32" i="1"/>
  <c r="BN32" i="1" s="1"/>
  <c r="BO32" i="1" s="1"/>
  <c r="BT32" i="1"/>
  <c r="BJ31" i="1"/>
  <c r="BU31" i="1" l="1"/>
  <c r="BW31" i="1" s="1"/>
  <c r="BM33" i="1"/>
  <c r="BN33" i="1" s="1"/>
  <c r="BO33" i="1" s="1"/>
  <c r="BT33" i="1"/>
  <c r="BJ32" i="1"/>
  <c r="BR32" i="1" l="1"/>
  <c r="BU32" i="1"/>
  <c r="BW32" i="1" s="1"/>
  <c r="BT34" i="1"/>
  <c r="BM34" i="1"/>
  <c r="BN34" i="1" s="1"/>
  <c r="BO34" i="1" s="1"/>
  <c r="BJ33" i="1"/>
  <c r="BR33" i="1" l="1"/>
  <c r="BU33" i="1"/>
  <c r="BW33" i="1" s="1"/>
  <c r="BJ34" i="1"/>
  <c r="BM35" i="1"/>
  <c r="BN35" i="1" s="1"/>
  <c r="BO35" i="1" s="1"/>
  <c r="BT35" i="1"/>
  <c r="BR34" i="1" l="1"/>
  <c r="BU34" i="1"/>
  <c r="BW34" i="1" s="1"/>
  <c r="BM36" i="1"/>
  <c r="BN36" i="1" s="1"/>
  <c r="BO36" i="1" s="1"/>
  <c r="BT36" i="1"/>
  <c r="BJ35" i="1"/>
  <c r="BR35" i="1" l="1"/>
  <c r="BU35" i="1"/>
  <c r="BW35" i="1" s="1"/>
  <c r="BM37" i="1"/>
  <c r="BN37" i="1" s="1"/>
  <c r="BO37" i="1" s="1"/>
  <c r="BT37" i="1"/>
  <c r="BJ36" i="1"/>
  <c r="BR36" i="1" l="1"/>
  <c r="BU36" i="1"/>
  <c r="BW36" i="1" s="1"/>
  <c r="BJ37" i="1"/>
  <c r="BM38" i="1"/>
  <c r="BN38" i="1" s="1"/>
  <c r="BO38" i="1" s="1"/>
  <c r="BT38" i="1"/>
  <c r="BR37" i="1" l="1"/>
  <c r="BU37" i="1"/>
  <c r="BW37" i="1" s="1"/>
  <c r="BM39" i="1"/>
  <c r="BN39" i="1" s="1"/>
  <c r="BO39" i="1" s="1"/>
  <c r="BT39" i="1"/>
  <c r="BJ38" i="1"/>
  <c r="BR38" i="1" l="1"/>
  <c r="BU38" i="1"/>
  <c r="BW38" i="1" s="1"/>
  <c r="BM40" i="1"/>
  <c r="BN40" i="1" s="1"/>
  <c r="BO40" i="1" s="1"/>
  <c r="BT40" i="1"/>
  <c r="BJ39" i="1"/>
  <c r="BR39" i="1" l="1"/>
  <c r="BU39" i="1"/>
  <c r="BW39" i="1" s="1"/>
  <c r="BM41" i="1"/>
  <c r="BN41" i="1" s="1"/>
  <c r="BO41" i="1" s="1"/>
  <c r="BT41" i="1"/>
  <c r="BJ40" i="1"/>
  <c r="BR40" i="1" l="1"/>
  <c r="BU40" i="1"/>
  <c r="BW40" i="1" s="1"/>
  <c r="BM42" i="1"/>
  <c r="BN42" i="1" s="1"/>
  <c r="BO42" i="1" s="1"/>
  <c r="BT42" i="1"/>
  <c r="BJ41" i="1"/>
  <c r="BR41" i="1" l="1"/>
  <c r="BU41" i="1"/>
  <c r="BW41" i="1" s="1"/>
  <c r="BM43" i="1"/>
  <c r="BN43" i="1" s="1"/>
  <c r="BO43" i="1" s="1"/>
  <c r="BT43" i="1"/>
  <c r="BJ42" i="1"/>
  <c r="BR42" i="1" l="1"/>
  <c r="BU42" i="1"/>
  <c r="BW42" i="1" s="1"/>
  <c r="BM44" i="1"/>
  <c r="BN44" i="1" s="1"/>
  <c r="BO44" i="1" s="1"/>
  <c r="BT44" i="1"/>
  <c r="BJ43" i="1"/>
  <c r="BR43" i="1" l="1"/>
  <c r="BU43" i="1"/>
  <c r="BW43" i="1" s="1"/>
  <c r="BM45" i="1"/>
  <c r="BN45" i="1" s="1"/>
  <c r="BO45" i="1" s="1"/>
  <c r="BT45" i="1"/>
  <c r="BJ44" i="1"/>
  <c r="BL57" i="1"/>
  <c r="BP57" i="1" s="1"/>
  <c r="BQ57" i="1" s="1"/>
  <c r="BR44" i="1" l="1"/>
  <c r="BU44" i="1"/>
  <c r="BW44" i="1" s="1"/>
  <c r="BM46" i="1"/>
  <c r="BN46" i="1" s="1"/>
  <c r="BO46" i="1" s="1"/>
  <c r="BT46" i="1"/>
  <c r="BJ45" i="1"/>
  <c r="BL58" i="1"/>
  <c r="BR45" i="1" l="1"/>
  <c r="BU45" i="1"/>
  <c r="BW45" i="1" s="1"/>
  <c r="BM47" i="1"/>
  <c r="BN47" i="1" s="1"/>
  <c r="BO47" i="1" s="1"/>
  <c r="BT47" i="1"/>
  <c r="BJ46" i="1"/>
  <c r="BP58" i="1"/>
  <c r="BQ58" i="1" s="1"/>
  <c r="BT58" i="1"/>
  <c r="BL59" i="1"/>
  <c r="BR46" i="1" l="1"/>
  <c r="BU46" i="1"/>
  <c r="BW46" i="1" s="1"/>
  <c r="BM48" i="1"/>
  <c r="BN48" i="1" s="1"/>
  <c r="BO48" i="1" s="1"/>
  <c r="BT48" i="1"/>
  <c r="BJ47" i="1"/>
  <c r="BT59" i="1"/>
  <c r="BP59" i="1"/>
  <c r="BQ59" i="1" s="1"/>
  <c r="BL60" i="1"/>
  <c r="BR47" i="1" l="1"/>
  <c r="BU47" i="1"/>
  <c r="BW47" i="1" s="1"/>
  <c r="BM49" i="1"/>
  <c r="BN49" i="1" s="1"/>
  <c r="BO49" i="1" s="1"/>
  <c r="BT49" i="1"/>
  <c r="BJ48" i="1"/>
  <c r="BP60" i="1"/>
  <c r="BQ60" i="1" s="1"/>
  <c r="BT60" i="1"/>
  <c r="BL61" i="1"/>
  <c r="BR48" i="1" l="1"/>
  <c r="BU48" i="1"/>
  <c r="BW48" i="1" s="1"/>
  <c r="BM50" i="1"/>
  <c r="BN50" i="1" s="1"/>
  <c r="BO50" i="1" s="1"/>
  <c r="BT50" i="1"/>
  <c r="BJ49" i="1"/>
  <c r="BP61" i="1"/>
  <c r="BQ61" i="1" s="1"/>
  <c r="BT61" i="1"/>
  <c r="BL62" i="1"/>
  <c r="BR49" i="1" l="1"/>
  <c r="BU49" i="1"/>
  <c r="BW49" i="1" s="1"/>
  <c r="BM51" i="1"/>
  <c r="BN51" i="1" s="1"/>
  <c r="BO51" i="1" s="1"/>
  <c r="BT51" i="1"/>
  <c r="BJ50" i="1"/>
  <c r="BP62" i="1"/>
  <c r="BQ62" i="1" s="1"/>
  <c r="BT62" i="1"/>
  <c r="BL63" i="1"/>
  <c r="BR50" i="1" l="1"/>
  <c r="BU50" i="1"/>
  <c r="BW50" i="1" s="1"/>
  <c r="BM52" i="1"/>
  <c r="BN52" i="1" s="1"/>
  <c r="BO52" i="1" s="1"/>
  <c r="BT52" i="1"/>
  <c r="BJ51" i="1"/>
  <c r="BP63" i="1"/>
  <c r="BQ63" i="1" s="1"/>
  <c r="BT63" i="1"/>
  <c r="BL64" i="1"/>
  <c r="BR51" i="1" l="1"/>
  <c r="BU51" i="1"/>
  <c r="BW51" i="1" s="1"/>
  <c r="BM53" i="1"/>
  <c r="BN53" i="1" s="1"/>
  <c r="BO53" i="1" s="1"/>
  <c r="BT53" i="1"/>
  <c r="BJ52" i="1"/>
  <c r="BP64" i="1"/>
  <c r="BQ64" i="1" s="1"/>
  <c r="BT64" i="1"/>
  <c r="BL65" i="1"/>
  <c r="BR52" i="1" l="1"/>
  <c r="BU52" i="1"/>
  <c r="BW52" i="1" s="1"/>
  <c r="BM54" i="1"/>
  <c r="BN54" i="1" s="1"/>
  <c r="BO54" i="1" s="1"/>
  <c r="BT54" i="1"/>
  <c r="BJ53" i="1"/>
  <c r="BP65" i="1"/>
  <c r="BQ65" i="1" s="1"/>
  <c r="BT65" i="1"/>
  <c r="BL66" i="1"/>
  <c r="BT57" i="1"/>
  <c r="BR53" i="1" l="1"/>
  <c r="BU53" i="1"/>
  <c r="BW53" i="1" s="1"/>
  <c r="BM55" i="1"/>
  <c r="BN55" i="1" s="1"/>
  <c r="BO55" i="1" s="1"/>
  <c r="BL56" i="1"/>
  <c r="BT55" i="1"/>
  <c r="BJ54" i="1"/>
  <c r="BL67" i="1"/>
  <c r="BP66" i="1"/>
  <c r="BQ66" i="1" s="1"/>
  <c r="BT66" i="1"/>
  <c r="BR54" i="1" l="1"/>
  <c r="BU54" i="1"/>
  <c r="BW54" i="1" s="1"/>
  <c r="BP56" i="1"/>
  <c r="BQ56" i="1" s="1"/>
  <c r="BT56" i="1"/>
  <c r="BJ55" i="1"/>
  <c r="BM56" i="1"/>
  <c r="BN56" i="1" s="1"/>
  <c r="BP67" i="1"/>
  <c r="BQ67" i="1" s="1"/>
  <c r="BT67" i="1"/>
  <c r="BL68" i="1"/>
  <c r="BR55" i="1" l="1"/>
  <c r="BU55" i="1"/>
  <c r="BM61" i="1"/>
  <c r="BN61" i="1" s="1"/>
  <c r="BO61" i="1" s="1"/>
  <c r="BR61" i="1" s="1"/>
  <c r="BV61" i="1" s="1"/>
  <c r="BM62" i="1"/>
  <c r="BN62" i="1" s="1"/>
  <c r="BO62" i="1" s="1"/>
  <c r="BR62" i="1" s="1"/>
  <c r="BV62" i="1" s="1"/>
  <c r="BJ56" i="1"/>
  <c r="BM57" i="1"/>
  <c r="BN57" i="1" s="1"/>
  <c r="BO57" i="1" s="1"/>
  <c r="BR57" i="1" s="1"/>
  <c r="BV57" i="1" s="1"/>
  <c r="BM58" i="1"/>
  <c r="BN58" i="1" s="1"/>
  <c r="BO58" i="1" s="1"/>
  <c r="BR58" i="1" s="1"/>
  <c r="BV58" i="1" s="1"/>
  <c r="BM65" i="1"/>
  <c r="BN65" i="1" s="1"/>
  <c r="BO65" i="1" s="1"/>
  <c r="BR65" i="1" s="1"/>
  <c r="BV65" i="1" s="1"/>
  <c r="BO56" i="1"/>
  <c r="BR56" i="1" s="1"/>
  <c r="BV56" i="1" s="1"/>
  <c r="BM64" i="1"/>
  <c r="BN64" i="1" s="1"/>
  <c r="BO64" i="1" s="1"/>
  <c r="BR64" i="1" s="1"/>
  <c r="BV64" i="1" s="1"/>
  <c r="BM59" i="1"/>
  <c r="BN59" i="1" s="1"/>
  <c r="BO59" i="1" s="1"/>
  <c r="BR59" i="1" s="1"/>
  <c r="BV59" i="1" s="1"/>
  <c r="BM63" i="1"/>
  <c r="BN63" i="1" s="1"/>
  <c r="BO63" i="1" s="1"/>
  <c r="BR63" i="1" s="1"/>
  <c r="BV63" i="1" s="1"/>
  <c r="BM60" i="1"/>
  <c r="BN60" i="1" s="1"/>
  <c r="BO60" i="1" s="1"/>
  <c r="BR60" i="1" s="1"/>
  <c r="BV60" i="1" s="1"/>
  <c r="BM66" i="1"/>
  <c r="BN66" i="1" s="1"/>
  <c r="BO66" i="1" s="1"/>
  <c r="BR66" i="1" s="1"/>
  <c r="BV66" i="1" s="1"/>
  <c r="BM67" i="1"/>
  <c r="BN67" i="1" s="1"/>
  <c r="BO67" i="1" s="1"/>
  <c r="BR67" i="1" s="1"/>
  <c r="BV67" i="1" s="1"/>
  <c r="BL69" i="1"/>
  <c r="BP68" i="1"/>
  <c r="BQ68" i="1" s="1"/>
  <c r="BT68" i="1"/>
  <c r="BM68" i="1"/>
  <c r="BN68" i="1" s="1"/>
  <c r="BO68" i="1" s="1"/>
  <c r="BU56" i="1" l="1"/>
  <c r="BW55" i="1"/>
  <c r="AG22" i="1" s="1"/>
  <c r="BR68" i="1"/>
  <c r="BV68" i="1" s="1"/>
  <c r="BL70" i="1"/>
  <c r="BT69" i="1"/>
  <c r="BP69" i="1"/>
  <c r="BQ69" i="1" s="1"/>
  <c r="BM69" i="1"/>
  <c r="BN69" i="1" s="1"/>
  <c r="BO69" i="1" s="1"/>
  <c r="BU57" i="1" l="1"/>
  <c r="BW56" i="1"/>
  <c r="BR69" i="1"/>
  <c r="BV69" i="1" s="1"/>
  <c r="BT70" i="1"/>
  <c r="BP70" i="1"/>
  <c r="BQ70" i="1" s="1"/>
  <c r="BM70" i="1"/>
  <c r="BN70" i="1" s="1"/>
  <c r="BO70" i="1" s="1"/>
  <c r="BL71" i="1"/>
  <c r="BU58" i="1" l="1"/>
  <c r="BW57" i="1"/>
  <c r="BR70" i="1"/>
  <c r="BV70" i="1" s="1"/>
  <c r="BL72" i="1"/>
  <c r="BT71" i="1"/>
  <c r="BP71" i="1"/>
  <c r="BQ71" i="1" s="1"/>
  <c r="BM71" i="1"/>
  <c r="BN71" i="1" s="1"/>
  <c r="BO71" i="1" s="1"/>
  <c r="BU59" i="1" l="1"/>
  <c r="BW58" i="1"/>
  <c r="BR71" i="1"/>
  <c r="BV71" i="1" s="1"/>
  <c r="BT72" i="1"/>
  <c r="BP72" i="1"/>
  <c r="BQ72" i="1" s="1"/>
  <c r="BM72" i="1"/>
  <c r="BN72" i="1" s="1"/>
  <c r="BO72" i="1" s="1"/>
  <c r="BL73" i="1"/>
  <c r="BU60" i="1" l="1"/>
  <c r="BW59" i="1"/>
  <c r="BR72" i="1"/>
  <c r="BV72" i="1" s="1"/>
  <c r="BT73" i="1"/>
  <c r="BP73" i="1"/>
  <c r="BQ73" i="1" s="1"/>
  <c r="BM73" i="1"/>
  <c r="BN73" i="1" s="1"/>
  <c r="BO73" i="1" s="1"/>
  <c r="BL74" i="1"/>
  <c r="BU61" i="1" l="1"/>
  <c r="BW60" i="1"/>
  <c r="BR73" i="1"/>
  <c r="BV73" i="1" s="1"/>
  <c r="BT74" i="1"/>
  <c r="BP74" i="1"/>
  <c r="BQ74" i="1" s="1"/>
  <c r="BM74" i="1"/>
  <c r="BN74" i="1" s="1"/>
  <c r="BO74" i="1" s="1"/>
  <c r="BL75" i="1"/>
  <c r="BW61" i="1" l="1"/>
  <c r="BU62" i="1"/>
  <c r="BR74" i="1"/>
  <c r="BV74" i="1" s="1"/>
  <c r="BT75" i="1"/>
  <c r="BP75" i="1"/>
  <c r="BQ75" i="1" s="1"/>
  <c r="BM75" i="1"/>
  <c r="BN75" i="1" s="1"/>
  <c r="BO75" i="1" s="1"/>
  <c r="BL76" i="1"/>
  <c r="BW62" i="1" l="1"/>
  <c r="BU63" i="1"/>
  <c r="BR75" i="1"/>
  <c r="BV75" i="1" s="1"/>
  <c r="BL77" i="1"/>
  <c r="BP76" i="1"/>
  <c r="BQ76" i="1" s="1"/>
  <c r="BT76" i="1"/>
  <c r="BM76" i="1"/>
  <c r="BN76" i="1" s="1"/>
  <c r="BO76" i="1" s="1"/>
  <c r="BW63" i="1" l="1"/>
  <c r="BU64" i="1"/>
  <c r="BR76" i="1"/>
  <c r="BV76" i="1" s="1"/>
  <c r="BP77" i="1"/>
  <c r="BQ77" i="1" s="1"/>
  <c r="BT77" i="1"/>
  <c r="BM77" i="1"/>
  <c r="BN77" i="1" s="1"/>
  <c r="BO77" i="1" s="1"/>
  <c r="BL78" i="1"/>
  <c r="BW64" i="1" l="1"/>
  <c r="BU65" i="1"/>
  <c r="BR77" i="1"/>
  <c r="BV77" i="1" s="1"/>
  <c r="BL79" i="1"/>
  <c r="BP78" i="1"/>
  <c r="BQ78" i="1" s="1"/>
  <c r="BT78" i="1"/>
  <c r="BM78" i="1"/>
  <c r="BN78" i="1" s="1"/>
  <c r="BO78" i="1" s="1"/>
  <c r="BR78" i="1" l="1"/>
  <c r="BV78" i="1" s="1"/>
  <c r="BW65" i="1"/>
  <c r="BU66" i="1"/>
  <c r="BP79" i="1"/>
  <c r="BQ79" i="1" s="1"/>
  <c r="BT79" i="1"/>
  <c r="BM79" i="1"/>
  <c r="BN79" i="1" s="1"/>
  <c r="BO79" i="1" s="1"/>
  <c r="BL80" i="1"/>
  <c r="BW66" i="1" l="1"/>
  <c r="BU67" i="1"/>
  <c r="BR79" i="1"/>
  <c r="BV79" i="1" s="1"/>
  <c r="BP80" i="1"/>
  <c r="BQ80" i="1" s="1"/>
  <c r="BT80" i="1"/>
  <c r="BM80" i="1"/>
  <c r="BN80" i="1" s="1"/>
  <c r="BO80" i="1" s="1"/>
  <c r="BL81" i="1"/>
  <c r="BW67" i="1" l="1"/>
  <c r="BU68" i="1"/>
  <c r="BR80" i="1"/>
  <c r="BV80" i="1" s="1"/>
  <c r="BL82" i="1"/>
  <c r="BP81" i="1"/>
  <c r="BQ81" i="1" s="1"/>
  <c r="BT81" i="1"/>
  <c r="BM81" i="1"/>
  <c r="BN81" i="1" s="1"/>
  <c r="BO81" i="1" s="1"/>
  <c r="BR81" i="1" l="1"/>
  <c r="BV81" i="1" s="1"/>
  <c r="BW68" i="1"/>
  <c r="BU69" i="1"/>
  <c r="BP82" i="1"/>
  <c r="BQ82" i="1" s="1"/>
  <c r="BT82" i="1"/>
  <c r="BM82" i="1"/>
  <c r="BN82" i="1" s="1"/>
  <c r="BO82" i="1" s="1"/>
  <c r="BL83" i="1"/>
  <c r="BW69" i="1" l="1"/>
  <c r="BU70" i="1"/>
  <c r="BR82" i="1"/>
  <c r="BV82" i="1" s="1"/>
  <c r="BP83" i="1"/>
  <c r="BQ83" i="1" s="1"/>
  <c r="BT83" i="1"/>
  <c r="BM83" i="1"/>
  <c r="BN83" i="1" s="1"/>
  <c r="BO83" i="1" s="1"/>
  <c r="BL84" i="1"/>
  <c r="BW70" i="1" l="1"/>
  <c r="BU71" i="1"/>
  <c r="BR83" i="1"/>
  <c r="BV83" i="1" s="1"/>
  <c r="BP84" i="1"/>
  <c r="BQ84" i="1" s="1"/>
  <c r="BT84" i="1"/>
  <c r="BM84" i="1"/>
  <c r="BN84" i="1" s="1"/>
  <c r="BO84" i="1" s="1"/>
  <c r="BL86" i="1"/>
  <c r="BL85" i="1"/>
  <c r="BW71" i="1" l="1"/>
  <c r="BU72" i="1"/>
  <c r="BR84" i="1"/>
  <c r="BV84" i="1" s="1"/>
  <c r="BT85" i="1"/>
  <c r="BP85" i="1"/>
  <c r="BQ85" i="1" s="1"/>
  <c r="BM85" i="1"/>
  <c r="BN85" i="1" s="1"/>
  <c r="BO85" i="1" s="1"/>
  <c r="BT86" i="1"/>
  <c r="BP86" i="1"/>
  <c r="BQ86" i="1" s="1"/>
  <c r="BM86" i="1"/>
  <c r="BN86" i="1" s="1"/>
  <c r="BO86" i="1" s="1"/>
  <c r="BW72" i="1" l="1"/>
  <c r="BU73" i="1"/>
  <c r="BR85" i="1"/>
  <c r="BV85" i="1" s="1"/>
  <c r="BR86" i="1"/>
  <c r="BV86" i="1" s="1"/>
  <c r="BW73" i="1" l="1"/>
  <c r="BU74" i="1"/>
  <c r="BW74" i="1" l="1"/>
  <c r="BU75" i="1"/>
  <c r="BW75" i="1" l="1"/>
  <c r="BU76" i="1"/>
  <c r="BW76" i="1" l="1"/>
  <c r="BU77" i="1"/>
  <c r="BW77" i="1" l="1"/>
  <c r="BU78" i="1"/>
  <c r="BW78" i="1" l="1"/>
  <c r="BU79" i="1"/>
  <c r="BW79" i="1" l="1"/>
  <c r="BU80" i="1"/>
  <c r="BW80" i="1" l="1"/>
  <c r="BU81" i="1"/>
  <c r="BW81" i="1" l="1"/>
  <c r="BU82" i="1"/>
  <c r="BW82" i="1" l="1"/>
  <c r="BU83" i="1"/>
  <c r="BW83" i="1" l="1"/>
  <c r="BU84" i="1"/>
  <c r="BD33" i="1"/>
  <c r="AQ15" i="1"/>
  <c r="AR15" i="1" s="1"/>
  <c r="BW84" i="1" l="1"/>
  <c r="BU85" i="1"/>
  <c r="BW85" i="1" l="1"/>
  <c r="BU86" i="1"/>
  <c r="AG25" i="1"/>
  <c r="BE32" i="1"/>
  <c r="BW86" i="1" l="1"/>
  <c r="AQ14" i="1" s="1"/>
  <c r="BU23" i="1"/>
  <c r="AH25" i="1"/>
  <c r="C42" i="1"/>
  <c r="D42" i="1" s="1"/>
  <c r="AF22" i="1"/>
  <c r="C40" i="1"/>
  <c r="D40" i="1" s="1"/>
  <c r="C41" i="1"/>
  <c r="D41" i="1" s="1"/>
  <c r="D43" i="1" l="1"/>
  <c r="AI22" i="1"/>
  <c r="AI25" i="1" s="1"/>
  <c r="AJ25" i="1" s="1"/>
  <c r="J41" i="1"/>
  <c r="E41" i="1" l="1"/>
  <c r="F41" i="1" s="1"/>
  <c r="AK22" i="1"/>
  <c r="E42" i="1"/>
  <c r="F42" i="1" s="1"/>
  <c r="E40" i="1"/>
  <c r="F40" i="1" s="1"/>
  <c r="F43" i="1" l="1"/>
  <c r="I42" i="1" s="1"/>
</calcChain>
</file>

<file path=xl/sharedStrings.xml><?xml version="1.0" encoding="utf-8"?>
<sst xmlns="http://schemas.openxmlformats.org/spreadsheetml/2006/main" count="192" uniqueCount="142">
  <si>
    <t>Active Pressure Data</t>
  </si>
  <si>
    <t>Hight of the filled soil : h =</t>
  </si>
  <si>
    <t>m.</t>
  </si>
  <si>
    <t>Degree</t>
  </si>
  <si>
    <t>Select Soil Type =</t>
  </si>
  <si>
    <t>1.  ดินเหนียว     &gt;</t>
  </si>
  <si>
    <t>Clay</t>
  </si>
  <si>
    <t>Sand</t>
  </si>
  <si>
    <t xml:space="preserve">2.  ดินทราย      &gt;  </t>
  </si>
  <si>
    <t>Soil Type</t>
  </si>
  <si>
    <t>Equation</t>
  </si>
  <si>
    <t>Active Pressure</t>
  </si>
  <si>
    <t>Passive Pressure</t>
  </si>
  <si>
    <r>
      <t>σ</t>
    </r>
    <r>
      <rPr>
        <vertAlign val="subscript"/>
        <sz val="11"/>
        <color theme="1"/>
        <rFont val="Tahoma"/>
        <family val="2"/>
        <scheme val="major"/>
      </rPr>
      <t>a</t>
    </r>
    <r>
      <rPr>
        <sz val="11"/>
        <color theme="1"/>
        <rFont val="Tahoma"/>
        <family val="2"/>
        <scheme val="major"/>
      </rPr>
      <t xml:space="preserve"> = q + σv - 2C</t>
    </r>
    <r>
      <rPr>
        <vertAlign val="subscript"/>
        <sz val="11"/>
        <color theme="1"/>
        <rFont val="Tahoma"/>
        <family val="2"/>
        <scheme val="major"/>
      </rPr>
      <t>u</t>
    </r>
  </si>
  <si>
    <r>
      <t>σ</t>
    </r>
    <r>
      <rPr>
        <vertAlign val="subscript"/>
        <sz val="11"/>
        <color theme="1"/>
        <rFont val="Tahoma"/>
        <family val="2"/>
        <scheme val="major"/>
      </rPr>
      <t>p</t>
    </r>
    <r>
      <rPr>
        <sz val="11"/>
        <color theme="1"/>
        <rFont val="Tahoma"/>
        <family val="2"/>
        <scheme val="major"/>
      </rPr>
      <t xml:space="preserve"> = σv + 2C</t>
    </r>
    <r>
      <rPr>
        <vertAlign val="subscript"/>
        <sz val="11"/>
        <color theme="1"/>
        <rFont val="Tahoma"/>
        <family val="2"/>
        <scheme val="major"/>
      </rPr>
      <t>u</t>
    </r>
  </si>
  <si>
    <t>σp = σv Kp</t>
  </si>
  <si>
    <r>
      <t>σ</t>
    </r>
    <r>
      <rPr>
        <vertAlign val="subscript"/>
        <sz val="11"/>
        <color theme="1"/>
        <rFont val="Tahoma"/>
        <family val="2"/>
        <scheme val="major"/>
      </rPr>
      <t>p</t>
    </r>
    <r>
      <rPr>
        <sz val="11"/>
        <color theme="1"/>
        <rFont val="Tahoma"/>
        <family val="2"/>
        <scheme val="major"/>
      </rPr>
      <t xml:space="preserve"> = σv K</t>
    </r>
    <r>
      <rPr>
        <vertAlign val="subscript"/>
        <sz val="11"/>
        <color theme="1"/>
        <rFont val="Tahoma"/>
        <family val="2"/>
        <scheme val="major"/>
      </rPr>
      <t>p</t>
    </r>
  </si>
  <si>
    <r>
      <t>σa = q + σ</t>
    </r>
    <r>
      <rPr>
        <vertAlign val="subscript"/>
        <sz val="11"/>
        <color theme="1"/>
        <rFont val="Tahoma"/>
        <family val="2"/>
        <scheme val="major"/>
      </rPr>
      <t>v</t>
    </r>
    <r>
      <rPr>
        <sz val="11"/>
        <color theme="1"/>
        <rFont val="Tahoma"/>
        <family val="2"/>
        <scheme val="major"/>
      </rPr>
      <t>Ka</t>
    </r>
  </si>
  <si>
    <t>Фcs</t>
  </si>
  <si>
    <t>Ka</t>
  </si>
  <si>
    <t>Kp</t>
  </si>
  <si>
    <t>Surchard Load Design : q=</t>
  </si>
  <si>
    <t>Passive Pressure Data</t>
  </si>
  <si>
    <t>Embed pile distance : D =</t>
  </si>
  <si>
    <t>ระดับ m.</t>
  </si>
  <si>
    <r>
      <t>ระยะ / z</t>
    </r>
    <r>
      <rPr>
        <vertAlign val="subscript"/>
        <sz val="16"/>
        <color theme="1"/>
        <rFont val="Cordia New"/>
        <family val="2"/>
      </rPr>
      <t>a</t>
    </r>
  </si>
  <si>
    <r>
      <t>ระยะ / z</t>
    </r>
    <r>
      <rPr>
        <vertAlign val="subscript"/>
        <sz val="16"/>
        <color theme="1"/>
        <rFont val="Cordia New"/>
        <family val="2"/>
      </rPr>
      <t>p</t>
    </r>
  </si>
  <si>
    <r>
      <t>σv</t>
    </r>
    <r>
      <rPr>
        <vertAlign val="subscript"/>
        <sz val="16"/>
        <color theme="1"/>
        <rFont val="Cordia New"/>
        <family val="2"/>
      </rPr>
      <t>p</t>
    </r>
    <r>
      <rPr>
        <sz val="16"/>
        <color theme="1"/>
        <rFont val="Cordia New"/>
        <family val="2"/>
      </rPr>
      <t xml:space="preserve"> </t>
    </r>
  </si>
  <si>
    <r>
      <t>σv</t>
    </r>
    <r>
      <rPr>
        <vertAlign val="subscript"/>
        <sz val="16"/>
        <color theme="1"/>
        <rFont val="Cordia New"/>
        <family val="2"/>
      </rPr>
      <t>a</t>
    </r>
    <r>
      <rPr>
        <sz val="16"/>
        <color theme="1"/>
        <rFont val="Cordia New"/>
        <family val="2"/>
      </rPr>
      <t xml:space="preserve"> </t>
    </r>
  </si>
  <si>
    <t>Force</t>
  </si>
  <si>
    <r>
      <t xml:space="preserve"> (t/m</t>
    </r>
    <r>
      <rPr>
        <vertAlign val="superscript"/>
        <sz val="16"/>
        <color theme="1"/>
        <rFont val="Cordia New"/>
        <family val="2"/>
      </rPr>
      <t>2</t>
    </r>
    <r>
      <rPr>
        <sz val="16"/>
        <color theme="1"/>
        <rFont val="Cordia New"/>
        <family val="2"/>
      </rPr>
      <t>)</t>
    </r>
  </si>
  <si>
    <r>
      <t>σ</t>
    </r>
    <r>
      <rPr>
        <vertAlign val="subscript"/>
        <sz val="16"/>
        <color theme="1"/>
        <rFont val="Cordia New"/>
        <family val="2"/>
      </rPr>
      <t>p</t>
    </r>
    <r>
      <rPr>
        <sz val="16"/>
        <color theme="1"/>
        <rFont val="Cordia New"/>
        <family val="2"/>
      </rPr>
      <t>=σv</t>
    </r>
    <r>
      <rPr>
        <vertAlign val="subscript"/>
        <sz val="16"/>
        <color theme="1"/>
        <rFont val="Cordia New"/>
        <family val="2"/>
      </rPr>
      <t>p</t>
    </r>
    <r>
      <rPr>
        <sz val="16"/>
        <color theme="1"/>
        <rFont val="Cordia New"/>
        <family val="2"/>
      </rPr>
      <t>+2C</t>
    </r>
    <r>
      <rPr>
        <vertAlign val="subscript"/>
        <sz val="16"/>
        <color theme="1"/>
        <rFont val="Cordia New"/>
        <family val="2"/>
      </rPr>
      <t>u</t>
    </r>
  </si>
  <si>
    <t>Difference</t>
  </si>
  <si>
    <t>D</t>
  </si>
  <si>
    <r>
      <t>σ</t>
    </r>
    <r>
      <rPr>
        <vertAlign val="subscript"/>
        <sz val="16"/>
        <color theme="1"/>
        <rFont val="Cordia New"/>
        <family val="2"/>
      </rPr>
      <t>a</t>
    </r>
    <r>
      <rPr>
        <sz val="16"/>
        <color theme="1"/>
        <rFont val="Cordia New"/>
        <family val="2"/>
      </rPr>
      <t xml:space="preserve"> q+σv</t>
    </r>
    <r>
      <rPr>
        <vertAlign val="subscript"/>
        <sz val="16"/>
        <color theme="1"/>
        <rFont val="Cordia New"/>
        <family val="2"/>
      </rPr>
      <t>a</t>
    </r>
    <r>
      <rPr>
        <sz val="16"/>
        <color theme="1"/>
        <rFont val="Cordia New"/>
        <family val="2"/>
      </rPr>
      <t>-2C</t>
    </r>
    <r>
      <rPr>
        <vertAlign val="subscript"/>
        <sz val="16"/>
        <color theme="1"/>
        <rFont val="Cordia New"/>
        <family val="2"/>
      </rPr>
      <t>u</t>
    </r>
  </si>
  <si>
    <t>σa = q + σvKa</t>
  </si>
  <si>
    <t>Graph Data Input 1</t>
  </si>
  <si>
    <t>Graph Data Input 2</t>
  </si>
  <si>
    <t>Graph Data Input 3</t>
  </si>
  <si>
    <t>ระดับดินถม</t>
  </si>
  <si>
    <t>h  =</t>
  </si>
  <si>
    <t>Pa1 =</t>
  </si>
  <si>
    <t>Pa2 =</t>
  </si>
  <si>
    <t>Pp1 =</t>
  </si>
  <si>
    <t>Pp2 =</t>
  </si>
  <si>
    <t>x =</t>
  </si>
  <si>
    <t>a=h-x =</t>
  </si>
  <si>
    <t>a/3  =</t>
  </si>
  <si>
    <t>V1 =</t>
  </si>
  <si>
    <t>V2</t>
  </si>
  <si>
    <t>Mav1 =</t>
  </si>
  <si>
    <t>Mav2  =</t>
  </si>
  <si>
    <t>0.50D</t>
  </si>
  <si>
    <r>
      <t>(ทิศทางทวนเข็มเป็น + )    ƩM</t>
    </r>
    <r>
      <rPr>
        <vertAlign val="subscript"/>
        <sz val="16"/>
        <color theme="1"/>
        <rFont val="Cordia New"/>
        <family val="2"/>
      </rPr>
      <t>O</t>
    </r>
    <r>
      <rPr>
        <sz val="16"/>
        <color theme="1"/>
        <rFont val="Cordia New"/>
        <family val="2"/>
      </rPr>
      <t xml:space="preserve">  = 0 , Mv1 - Mv2 = 0 &gt;&gt;&gt;</t>
    </r>
  </si>
  <si>
    <t>&gt;&gt;&gt;</t>
  </si>
  <si>
    <t>A =</t>
  </si>
  <si>
    <t>B=</t>
  </si>
  <si>
    <t>C=</t>
  </si>
  <si>
    <t>Length D1 =</t>
  </si>
  <si>
    <t>Length D2 =</t>
  </si>
  <si>
    <t>Max Length D =</t>
  </si>
  <si>
    <t>V1</t>
  </si>
  <si>
    <t>Take Moment at Point</t>
  </si>
  <si>
    <t>Force Area</t>
  </si>
  <si>
    <t>Force  (t/m)</t>
  </si>
  <si>
    <t>Moment Arms(m.)</t>
  </si>
  <si>
    <t>Overtunning Moment @ End Pile</t>
  </si>
  <si>
    <t>F</t>
  </si>
  <si>
    <t>F=</t>
  </si>
  <si>
    <t>Safety of overturning moment =</t>
  </si>
  <si>
    <t>Tension force at head wall : F =</t>
  </si>
  <si>
    <t>Moment Force</t>
  </si>
  <si>
    <t>t/m.</t>
  </si>
  <si>
    <t>ระยะ ZA</t>
  </si>
  <si>
    <t>ระยะ ZP</t>
  </si>
  <si>
    <t>Area</t>
  </si>
  <si>
    <t>เส้นแสดง</t>
  </si>
  <si>
    <t>เสาเข็ม</t>
  </si>
  <si>
    <t>เส้นที่1</t>
  </si>
  <si>
    <t>เส้นที่ 2</t>
  </si>
  <si>
    <t>เส้นที่ 3</t>
  </si>
  <si>
    <t>เส้นรวม</t>
  </si>
  <si>
    <t>หัวกำแพง</t>
  </si>
  <si>
    <t>จุด X =0</t>
  </si>
  <si>
    <t>ตีนกำแพง</t>
  </si>
  <si>
    <t>ระดับ</t>
  </si>
  <si>
    <t>เส้นอ้างอิง</t>
  </si>
  <si>
    <t>ปลายเสาเข็ม</t>
  </si>
  <si>
    <t>Shear Line</t>
  </si>
  <si>
    <t>σva</t>
  </si>
  <si>
    <r>
      <t>σ</t>
    </r>
    <r>
      <rPr>
        <vertAlign val="subscript"/>
        <sz val="16"/>
        <color rgb="FF0000FF"/>
        <rFont val="Cordia New"/>
        <family val="2"/>
      </rPr>
      <t>a</t>
    </r>
    <r>
      <rPr>
        <sz val="16"/>
        <color rgb="FF0000FF"/>
        <rFont val="Cordia New"/>
        <family val="2"/>
      </rPr>
      <t xml:space="preserve"> q+σv</t>
    </r>
    <r>
      <rPr>
        <vertAlign val="subscript"/>
        <sz val="16"/>
        <color rgb="FF0000FF"/>
        <rFont val="Cordia New"/>
        <family val="2"/>
      </rPr>
      <t>a</t>
    </r>
    <r>
      <rPr>
        <sz val="16"/>
        <color rgb="FF0000FF"/>
        <rFont val="Cordia New"/>
        <family val="2"/>
      </rPr>
      <t>-2C</t>
    </r>
    <r>
      <rPr>
        <vertAlign val="subscript"/>
        <sz val="16"/>
        <color rgb="FF0000FF"/>
        <rFont val="Cordia New"/>
        <family val="2"/>
      </rPr>
      <t>u</t>
    </r>
  </si>
  <si>
    <r>
      <t>σ</t>
    </r>
    <r>
      <rPr>
        <vertAlign val="subscript"/>
        <sz val="16"/>
        <color rgb="FFFF0000"/>
        <rFont val="Cordia New"/>
        <family val="2"/>
      </rPr>
      <t>p</t>
    </r>
    <r>
      <rPr>
        <sz val="16"/>
        <color rgb="FFFF0000"/>
        <rFont val="Cordia New"/>
        <family val="2"/>
      </rPr>
      <t>=σv</t>
    </r>
    <r>
      <rPr>
        <vertAlign val="subscript"/>
        <sz val="16"/>
        <color rgb="FFFF0000"/>
        <rFont val="Cordia New"/>
        <family val="2"/>
      </rPr>
      <t>p</t>
    </r>
    <r>
      <rPr>
        <sz val="16"/>
        <color rgb="FFFF0000"/>
        <rFont val="Cordia New"/>
        <family val="2"/>
      </rPr>
      <t>+2C</t>
    </r>
    <r>
      <rPr>
        <vertAlign val="subscript"/>
        <sz val="16"/>
        <color rgb="FFFF0000"/>
        <rFont val="Cordia New"/>
        <family val="2"/>
      </rPr>
      <t>u</t>
    </r>
  </si>
  <si>
    <t>Mmax 1</t>
  </si>
  <si>
    <t>Mmax 2</t>
  </si>
  <si>
    <t>t-m/m</t>
  </si>
  <si>
    <t>Arms (m.)</t>
  </si>
  <si>
    <t>Moment Max. 1</t>
  </si>
  <si>
    <t>No. of force</t>
  </si>
  <si>
    <t>No.</t>
  </si>
  <si>
    <t>t/m</t>
  </si>
  <si>
    <t>Moment Max. 2</t>
  </si>
  <si>
    <t>Project :</t>
  </si>
  <si>
    <t>Owner :</t>
  </si>
  <si>
    <t>Location :</t>
  </si>
  <si>
    <r>
      <t>Soil unit weight : γ</t>
    </r>
    <r>
      <rPr>
        <vertAlign val="subscript"/>
        <sz val="9"/>
        <color theme="1"/>
        <rFont val="Tahoma"/>
        <family val="2"/>
        <scheme val="major"/>
      </rPr>
      <t>t</t>
    </r>
    <r>
      <rPr>
        <sz val="9"/>
        <color theme="1"/>
        <rFont val="Tahoma"/>
        <family val="2"/>
        <scheme val="major"/>
      </rPr>
      <t xml:space="preserve"> =</t>
    </r>
  </si>
  <si>
    <r>
      <t>t/m</t>
    </r>
    <r>
      <rPr>
        <vertAlign val="superscript"/>
        <sz val="9"/>
        <color theme="1"/>
        <rFont val="Tahoma"/>
        <family val="2"/>
        <scheme val="major"/>
      </rPr>
      <t>3</t>
    </r>
  </si>
  <si>
    <r>
      <t>Undrain shear strength : C</t>
    </r>
    <r>
      <rPr>
        <vertAlign val="subscript"/>
        <sz val="9"/>
        <color theme="1"/>
        <rFont val="Tahoma"/>
        <family val="2"/>
        <scheme val="major"/>
      </rPr>
      <t>u</t>
    </r>
    <r>
      <rPr>
        <sz val="9"/>
        <color theme="1"/>
        <rFont val="Tahoma"/>
        <family val="2"/>
        <scheme val="major"/>
      </rPr>
      <t xml:space="preserve"> =</t>
    </r>
  </si>
  <si>
    <r>
      <t>t/m</t>
    </r>
    <r>
      <rPr>
        <vertAlign val="superscript"/>
        <sz val="9"/>
        <color theme="1"/>
        <rFont val="Tahoma"/>
        <family val="2"/>
        <scheme val="major"/>
      </rPr>
      <t>2</t>
    </r>
  </si>
  <si>
    <r>
      <t>Soil fiction degree : Ф</t>
    </r>
    <r>
      <rPr>
        <vertAlign val="subscript"/>
        <sz val="9"/>
        <color theme="1"/>
        <rFont val="Tahoma"/>
        <family val="2"/>
        <scheme val="major"/>
      </rPr>
      <t>cs</t>
    </r>
    <r>
      <rPr>
        <sz val="9"/>
        <color theme="1"/>
        <rFont val="Tahoma"/>
        <family val="2"/>
        <scheme val="major"/>
      </rPr>
      <t xml:space="preserve"> =</t>
    </r>
  </si>
  <si>
    <r>
      <t>M</t>
    </r>
    <r>
      <rPr>
        <vertAlign val="subscript"/>
        <sz val="9"/>
        <color theme="1"/>
        <rFont val="Tahoma"/>
        <family val="2"/>
        <scheme val="major"/>
      </rPr>
      <t>max 1</t>
    </r>
    <r>
      <rPr>
        <sz val="9"/>
        <color theme="1"/>
        <rFont val="Tahoma"/>
        <family val="2"/>
        <scheme val="major"/>
      </rPr>
      <t xml:space="preserve"> =</t>
    </r>
  </si>
  <si>
    <r>
      <t>M</t>
    </r>
    <r>
      <rPr>
        <vertAlign val="subscript"/>
        <sz val="9"/>
        <color theme="1"/>
        <rFont val="Tahoma"/>
        <family val="2"/>
        <scheme val="major"/>
      </rPr>
      <t>max 2</t>
    </r>
    <r>
      <rPr>
        <sz val="9"/>
        <color theme="1"/>
        <rFont val="Tahoma"/>
        <family val="2"/>
        <scheme val="major"/>
      </rPr>
      <t xml:space="preserve"> =</t>
    </r>
  </si>
  <si>
    <t>Retaining wall type :</t>
  </si>
  <si>
    <t>Engineering Design :</t>
  </si>
  <si>
    <t>Date :</t>
  </si>
  <si>
    <t>Summary of calculation design</t>
  </si>
  <si>
    <t>Concrete Pile</t>
  </si>
  <si>
    <t>Mr.Arnon-K</t>
  </si>
  <si>
    <t>t/m per wall</t>
  </si>
  <si>
    <t xml:space="preserve">     3.  Maximum of Shear force :  S =</t>
  </si>
  <si>
    <t>t-m/m per wall</t>
  </si>
  <si>
    <r>
      <t>4.  Moment max : M</t>
    </r>
    <r>
      <rPr>
        <vertAlign val="subscript"/>
        <sz val="9"/>
        <color theme="1"/>
        <rFont val="Tahoma"/>
        <family val="2"/>
        <scheme val="major"/>
      </rPr>
      <t>max</t>
    </r>
    <r>
      <rPr>
        <sz val="9"/>
        <color theme="1"/>
        <rFont val="Tahoma"/>
        <family val="2"/>
        <scheme val="major"/>
      </rPr>
      <t xml:space="preserve"> =</t>
    </r>
  </si>
  <si>
    <t xml:space="preserve">       1.1  Head wall distance :     h =</t>
  </si>
  <si>
    <t xml:space="preserve">      1.2  Embed wall distance :   D =</t>
  </si>
  <si>
    <t>Table of maximum moment calculation   ClockWise (+)</t>
  </si>
  <si>
    <t>คำแนะนำสำหรับการใช้โปรแกรม Spread Sheet</t>
  </si>
  <si>
    <t>1. ตัวหนังสือสีน้ำเงินคือค่าที่จะต้องทำการกรอกลงไป</t>
  </si>
  <si>
    <t>2. ตัวหนังสือสีดำคือค่าที่ได้จากการคำนวณ</t>
  </si>
  <si>
    <t>ในการคำนวณหาแรงดันดินด้านข้างที่กระทำกับเสาเข็มกำแพงกันดิน</t>
  </si>
  <si>
    <t>**------**---ขอให้ทุกท่านมีความสุข ข้าพเจ้าจัดทำขึ้นมาเพื่อแบ่งปันและพัฒนาฝีมือตนเอง</t>
  </si>
  <si>
    <t>ในการทำโปรแกรมออกแบบงานทางวิศวกรรม ตามทฤษฏี หากผิดพลาดประการใด</t>
  </si>
  <si>
    <t>ข้าพเจ้าขอน้อมรับและจะนำไปปรับปรุงแก้ไข ให้ดีขึ้นเรื่อยๆ***-----***---</t>
  </si>
  <si>
    <t>ขอแสดงความนับถือท่านทั้งหลาย</t>
  </si>
  <si>
    <t>นายอานนท์  แซ้นสีดา</t>
  </si>
  <si>
    <t>วิศวกรโยธา เลขทะเบียน : ภย.93938</t>
  </si>
  <si>
    <t>ข้อมูลอ้างอิง</t>
  </si>
  <si>
    <t>1.  ทฤษฏีแรงดันดินด้านข้างของ Rankine (1857)  จากหนังสือคู่มือวิศวกรรมฐานราก ฉบับปรับปรุงเพิ่มเติม  ผู้เขียน ดร.พัลลภ วิสุทธิเมธากุล</t>
  </si>
  <si>
    <t>2. การออกแบบคอนกรีตอัดแรง  Prestress Cocrete ตัวอย่างที่ 5.4 การออกแบบคานยื่น คอนกรีตอัดแรง หน้าที่ 153 ออกแบบโดยทฤษฎีอีลาสติก</t>
  </si>
  <si>
    <t>ผู้เขียนหนังสือ  ดร.นเรศ พันธราธร</t>
  </si>
  <si>
    <t>3. Spread Sheet ตัวนี้เป็นเพียงการออกแบบหาความยาวของวัสดุปักกันดิน ซึ่งผู้ใช้สามารถเปลี่ยนเป็น</t>
  </si>
  <si>
    <t>เสาเข็มหรือเข็มพืด (SHEET PILE ) ได้  โดยหลักการออกแบบ ใช้ทฤษฏีสมดุลแรง  Take Moment</t>
  </si>
  <si>
    <t>แก้สมการหาระยะฝังประสิทธิผล D</t>
  </si>
  <si>
    <t xml:space="preserve">4. Spread Sheet ตัวนี้ ออกแบบได้เฉพาะกรณีที่เป็นดินเหนียวโดยใช้ ทฤษฎีของ Rankine(1857)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</si>
</sst>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0.000"/>
    <numFmt numFmtId="188" formatCode="#,##0.000"/>
    <numFmt numFmtId="189" formatCode="#,##0.0000"/>
    <numFmt numFmtId="190" formatCode="#,##0.0"/>
  </numFmts>
  <fonts count="33" x14ac:knownFonts="1">
    <font>
      <sz val="16"/>
      <color theme="1"/>
      <name val="AngsanaUPC"/>
      <family val="2"/>
    </font>
    <font>
      <sz val="16"/>
      <color theme="1"/>
      <name val="AngsanaUPC"/>
      <family val="2"/>
    </font>
    <font>
      <sz val="16"/>
      <color rgb="FFFF0000"/>
      <name val="AngsanaUPC"/>
      <family val="2"/>
    </font>
    <font>
      <sz val="11"/>
      <color theme="1"/>
      <name val="Tahoma"/>
      <family val="2"/>
      <scheme val="major"/>
    </font>
    <font>
      <vertAlign val="subscript"/>
      <sz val="11"/>
      <color theme="1"/>
      <name val="Tahoma"/>
      <family val="2"/>
      <scheme val="major"/>
    </font>
    <font>
      <sz val="8"/>
      <name val="AngsanaUPC"/>
      <family val="2"/>
    </font>
    <font>
      <sz val="16"/>
      <color theme="1"/>
      <name val="Cordia New"/>
      <family val="2"/>
    </font>
    <font>
      <vertAlign val="subscript"/>
      <sz val="16"/>
      <color theme="1"/>
      <name val="Cordia New"/>
      <family val="2"/>
    </font>
    <font>
      <vertAlign val="superscript"/>
      <sz val="16"/>
      <color theme="1"/>
      <name val="Cordia New"/>
      <family val="2"/>
    </font>
    <font>
      <sz val="12"/>
      <color theme="1"/>
      <name val="Cordia New"/>
      <family val="2"/>
    </font>
    <font>
      <sz val="11"/>
      <color rgb="FF0000FF"/>
      <name val="Tahoma"/>
      <family val="2"/>
      <scheme val="major"/>
    </font>
    <font>
      <b/>
      <sz val="18"/>
      <color theme="1"/>
      <name val="Cordia New"/>
      <family val="2"/>
    </font>
    <font>
      <sz val="11"/>
      <name val="Tahoma"/>
      <family val="2"/>
      <scheme val="major"/>
    </font>
    <font>
      <sz val="11"/>
      <color rgb="FF00B050"/>
      <name val="Tahoma"/>
      <family val="2"/>
      <scheme val="major"/>
    </font>
    <font>
      <sz val="16"/>
      <name val="AngsanaUPC"/>
      <family val="2"/>
    </font>
    <font>
      <sz val="16"/>
      <color rgb="FF0000FF"/>
      <name val="Cordia New"/>
      <family val="2"/>
    </font>
    <font>
      <vertAlign val="subscript"/>
      <sz val="16"/>
      <color rgb="FF0000FF"/>
      <name val="Cordia New"/>
      <family val="2"/>
    </font>
    <font>
      <sz val="16"/>
      <color rgb="FFFF0000"/>
      <name val="Cordia New"/>
      <family val="2"/>
    </font>
    <font>
      <vertAlign val="subscript"/>
      <sz val="16"/>
      <color rgb="FFFF0000"/>
      <name val="Cordia New"/>
      <family val="2"/>
    </font>
    <font>
      <sz val="9"/>
      <color theme="1"/>
      <name val="Tahoma"/>
      <family val="2"/>
      <scheme val="major"/>
    </font>
    <font>
      <b/>
      <u/>
      <sz val="9"/>
      <color theme="1"/>
      <name val="Tahoma"/>
      <family val="2"/>
      <scheme val="major"/>
    </font>
    <font>
      <b/>
      <sz val="9"/>
      <color rgb="FF0000FF"/>
      <name val="Tahoma"/>
      <family val="2"/>
      <scheme val="major"/>
    </font>
    <font>
      <vertAlign val="subscript"/>
      <sz val="9"/>
      <color theme="1"/>
      <name val="Tahoma"/>
      <family val="2"/>
      <scheme val="major"/>
    </font>
    <font>
      <vertAlign val="superscript"/>
      <sz val="9"/>
      <color theme="1"/>
      <name val="Tahoma"/>
      <family val="2"/>
      <scheme val="major"/>
    </font>
    <font>
      <b/>
      <sz val="9"/>
      <name val="Tahoma"/>
      <family val="2"/>
      <scheme val="major"/>
    </font>
    <font>
      <u/>
      <sz val="9"/>
      <color theme="1"/>
      <name val="Tahoma"/>
      <family val="2"/>
      <scheme val="major"/>
    </font>
    <font>
      <sz val="8"/>
      <color theme="1"/>
      <name val="Tahoma"/>
      <family val="2"/>
      <scheme val="major"/>
    </font>
    <font>
      <sz val="11"/>
      <name val="Cordia New"/>
      <family val="2"/>
    </font>
    <font>
      <b/>
      <sz val="16"/>
      <name val="Cordia New"/>
      <family val="2"/>
    </font>
    <font>
      <b/>
      <sz val="11"/>
      <color rgb="FF0000FF"/>
      <name val="Cordia New"/>
      <family val="2"/>
    </font>
    <font>
      <b/>
      <sz val="11"/>
      <name val="Cordia New"/>
      <family val="2"/>
    </font>
    <font>
      <b/>
      <sz val="11"/>
      <color theme="4" tint="-0.249977111117893"/>
      <name val="Cordia New"/>
      <family val="2"/>
    </font>
    <font>
      <b/>
      <sz val="10"/>
      <name val="Tahom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theme="0" tint="-0.14996795556505021"/>
      </bottom>
      <diagonal/>
    </border>
    <border>
      <left/>
      <right style="thin">
        <color indexed="64"/>
      </right>
      <top/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0" tint="-0.14996795556505021"/>
      </top>
      <bottom/>
      <diagonal/>
    </border>
    <border>
      <left/>
      <right style="thin">
        <color indexed="64"/>
      </right>
      <top style="dashed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19" fillId="5" borderId="0" xfId="0" applyFont="1" applyFill="1" applyAlignment="1" applyProtection="1">
      <alignment horizontal="right" vertical="center"/>
    </xf>
    <xf numFmtId="0" fontId="19" fillId="5" borderId="0" xfId="0" applyFont="1" applyFill="1" applyAlignment="1" applyProtection="1">
      <alignment horizontal="right" vertical="center"/>
    </xf>
    <xf numFmtId="0" fontId="27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4" fontId="3" fillId="0" borderId="0" xfId="0" applyNumberFormat="1" applyFont="1" applyAlignment="1" applyProtection="1">
      <alignment horizontal="center" vertical="center"/>
    </xf>
    <xf numFmtId="189" fontId="3" fillId="0" borderId="0" xfId="0" applyNumberFormat="1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3" fillId="5" borderId="40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187" fontId="3" fillId="0" borderId="0" xfId="0" applyNumberFormat="1" applyFont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3" fillId="4" borderId="0" xfId="0" applyFont="1" applyFill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left" vertical="center"/>
    </xf>
    <xf numFmtId="0" fontId="19" fillId="2" borderId="15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horizontal="right" vertical="center"/>
    </xf>
    <xf numFmtId="0" fontId="19" fillId="2" borderId="21" xfId="0" applyFont="1" applyFill="1" applyBorder="1" applyAlignment="1" applyProtection="1">
      <alignment horizontal="center" vertical="center"/>
    </xf>
    <xf numFmtId="0" fontId="29" fillId="2" borderId="0" xfId="0" applyFont="1" applyFill="1" applyAlignment="1" applyProtection="1">
      <alignment horizontal="left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4" fontId="32" fillId="2" borderId="16" xfId="0" applyNumberFormat="1" applyFont="1" applyFill="1" applyBorder="1" applyAlignment="1" applyProtection="1">
      <alignment horizontal="center" vertical="center"/>
    </xf>
    <xf numFmtId="4" fontId="32" fillId="2" borderId="23" xfId="0" applyNumberFormat="1" applyFont="1" applyFill="1" applyBorder="1" applyAlignment="1" applyProtection="1">
      <alignment horizontal="center" vertical="center"/>
    </xf>
    <xf numFmtId="0" fontId="30" fillId="2" borderId="0" xfId="0" applyFont="1" applyFill="1" applyAlignment="1" applyProtection="1">
      <alignment horizontal="left"/>
    </xf>
    <xf numFmtId="0" fontId="6" fillId="0" borderId="9" xfId="0" applyFont="1" applyBorder="1" applyAlignment="1" applyProtection="1">
      <alignment horizontal="center" vertical="center"/>
    </xf>
    <xf numFmtId="187" fontId="6" fillId="0" borderId="2" xfId="1" applyNumberFormat="1" applyFont="1" applyFill="1" applyBorder="1" applyAlignment="1" applyProtection="1">
      <alignment horizontal="center" vertical="center"/>
    </xf>
    <xf numFmtId="187" fontId="6" fillId="0" borderId="7" xfId="1" applyNumberFormat="1" applyFont="1" applyFill="1" applyBorder="1" applyAlignment="1" applyProtection="1">
      <alignment vertical="center"/>
    </xf>
    <xf numFmtId="0" fontId="19" fillId="2" borderId="22" xfId="0" applyFont="1" applyFill="1" applyBorder="1" applyAlignment="1" applyProtection="1">
      <alignment horizontal="center" vertical="center"/>
    </xf>
    <xf numFmtId="0" fontId="19" fillId="2" borderId="16" xfId="0" applyFont="1" applyFill="1" applyBorder="1" applyAlignment="1" applyProtection="1">
      <alignment horizontal="center" vertical="center"/>
    </xf>
    <xf numFmtId="0" fontId="19" fillId="2" borderId="16" xfId="0" applyFont="1" applyFill="1" applyBorder="1" applyAlignment="1" applyProtection="1">
      <alignment horizontal="right" vertical="center"/>
    </xf>
    <xf numFmtId="188" fontId="21" fillId="2" borderId="16" xfId="0" applyNumberFormat="1" applyFont="1" applyFill="1" applyBorder="1" applyAlignment="1" applyProtection="1">
      <alignment horizontal="center" vertical="center"/>
    </xf>
    <xf numFmtId="0" fontId="19" fillId="2" borderId="2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0" fontId="0" fillId="0" borderId="0" xfId="0" applyProtection="1"/>
    <xf numFmtId="189" fontId="3" fillId="0" borderId="0" xfId="0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left" vertical="center"/>
    </xf>
    <xf numFmtId="0" fontId="19" fillId="2" borderId="26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right" vertical="center"/>
    </xf>
    <xf numFmtId="0" fontId="19" fillId="2" borderId="27" xfId="0" applyFont="1" applyFill="1" applyBorder="1" applyAlignment="1" applyProtection="1">
      <alignment horizontal="center" vertical="center"/>
    </xf>
    <xf numFmtId="190" fontId="3" fillId="0" borderId="0" xfId="0" applyNumberFormat="1" applyFont="1" applyAlignment="1" applyProtection="1">
      <alignment horizontal="left" vertical="center"/>
    </xf>
    <xf numFmtId="190" fontId="3" fillId="0" borderId="0" xfId="0" applyNumberFormat="1" applyFont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/>
    </xf>
    <xf numFmtId="0" fontId="20" fillId="3" borderId="24" xfId="0" applyFont="1" applyFill="1" applyBorder="1" applyAlignment="1" applyProtection="1">
      <alignment horizontal="left" vertical="center"/>
    </xf>
    <xf numFmtId="0" fontId="19" fillId="3" borderId="0" xfId="0" applyFont="1" applyFill="1" applyAlignment="1" applyProtection="1">
      <alignment horizontal="center" vertical="center"/>
    </xf>
    <xf numFmtId="0" fontId="19" fillId="3" borderId="25" xfId="0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right" vertical="center"/>
    </xf>
    <xf numFmtId="0" fontId="32" fillId="3" borderId="15" xfId="0" applyFont="1" applyFill="1" applyBorder="1" applyAlignment="1" applyProtection="1">
      <alignment horizontal="center" vertical="center"/>
    </xf>
    <xf numFmtId="0" fontId="32" fillId="3" borderId="21" xfId="0" applyFont="1" applyFill="1" applyBorder="1" applyAlignment="1" applyProtection="1">
      <alignment horizontal="center" vertical="center"/>
    </xf>
    <xf numFmtId="0" fontId="19" fillId="3" borderId="22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right" vertical="center"/>
    </xf>
    <xf numFmtId="188" fontId="21" fillId="3" borderId="16" xfId="0" applyNumberFormat="1" applyFont="1" applyFill="1" applyBorder="1" applyAlignment="1" applyProtection="1">
      <alignment horizontal="center" vertical="center"/>
    </xf>
    <xf numFmtId="0" fontId="19" fillId="3" borderId="23" xfId="0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left"/>
    </xf>
    <xf numFmtId="0" fontId="31" fillId="2" borderId="0" xfId="0" applyFont="1" applyFill="1" applyAlignment="1" applyProtection="1">
      <alignment horizontal="center"/>
    </xf>
    <xf numFmtId="0" fontId="19" fillId="3" borderId="26" xfId="0" applyFont="1" applyFill="1" applyBorder="1" applyAlignment="1" applyProtection="1">
      <alignment horizontal="center" vertical="center"/>
    </xf>
    <xf numFmtId="0" fontId="19" fillId="3" borderId="17" xfId="0" applyFont="1" applyFill="1" applyBorder="1" applyAlignment="1" applyProtection="1">
      <alignment horizontal="center" vertical="center"/>
    </xf>
    <xf numFmtId="0" fontId="19" fillId="3" borderId="17" xfId="0" applyFont="1" applyFill="1" applyBorder="1" applyAlignment="1" applyProtection="1">
      <alignment horizontal="right" vertical="center"/>
    </xf>
    <xf numFmtId="188" fontId="24" fillId="3" borderId="17" xfId="0" applyNumberFormat="1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30" fillId="2" borderId="0" xfId="0" applyFont="1" applyFill="1" applyAlignment="1" applyProtection="1">
      <alignment horizont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/>
    </xf>
    <xf numFmtId="0" fontId="27" fillId="2" borderId="0" xfId="0" applyFont="1" applyFill="1" applyAlignment="1" applyProtection="1">
      <alignment horizontal="left"/>
    </xf>
    <xf numFmtId="190" fontId="3" fillId="0" borderId="0" xfId="0" applyNumberFormat="1" applyFont="1" applyAlignment="1" applyProtection="1">
      <alignment horizontal="center"/>
    </xf>
    <xf numFmtId="4" fontId="6" fillId="0" borderId="2" xfId="0" quotePrefix="1" applyNumberFormat="1" applyFont="1" applyBorder="1" applyAlignment="1" applyProtection="1">
      <alignment horizontal="center" vertical="center"/>
    </xf>
    <xf numFmtId="2" fontId="6" fillId="0" borderId="2" xfId="0" quotePrefix="1" applyNumberFormat="1" applyFont="1" applyBorder="1" applyAlignment="1" applyProtection="1">
      <alignment horizontal="center" vertical="center"/>
    </xf>
    <xf numFmtId="187" fontId="6" fillId="0" borderId="2" xfId="0" applyNumberFormat="1" applyFont="1" applyBorder="1" applyAlignment="1" applyProtection="1">
      <alignment horizontal="center" vertical="center"/>
    </xf>
    <xf numFmtId="187" fontId="6" fillId="0" borderId="2" xfId="0" applyNumberFormat="1" applyFont="1" applyBorder="1" applyAlignment="1" applyProtection="1">
      <alignment vertical="center"/>
    </xf>
    <xf numFmtId="187" fontId="6" fillId="0" borderId="2" xfId="0" applyNumberFormat="1" applyFont="1" applyBorder="1" applyProtection="1"/>
    <xf numFmtId="0" fontId="3" fillId="0" borderId="0" xfId="0" applyFont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" fontId="13" fillId="0" borderId="2" xfId="0" applyNumberFormat="1" applyFont="1" applyBorder="1" applyAlignment="1" applyProtection="1">
      <alignment horizontal="center"/>
    </xf>
    <xf numFmtId="4" fontId="12" fillId="0" borderId="7" xfId="0" applyNumberFormat="1" applyFont="1" applyBorder="1" applyAlignment="1" applyProtection="1">
      <alignment horizontal="center"/>
    </xf>
    <xf numFmtId="4" fontId="12" fillId="0" borderId="33" xfId="0" applyNumberFormat="1" applyFont="1" applyBorder="1" applyAlignment="1" applyProtection="1">
      <alignment horizontal="center"/>
    </xf>
    <xf numFmtId="4" fontId="12" fillId="0" borderId="8" xfId="0" applyNumberFormat="1" applyFont="1" applyBorder="1" applyAlignment="1" applyProtection="1">
      <alignment horizontal="center"/>
    </xf>
    <xf numFmtId="188" fontId="10" fillId="0" borderId="34" xfId="0" applyNumberFormat="1" applyFont="1" applyBorder="1" applyAlignment="1" applyProtection="1">
      <alignment horizontal="center"/>
    </xf>
    <xf numFmtId="4" fontId="2" fillId="0" borderId="34" xfId="0" applyNumberFormat="1" applyFont="1" applyBorder="1" applyProtection="1"/>
    <xf numFmtId="4" fontId="12" fillId="0" borderId="2" xfId="0" applyNumberFormat="1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center"/>
    </xf>
    <xf numFmtId="4" fontId="3" fillId="0" borderId="0" xfId="0" applyNumberFormat="1" applyFont="1" applyAlignment="1" applyProtection="1">
      <alignment horizontal="left"/>
    </xf>
    <xf numFmtId="187" fontId="6" fillId="0" borderId="7" xfId="0" applyNumberFormat="1" applyFont="1" applyBorder="1" applyAlignment="1" applyProtection="1">
      <alignment vertical="center"/>
    </xf>
    <xf numFmtId="2" fontId="6" fillId="0" borderId="2" xfId="0" applyNumberFormat="1" applyFont="1" applyBorder="1" applyAlignment="1" applyProtection="1">
      <alignment horizontal="center" vertical="center"/>
    </xf>
    <xf numFmtId="2" fontId="6" fillId="0" borderId="2" xfId="0" quotePrefix="1" applyNumberFormat="1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187" fontId="9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2" fontId="6" fillId="0" borderId="0" xfId="0" quotePrefix="1" applyNumberFormat="1" applyFont="1" applyAlignment="1" applyProtection="1">
      <alignment vertical="center"/>
    </xf>
    <xf numFmtId="4" fontId="6" fillId="0" borderId="0" xfId="0" applyNumberFormat="1" applyFont="1" applyAlignment="1" applyProtection="1">
      <alignment horizontal="center" vertical="center"/>
    </xf>
    <xf numFmtId="187" fontId="6" fillId="0" borderId="0" xfId="0" applyNumberFormat="1" applyFont="1" applyAlignment="1" applyProtection="1">
      <alignment horizontal="center" vertical="center"/>
    </xf>
    <xf numFmtId="187" fontId="6" fillId="0" borderId="0" xfId="0" applyNumberFormat="1" applyFont="1" applyAlignment="1" applyProtection="1">
      <alignment horizontal="right" vertical="center"/>
    </xf>
    <xf numFmtId="188" fontId="6" fillId="0" borderId="0" xfId="0" applyNumberFormat="1" applyFont="1" applyAlignment="1" applyProtection="1">
      <alignment horizontal="center" vertical="center"/>
    </xf>
    <xf numFmtId="187" fontId="6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</xf>
    <xf numFmtId="187" fontId="6" fillId="0" borderId="0" xfId="0" applyNumberFormat="1" applyFont="1" applyAlignment="1" applyProtection="1">
      <alignment horizontal="center"/>
    </xf>
    <xf numFmtId="0" fontId="27" fillId="2" borderId="0" xfId="0" applyFont="1" applyFill="1" applyProtection="1"/>
    <xf numFmtId="187" fontId="9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187" fontId="6" fillId="0" borderId="0" xfId="0" applyNumberFormat="1" applyFont="1" applyProtection="1"/>
    <xf numFmtId="0" fontId="3" fillId="0" borderId="0" xfId="0" applyFont="1" applyAlignment="1" applyProtection="1">
      <alignment horizontal="right"/>
    </xf>
    <xf numFmtId="187" fontId="3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19" fillId="5" borderId="0" xfId="0" applyFont="1" applyFill="1" applyAlignment="1" applyProtection="1">
      <alignment horizontal="center" vertical="center"/>
    </xf>
    <xf numFmtId="0" fontId="20" fillId="5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2" fontId="6" fillId="0" borderId="0" xfId="0" applyNumberFormat="1" applyFont="1" applyAlignment="1" applyProtection="1">
      <alignment horizontal="center" vertical="center"/>
    </xf>
    <xf numFmtId="4" fontId="19" fillId="5" borderId="0" xfId="0" applyNumberFormat="1" applyFont="1" applyFill="1" applyAlignment="1" applyProtection="1">
      <alignment horizontal="center" vertical="center"/>
    </xf>
    <xf numFmtId="0" fontId="25" fillId="5" borderId="0" xfId="0" applyFont="1" applyFill="1" applyAlignment="1" applyProtection="1">
      <alignment horizontal="left" vertical="center"/>
    </xf>
    <xf numFmtId="0" fontId="19" fillId="5" borderId="0" xfId="0" quotePrefix="1" applyFont="1" applyFill="1" applyAlignment="1" applyProtection="1">
      <alignment horizontal="left" vertical="center"/>
    </xf>
    <xf numFmtId="0" fontId="26" fillId="5" borderId="0" xfId="0" applyFont="1" applyFill="1" applyAlignment="1" applyProtection="1">
      <alignment horizontal="center" vertical="center"/>
    </xf>
    <xf numFmtId="187" fontId="11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9" fillId="5" borderId="2" xfId="0" applyFont="1" applyFill="1" applyBorder="1" applyAlignment="1" applyProtection="1">
      <alignment horizontal="center" vertical="center"/>
    </xf>
    <xf numFmtId="0" fontId="19" fillId="5" borderId="0" xfId="0" quotePrefix="1" applyFont="1" applyFill="1" applyAlignment="1" applyProtection="1">
      <alignment horizontal="center" vertical="center"/>
    </xf>
    <xf numFmtId="0" fontId="19" fillId="5" borderId="0" xfId="0" applyFont="1" applyFill="1" applyAlignment="1" applyProtection="1">
      <alignment horizontal="center" vertical="center"/>
    </xf>
    <xf numFmtId="0" fontId="19" fillId="5" borderId="2" xfId="0" applyFont="1" applyFill="1" applyBorder="1" applyAlignment="1" applyProtection="1">
      <alignment horizontal="center" vertical="center"/>
    </xf>
    <xf numFmtId="4" fontId="19" fillId="5" borderId="0" xfId="0" applyNumberFormat="1" applyFont="1" applyFill="1" applyAlignment="1" applyProtection="1">
      <alignment horizontal="center"/>
    </xf>
    <xf numFmtId="4" fontId="19" fillId="5" borderId="2" xfId="0" applyNumberFormat="1" applyFont="1" applyFill="1" applyBorder="1" applyAlignment="1" applyProtection="1">
      <alignment horizontal="center" vertical="center"/>
    </xf>
    <xf numFmtId="0" fontId="19" fillId="5" borderId="24" xfId="0" quotePrefix="1" applyFont="1" applyFill="1" applyBorder="1" applyAlignment="1" applyProtection="1">
      <alignment horizontal="center" vertical="center"/>
    </xf>
    <xf numFmtId="0" fontId="19" fillId="5" borderId="7" xfId="0" applyFont="1" applyFill="1" applyBorder="1" applyAlignment="1" applyProtection="1">
      <alignment horizontal="center" vertical="center"/>
    </xf>
    <xf numFmtId="4" fontId="19" fillId="5" borderId="9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/>
    </xf>
    <xf numFmtId="0" fontId="19" fillId="0" borderId="0" xfId="0" quotePrefix="1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/>
    </xf>
    <xf numFmtId="0" fontId="27" fillId="0" borderId="0" xfId="0" applyFont="1" applyProtection="1"/>
    <xf numFmtId="4" fontId="10" fillId="0" borderId="34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left"/>
    </xf>
    <xf numFmtId="4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" fontId="12" fillId="0" borderId="5" xfId="0" applyNumberFormat="1" applyFont="1" applyBorder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4" fontId="14" fillId="0" borderId="0" xfId="0" applyNumberFormat="1" applyFont="1" applyProtection="1"/>
    <xf numFmtId="189" fontId="3" fillId="0" borderId="0" xfId="0" applyNumberFormat="1" applyFont="1" applyAlignment="1" applyProtection="1">
      <alignment horizontal="left"/>
    </xf>
    <xf numFmtId="2" fontId="3" fillId="0" borderId="0" xfId="0" applyNumberFormat="1" applyFont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19" fillId="5" borderId="14" xfId="0" applyFont="1" applyFill="1" applyBorder="1" applyAlignment="1" applyProtection="1">
      <alignment horizontal="center" vertical="center"/>
      <protection locked="0"/>
    </xf>
    <xf numFmtId="0" fontId="21" fillId="5" borderId="41" xfId="0" applyFont="1" applyFill="1" applyBorder="1" applyAlignment="1" applyProtection="1">
      <alignment horizontal="center" vertical="center"/>
      <protection locked="0"/>
    </xf>
    <xf numFmtId="15" fontId="19" fillId="5" borderId="41" xfId="0" applyNumberFormat="1" applyFont="1" applyFill="1" applyBorder="1" applyAlignment="1" applyProtection="1">
      <alignment horizontal="center" vertical="center"/>
      <protection locked="0"/>
    </xf>
    <xf numFmtId="0" fontId="19" fillId="5" borderId="41" xfId="0" applyFont="1" applyFill="1" applyBorder="1" applyAlignment="1" applyProtection="1">
      <alignment horizontal="center" vertical="center"/>
      <protection locked="0"/>
    </xf>
    <xf numFmtId="188" fontId="21" fillId="2" borderId="16" xfId="0" applyNumberFormat="1" applyFont="1" applyFill="1" applyBorder="1" applyAlignment="1" applyProtection="1">
      <alignment horizontal="center" vertical="center"/>
      <protection locked="0"/>
    </xf>
    <xf numFmtId="188" fontId="21" fillId="2" borderId="17" xfId="0" applyNumberFormat="1" applyFont="1" applyFill="1" applyBorder="1" applyAlignment="1" applyProtection="1">
      <alignment horizontal="center" vertical="center"/>
      <protection locked="0"/>
    </xf>
    <xf numFmtId="188" fontId="21" fillId="3" borderId="16" xfId="0" applyNumberFormat="1" applyFont="1" applyFill="1" applyBorder="1" applyAlignment="1" applyProtection="1">
      <alignment horizontal="center" vertical="center"/>
      <protection locked="0"/>
    </xf>
    <xf numFmtId="4" fontId="21" fillId="5" borderId="0" xfId="0" applyNumberFormat="1" applyFont="1" applyFill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1">
    <dxf>
      <font>
        <color rgb="FFFFFF00"/>
      </font>
    </dxf>
  </dxfs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เส้นแสดงเสาเข็ม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Sheet1!$AQ$4:$AQ$7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Sheet1!$AR$4:$AR$7</c:f>
              <c:numCache>
                <c:formatCode>General</c:formatCode>
                <c:ptCount val="4"/>
                <c:pt idx="0">
                  <c:v>2.5</c:v>
                </c:pt>
                <c:pt idx="1">
                  <c:v>0</c:v>
                </c:pt>
                <c:pt idx="2">
                  <c:v>0</c:v>
                </c:pt>
                <c:pt idx="3" formatCode="#,##0.00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31-40CB-9A35-6EEA21FD76BA}"/>
            </c:ext>
          </c:extLst>
        </c:ser>
        <c:ser>
          <c:idx val="1"/>
          <c:order val="1"/>
          <c:tx>
            <c:v>เส้นระดับดินถม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723288262906683E-2"/>
                  <c:y val="-3.536731563617841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E570867-2ADD-4772-B268-BAD56EEE0509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047457107230252"/>
                      <c:h val="6.859378175530560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C31-40CB-9A35-6EEA21FD76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Sheet1!$AT$3:$AU$3</c:f>
              <c:numCache>
                <c:formatCode>General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xVal>
          <c:yVal>
            <c:numRef>
              <c:f>Sheet1!$AT$5:$AU$5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Sheet1!$AV$4</c15:f>
                <c15:dlblRangeCache>
                  <c:ptCount val="1"/>
                  <c:pt idx="0">
                    <c:v>EL.+2.5.00m.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9C31-40CB-9A35-6EEA21FD76BA}"/>
            </c:ext>
          </c:extLst>
        </c:ser>
        <c:ser>
          <c:idx val="2"/>
          <c:order val="2"/>
          <c:tx>
            <c:v>เส้นระดับดินเดิม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5856685251731589E-2"/>
                  <c:y val="-3.2148631737488512E-2"/>
                </c:manualLayout>
              </c:layout>
              <c:tx>
                <c:rich>
                  <a:bodyPr/>
                  <a:lstStyle/>
                  <a:p>
                    <a:fld id="{C9564843-D3FB-4AF9-9143-93CDDE590428}" type="CELLRANGE">
                      <a:rPr lang="en-US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C31-40CB-9A35-6EEA21FD76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Sheet1!$AT$6:$AU$6</c:f>
              <c:numCache>
                <c:formatCode>General</c:formatCode>
                <c:ptCount val="2"/>
                <c:pt idx="0">
                  <c:v>-10</c:v>
                </c:pt>
                <c:pt idx="1">
                  <c:v>0</c:v>
                </c:pt>
              </c:numCache>
            </c:numRef>
          </c:xVal>
          <c:yVal>
            <c:numRef>
              <c:f>Sheet1!$AT$7:$AU$7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Sheet1!$AV$5</c15:f>
                <c15:dlblRangeCache>
                  <c:ptCount val="1"/>
                  <c:pt idx="0">
                    <c:v>EL.+0.00m.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9C31-40CB-9A35-6EEA21FD76BA}"/>
            </c:ext>
          </c:extLst>
        </c:ser>
        <c:ser>
          <c:idx val="3"/>
          <c:order val="3"/>
          <c:tx>
            <c:v>ระดับปลายเสาเข็ม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48618BE-F7A6-476F-809E-E78E57E53F01}" type="CELLRANGE">
                      <a:rPr lang="en-US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Sheet1!$AQ$7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Sheet1!$AR$7</c:f>
              <c:numCache>
                <c:formatCode>#,##0.00</c:formatCode>
                <c:ptCount val="1"/>
                <c:pt idx="0">
                  <c:v>-5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Sheet1!$AV$7</c15:f>
                <c15:dlblRangeCache>
                  <c:ptCount val="1"/>
                  <c:pt idx="0">
                    <c:v>EL.-5.00m.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C31-40CB-9A35-6EEA21FD76BA}"/>
            </c:ext>
          </c:extLst>
        </c:ser>
        <c:ser>
          <c:idx val="4"/>
          <c:order val="4"/>
          <c:tx>
            <c:v>γ1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7758406849506889E-2"/>
                  <c:y val="-2.0790462546006206E-17"/>
                </c:manualLayout>
              </c:layout>
              <c:tx>
                <c:rich>
                  <a:bodyPr/>
                  <a:lstStyle/>
                  <a:p>
                    <a:fld id="{86A13452-76DF-4F9D-BEB8-237F3F474A28}" type="CELLRANGE">
                      <a:rPr lang="el-GR"/>
                      <a:pPr/>
                      <a:t>[CELLRANGE]</a:t>
                    </a:fld>
                    <a:endParaRPr lang="th-TH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50517113765026"/>
                      <c:h val="0.114373926905068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Sheet1!$AU$8</c:f>
              <c:numCache>
                <c:formatCode>General</c:formatCode>
                <c:ptCount val="1"/>
                <c:pt idx="0">
                  <c:v>4.5</c:v>
                </c:pt>
              </c:numCache>
            </c:numRef>
          </c:xVal>
          <c:yVal>
            <c:numRef>
              <c:f>Sheet1!$AT$8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Sheet1!$AV$8</c15:f>
                <c15:dlblRangeCache>
                  <c:ptCount val="1"/>
                  <c:pt idx="0">
                    <c:v>γ1 =1.94  t/cu.m.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9C31-40CB-9A35-6EEA21FD76BA}"/>
            </c:ext>
          </c:extLst>
        </c:ser>
        <c:ser>
          <c:idx val="5"/>
          <c:order val="5"/>
          <c:tx>
            <c:v>Cu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8334066828035426E-2"/>
                  <c:y val="9.0723066411070499E-3"/>
                </c:manualLayout>
              </c:layout>
              <c:tx>
                <c:rich>
                  <a:bodyPr/>
                  <a:lstStyle/>
                  <a:p>
                    <a:fld id="{35E7E932-C85A-4F68-AF62-4A7A667472D1}" type="CELLRANGE">
                      <a:rPr lang="en-US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031506931518"/>
                      <c:h val="0.114373926905068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Sheet1!$AU$9</c:f>
              <c:numCache>
                <c:formatCode>General</c:formatCode>
                <c:ptCount val="1"/>
                <c:pt idx="0">
                  <c:v>4.5</c:v>
                </c:pt>
              </c:numCache>
            </c:numRef>
          </c:xVal>
          <c:yVal>
            <c:numRef>
              <c:f>Sheet1!$AT$9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Sheet1!$AV$9</c15:f>
                <c15:dlblRangeCache>
                  <c:ptCount val="1"/>
                  <c:pt idx="0">
                    <c:v>Cu1 =1.89  t/sq.m.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9C31-40CB-9A35-6EEA21FD76BA}"/>
            </c:ext>
          </c:extLst>
        </c:ser>
        <c:ser>
          <c:idx val="6"/>
          <c:order val="6"/>
          <c:tx>
            <c:v>γ2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513806370735046E-2"/>
                  <c:y val="-4.5361533205536082E-3"/>
                </c:manualLayout>
              </c:layout>
              <c:tx>
                <c:rich>
                  <a:bodyPr/>
                  <a:lstStyle/>
                  <a:p>
                    <a:fld id="{A0047844-83C3-4043-8FC7-46AB2C0B5AB4}" type="CELLRANGE">
                      <a:rPr lang="el-GR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33384677962483"/>
                      <c:h val="0.114373926905068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Sheet1!$AU$10</c:f>
              <c:numCache>
                <c:formatCode>General</c:formatCode>
                <c:ptCount val="1"/>
                <c:pt idx="0">
                  <c:v>4.5</c:v>
                </c:pt>
              </c:numCache>
            </c:numRef>
          </c:xVal>
          <c:yVal>
            <c:numRef>
              <c:f>Sheet1!$AT$10</c:f>
              <c:numCache>
                <c:formatCode>General</c:formatCode>
                <c:ptCount val="1"/>
                <c:pt idx="0">
                  <c:v>-0.5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Sheet1!$AV$10</c15:f>
                <c15:dlblRangeCache>
                  <c:ptCount val="1"/>
                  <c:pt idx="0">
                    <c:v>γ2 =1.94  t/cu.m.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9C31-40CB-9A35-6EEA21FD76BA}"/>
            </c:ext>
          </c:extLst>
        </c:ser>
        <c:ser>
          <c:idx val="7"/>
          <c:order val="7"/>
          <c:tx>
            <c:v>Cu2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4685297432101805E-2"/>
                  <c:y val="0"/>
                </c:manualLayout>
              </c:layout>
              <c:tx>
                <c:rich>
                  <a:bodyPr/>
                  <a:lstStyle/>
                  <a:p>
                    <a:fld id="{CC980908-7CE4-4CA0-BD79-E0DF9888868A}" type="CELLRANGE">
                      <a:rPr lang="en-US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44550467769578"/>
                      <c:h val="0.114373926905068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Sheet1!$AU$11</c:f>
              <c:numCache>
                <c:formatCode>General</c:formatCode>
                <c:ptCount val="1"/>
                <c:pt idx="0">
                  <c:v>4.5</c:v>
                </c:pt>
              </c:numCache>
            </c:numRef>
          </c:xVal>
          <c:yVal>
            <c:numRef>
              <c:f>Sheet1!$AT$11</c:f>
              <c:numCache>
                <c:formatCode>General</c:formatCode>
                <c:ptCount val="1"/>
                <c:pt idx="0">
                  <c:v>-1.5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Sheet1!$AV$11</c15:f>
                <c15:dlblRangeCache>
                  <c:ptCount val="1"/>
                  <c:pt idx="0">
                    <c:v>Cu2 =1.96  t/sq.m.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9C31-40CB-9A35-6EEA21FD76BA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29004714370494844"/>
                  <c:y val="-9.0723066411070499E-3"/>
                </c:manualLayout>
              </c:layout>
              <c:tx>
                <c:rich>
                  <a:bodyPr/>
                  <a:lstStyle/>
                  <a:p>
                    <a:fld id="{CE022F48-EBF1-476A-B3B7-0AE4270B3D6E}" type="CELLRANGE">
                      <a:rPr lang="el-GR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97370088086048"/>
                      <c:h val="0.114373926905068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Sheet1!$AU$12</c:f>
              <c:numCache>
                <c:formatCode>General</c:formatCode>
                <c:ptCount val="1"/>
                <c:pt idx="0">
                  <c:v>-4.5</c:v>
                </c:pt>
              </c:numCache>
            </c:numRef>
          </c:xVal>
          <c:yVal>
            <c:numRef>
              <c:f>Sheet1!$AT$12</c:f>
              <c:numCache>
                <c:formatCode>General</c:formatCode>
                <c:ptCount val="1"/>
                <c:pt idx="0">
                  <c:v>-0.5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Sheet1!$AV$12</c15:f>
                <c15:dlblRangeCache>
                  <c:ptCount val="1"/>
                  <c:pt idx="0">
                    <c:v>γ2 =1.94  t/cu.m.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9C31-40CB-9A35-6EEA21FD76BA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30274993831976371"/>
                  <c:y val="4.5361533205535249E-3"/>
                </c:manualLayout>
              </c:layout>
              <c:tx>
                <c:rich>
                  <a:bodyPr/>
                  <a:lstStyle/>
                  <a:p>
                    <a:fld id="{1FECE7EA-E537-4927-9EFF-4E2248942229}" type="CELLRANGE">
                      <a:rPr lang="en-US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1682903572121"/>
                      <c:h val="0.1143739269050683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Sheet1!$AU$13</c:f>
              <c:numCache>
                <c:formatCode>General</c:formatCode>
                <c:ptCount val="1"/>
                <c:pt idx="0">
                  <c:v>-4.5</c:v>
                </c:pt>
              </c:numCache>
            </c:numRef>
          </c:xVal>
          <c:yVal>
            <c:numRef>
              <c:f>Sheet1!$AT$13</c:f>
              <c:numCache>
                <c:formatCode>General</c:formatCode>
                <c:ptCount val="1"/>
                <c:pt idx="0">
                  <c:v>-1.5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Sheet1!$AV$13</c15:f>
                <c15:dlblRangeCache>
                  <c:ptCount val="1"/>
                  <c:pt idx="0">
                    <c:v>Cu2 =1.96  t/sq.m.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9C31-40CB-9A35-6EEA21FD76BA}"/>
            </c:ext>
          </c:extLst>
        </c:ser>
        <c:ser>
          <c:idx val="10"/>
          <c:order val="10"/>
          <c:tx>
            <c:v>Q1</c:v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Sheet1!$AY$4:$AY$5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Sheet1!$AZ$4:$AZ$5</c:f>
              <c:numCache>
                <c:formatCode>General</c:formatCode>
                <c:ptCount val="2"/>
                <c:pt idx="0">
                  <c:v>3.5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31-40CB-9A35-6EEA21FD76BA}"/>
            </c:ext>
          </c:extLst>
        </c:ser>
        <c:ser>
          <c:idx val="11"/>
          <c:order val="11"/>
          <c:tx>
            <c:v>q2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Sheet1!$AY$6:$AY$7</c:f>
              <c:numCache>
                <c:formatCode>General</c:formatCode>
                <c:ptCount val="2"/>
                <c:pt idx="0">
                  <c:v>1.5</c:v>
                </c:pt>
                <c:pt idx="1">
                  <c:v>1.5</c:v>
                </c:pt>
              </c:numCache>
            </c:numRef>
          </c:xVal>
          <c:yVal>
            <c:numRef>
              <c:f>Sheet1!$AZ$6:$AZ$7</c:f>
              <c:numCache>
                <c:formatCode>General</c:formatCode>
                <c:ptCount val="2"/>
                <c:pt idx="0">
                  <c:v>3.5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31-40CB-9A35-6EEA21FD76BA}"/>
            </c:ext>
          </c:extLst>
        </c:ser>
        <c:ser>
          <c:idx val="12"/>
          <c:order val="12"/>
          <c:tx>
            <c:v>q3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Sheet1!$AY$8:$AY$9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Sheet1!$AZ$8:$AZ$9</c:f>
              <c:numCache>
                <c:formatCode>General</c:formatCode>
                <c:ptCount val="2"/>
                <c:pt idx="0">
                  <c:v>3.5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31-40CB-9A35-6EEA21FD76BA}"/>
            </c:ext>
          </c:extLst>
        </c:ser>
        <c:ser>
          <c:idx val="13"/>
          <c:order val="13"/>
          <c:tx>
            <c:v>q4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Sheet1!$AY$10:$AY$11</c:f>
              <c:numCache>
                <c:formatCode>General</c:formatCode>
                <c:ptCount val="2"/>
                <c:pt idx="0">
                  <c:v>4.5</c:v>
                </c:pt>
                <c:pt idx="1">
                  <c:v>4.5</c:v>
                </c:pt>
              </c:numCache>
            </c:numRef>
          </c:xVal>
          <c:yVal>
            <c:numRef>
              <c:f>Sheet1!$AZ$10:$AZ$11</c:f>
              <c:numCache>
                <c:formatCode>General</c:formatCode>
                <c:ptCount val="2"/>
                <c:pt idx="0">
                  <c:v>3.5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31-40CB-9A35-6EEA21FD76BA}"/>
            </c:ext>
          </c:extLst>
        </c:ser>
        <c:ser>
          <c:idx val="14"/>
          <c:order val="14"/>
          <c:tx>
            <c:v>q5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Sheet1!$AY$12:$AY$13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Sheet1!$AZ$12:$AZ$13</c:f>
              <c:numCache>
                <c:formatCode>General</c:formatCode>
                <c:ptCount val="2"/>
                <c:pt idx="0">
                  <c:v>3.5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31-40CB-9A35-6EEA21FD76BA}"/>
            </c:ext>
          </c:extLst>
        </c:ser>
        <c:ser>
          <c:idx val="15"/>
          <c:order val="15"/>
          <c:tx>
            <c:v>q6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Sheet1!$AY$14:$AY$15</c:f>
              <c:numCache>
                <c:formatCode>General</c:formatCode>
                <c:ptCount val="2"/>
                <c:pt idx="0">
                  <c:v>7.5</c:v>
                </c:pt>
                <c:pt idx="1">
                  <c:v>7.5</c:v>
                </c:pt>
              </c:numCache>
            </c:numRef>
          </c:xVal>
          <c:yVal>
            <c:numRef>
              <c:f>Sheet1!$AZ$14:$AZ$15</c:f>
              <c:numCache>
                <c:formatCode>General</c:formatCode>
                <c:ptCount val="2"/>
                <c:pt idx="0">
                  <c:v>3.5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31-40CB-9A35-6EEA21FD76BA}"/>
            </c:ext>
          </c:extLst>
        </c:ser>
        <c:ser>
          <c:idx val="16"/>
          <c:order val="16"/>
          <c:tx>
            <c:v>q7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Sheet1!$AY$16:$AY$17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Sheet1!$AZ$16:$AZ$17</c:f>
              <c:numCache>
                <c:formatCode>General</c:formatCode>
                <c:ptCount val="2"/>
                <c:pt idx="0">
                  <c:v>3.5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31-40CB-9A35-6EEA21FD76BA}"/>
            </c:ext>
          </c:extLst>
        </c:ser>
        <c:ser>
          <c:idx val="17"/>
          <c:order val="17"/>
          <c:tx>
            <c:v>เส้น q load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Sheet1!$BA$4:$BB$4</c:f>
              <c:numCache>
                <c:formatCode>#,##0.00</c:formatCode>
                <c:ptCount val="2"/>
                <c:pt idx="0" formatCode="General">
                  <c:v>9</c:v>
                </c:pt>
                <c:pt idx="1">
                  <c:v>0</c:v>
                </c:pt>
              </c:numCache>
            </c:numRef>
          </c:xVal>
          <c:yVal>
            <c:numRef>
              <c:f>Sheet1!$BA$5:$BB$5</c:f>
              <c:numCache>
                <c:formatCode>#,##0.00</c:formatCode>
                <c:ptCount val="2"/>
                <c:pt idx="0" formatCode="General">
                  <c:v>3.5</c:v>
                </c:pt>
                <c:pt idx="1">
                  <c:v>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31-40CB-9A35-6EEA21FD76BA}"/>
            </c:ext>
          </c:extLst>
        </c:ser>
        <c:ser>
          <c:idx val="18"/>
          <c:order val="18"/>
          <c:tx>
            <c:v>QLoad</c:v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0585662179012724"/>
                  <c:y val="-4.989768652608877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41DBE5-7345-440A-BB62-C83CE2EF5C4F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85715524081965"/>
                      <c:h val="6.447624037897953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9C31-40CB-9A35-6EEA21FD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Sheet1!$AU$14</c:f>
              <c:numCache>
                <c:formatCode>General</c:formatCode>
                <c:ptCount val="1"/>
                <c:pt idx="0">
                  <c:v>4.5</c:v>
                </c:pt>
              </c:numCache>
            </c:numRef>
          </c:xVal>
          <c:yVal>
            <c:numRef>
              <c:f>Sheet1!$AT$14</c:f>
              <c:numCache>
                <c:formatCode>General</c:formatCode>
                <c:ptCount val="1"/>
                <c:pt idx="0">
                  <c:v>3.5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Sheet1!$AV$14</c15:f>
                <c15:dlblRangeCache>
                  <c:ptCount val="1"/>
                  <c:pt idx="0">
                    <c:v>q =2  t/sq.m.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9C31-40CB-9A35-6EEA21FD76BA}"/>
            </c:ext>
          </c:extLst>
        </c:ser>
        <c:ser>
          <c:idx val="19"/>
          <c:order val="19"/>
          <c:tx>
            <c:v>เส้นดินเดิม 2</c:v>
          </c:tx>
          <c:spPr>
            <a:ln w="15875" cap="rnd">
              <a:solidFill>
                <a:schemeClr val="accent2">
                  <a:lumMod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Sheet1!$AT$2:$AU$2</c:f>
              <c:numCache>
                <c:formatCode>General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xVal>
          <c:yVal>
            <c:numRef>
              <c:f>Sheet1!$AT$7:$AU$7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31-40CB-9A35-6EEA21FD7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137600"/>
        <c:axId val="1260816912"/>
      </c:scatterChart>
      <c:valAx>
        <c:axId val="119113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60816912"/>
        <c:crosses val="autoZero"/>
        <c:crossBetween val="midCat"/>
      </c:valAx>
      <c:valAx>
        <c:axId val="126081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Pile</a:t>
                </a:r>
                <a:r>
                  <a:rPr lang="en-US" baseline="0">
                    <a:solidFill>
                      <a:schemeClr val="tx1"/>
                    </a:solidFill>
                  </a:rPr>
                  <a:t> Elevation (m.)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91137600"/>
        <c:crosses val="autoZero"/>
        <c:crossBetween val="midCat"/>
      </c:valAx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sng" strike="noStrike" kern="1200" spc="0" baseline="0">
                <a:solidFill>
                  <a:schemeClr val="tx1"/>
                </a:solidFill>
              </a:rPr>
              <a:t>FREE BODY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Sheet1!$BJ$25:$BJ$86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xVal>
          <c:yVal>
            <c:numRef>
              <c:f>Sheet1!$BK$25:$BK$86</c:f>
              <c:numCache>
                <c:formatCode>#,##0.00</c:formatCode>
                <c:ptCount val="62"/>
                <c:pt idx="0">
                  <c:v>2.5</c:v>
                </c:pt>
                <c:pt idx="1">
                  <c:v>2.4166666666666665</c:v>
                </c:pt>
                <c:pt idx="2">
                  <c:v>2.333333333333333</c:v>
                </c:pt>
                <c:pt idx="3">
                  <c:v>2.2499999999999996</c:v>
                </c:pt>
                <c:pt idx="4">
                  <c:v>2.1666666666666661</c:v>
                </c:pt>
                <c:pt idx="5">
                  <c:v>2.0833333333333326</c:v>
                </c:pt>
                <c:pt idx="6">
                  <c:v>1.9999999999999993</c:v>
                </c:pt>
                <c:pt idx="7">
                  <c:v>1.9166666666666661</c:v>
                </c:pt>
                <c:pt idx="8">
                  <c:v>1.8333333333333328</c:v>
                </c:pt>
                <c:pt idx="9">
                  <c:v>1.7499999999999996</c:v>
                </c:pt>
                <c:pt idx="10">
                  <c:v>1.6666666666666663</c:v>
                </c:pt>
                <c:pt idx="11">
                  <c:v>1.583333333333333</c:v>
                </c:pt>
                <c:pt idx="12">
                  <c:v>1.4999999999999998</c:v>
                </c:pt>
                <c:pt idx="13">
                  <c:v>1.4166666666666665</c:v>
                </c:pt>
                <c:pt idx="14">
                  <c:v>1.3333333333333333</c:v>
                </c:pt>
                <c:pt idx="15">
                  <c:v>1.25</c:v>
                </c:pt>
                <c:pt idx="16">
                  <c:v>1.1666666666666667</c:v>
                </c:pt>
                <c:pt idx="17">
                  <c:v>1.0833333333333335</c:v>
                </c:pt>
                <c:pt idx="18">
                  <c:v>1.0000000000000002</c:v>
                </c:pt>
                <c:pt idx="19">
                  <c:v>0.91666666666666685</c:v>
                </c:pt>
                <c:pt idx="20">
                  <c:v>0.83333333333333348</c:v>
                </c:pt>
                <c:pt idx="21">
                  <c:v>0.75000000000000011</c:v>
                </c:pt>
                <c:pt idx="22">
                  <c:v>0.66666666666666674</c:v>
                </c:pt>
                <c:pt idx="23">
                  <c:v>0.58333333333333337</c:v>
                </c:pt>
                <c:pt idx="24">
                  <c:v>0.5</c:v>
                </c:pt>
                <c:pt idx="25">
                  <c:v>0.41666666666666669</c:v>
                </c:pt>
                <c:pt idx="26">
                  <c:v>0.33333333333333337</c:v>
                </c:pt>
                <c:pt idx="27">
                  <c:v>0.25000000000000006</c:v>
                </c:pt>
                <c:pt idx="28">
                  <c:v>0.16666666666666674</c:v>
                </c:pt>
                <c:pt idx="29">
                  <c:v>8.3333333333333412E-2</c:v>
                </c:pt>
                <c:pt idx="30">
                  <c:v>0</c:v>
                </c:pt>
                <c:pt idx="31">
                  <c:v>0</c:v>
                </c:pt>
                <c:pt idx="32">
                  <c:v>-0.16666666666666666</c:v>
                </c:pt>
                <c:pt idx="33">
                  <c:v>-0.33333333333333331</c:v>
                </c:pt>
                <c:pt idx="34">
                  <c:v>-0.5</c:v>
                </c:pt>
                <c:pt idx="35">
                  <c:v>-0.66666666666666663</c:v>
                </c:pt>
                <c:pt idx="36">
                  <c:v>-0.83333333333333326</c:v>
                </c:pt>
                <c:pt idx="37">
                  <c:v>-0.99999999999999989</c:v>
                </c:pt>
                <c:pt idx="38">
                  <c:v>-1.1666666666666665</c:v>
                </c:pt>
                <c:pt idx="39">
                  <c:v>-1.3333333333333333</c:v>
                </c:pt>
                <c:pt idx="40">
                  <c:v>-1.5</c:v>
                </c:pt>
                <c:pt idx="41">
                  <c:v>-1.6666666666666667</c:v>
                </c:pt>
                <c:pt idx="42">
                  <c:v>-1.8333333333333335</c:v>
                </c:pt>
                <c:pt idx="43">
                  <c:v>-2</c:v>
                </c:pt>
                <c:pt idx="44">
                  <c:v>-2.1666666666666665</c:v>
                </c:pt>
                <c:pt idx="45">
                  <c:v>-2.333333333333333</c:v>
                </c:pt>
                <c:pt idx="46">
                  <c:v>-2.4999999999999996</c:v>
                </c:pt>
                <c:pt idx="47">
                  <c:v>-2.6666666666666661</c:v>
                </c:pt>
                <c:pt idx="48">
                  <c:v>-2.8333333333333326</c:v>
                </c:pt>
                <c:pt idx="49">
                  <c:v>-2.9999999999999991</c:v>
                </c:pt>
                <c:pt idx="50">
                  <c:v>-3.1666666666666656</c:v>
                </c:pt>
                <c:pt idx="51">
                  <c:v>-3.3333333333333321</c:v>
                </c:pt>
                <c:pt idx="52">
                  <c:v>-3.4999999999999987</c:v>
                </c:pt>
                <c:pt idx="53">
                  <c:v>-3.6666666666666652</c:v>
                </c:pt>
                <c:pt idx="54">
                  <c:v>-3.8333333333333317</c:v>
                </c:pt>
                <c:pt idx="55">
                  <c:v>-3.9999999999999982</c:v>
                </c:pt>
                <c:pt idx="56">
                  <c:v>-4.1666666666666652</c:v>
                </c:pt>
                <c:pt idx="57">
                  <c:v>-4.3333333333333321</c:v>
                </c:pt>
                <c:pt idx="58">
                  <c:v>-4.4999999999999991</c:v>
                </c:pt>
                <c:pt idx="59">
                  <c:v>-4.6666666666666661</c:v>
                </c:pt>
                <c:pt idx="60">
                  <c:v>-4.833333333333333</c:v>
                </c:pt>
                <c:pt idx="6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3-4CC8-86F2-57A546A3F71D}"/>
            </c:ext>
          </c:extLst>
        </c:ser>
        <c:ser>
          <c:idx val="1"/>
          <c:order val="1"/>
          <c:tx>
            <c:v>เส้นระดับดินถม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1359237366880224E-2"/>
                  <c:y val="-4.239969884581441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43EDB4-28CB-4A77-9F94-159DF31A9E50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047457107230252"/>
                      <c:h val="6.859378175530560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E73-4CC8-86F2-57A546A3F7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E73-4CC8-86F2-57A546A3F7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Sheet1!$AT$4:$AU$4</c:f>
              <c:numCache>
                <c:formatCode>0.000</c:formatCode>
                <c:ptCount val="2"/>
                <c:pt idx="0" formatCode="General">
                  <c:v>15</c:v>
                </c:pt>
                <c:pt idx="1">
                  <c:v>-1.7799999999999998</c:v>
                </c:pt>
              </c:numCache>
            </c:numRef>
          </c:xVal>
          <c:yVal>
            <c:numRef>
              <c:f>Sheet1!$AT$5:$AU$5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Sheet1!$AV$4</c15:f>
                <c15:dlblRangeCache>
                  <c:ptCount val="1"/>
                  <c:pt idx="0">
                    <c:v>EL.+2.5.00m.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6E73-4CC8-86F2-57A546A3F71D}"/>
            </c:ext>
          </c:extLst>
        </c:ser>
        <c:ser>
          <c:idx val="2"/>
          <c:order val="2"/>
          <c:tx>
            <c:v>เส้นระดับดินเดิม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272355245877558"/>
                  <c:y val="-2.7556650468556272E-2"/>
                </c:manualLayout>
              </c:layout>
              <c:tx>
                <c:rich>
                  <a:bodyPr/>
                  <a:lstStyle/>
                  <a:p>
                    <a:fld id="{28C2495C-EE91-429D-B9BF-3B0EA8D2AF26}" type="CELLRANGE">
                      <a:rPr lang="en-US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E73-4CC8-86F2-57A546A3F7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E73-4CC8-86F2-57A546A3F7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Sheet1!$AT$6:$AU$6</c:f>
              <c:numCache>
                <c:formatCode>General</c:formatCode>
                <c:ptCount val="2"/>
                <c:pt idx="0">
                  <c:v>-10</c:v>
                </c:pt>
                <c:pt idx="1">
                  <c:v>0</c:v>
                </c:pt>
              </c:numCache>
            </c:numRef>
          </c:xVal>
          <c:yVal>
            <c:numRef>
              <c:f>Sheet1!$AT$7:$AU$7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Sheet1!$AV$5</c15:f>
                <c15:dlblRangeCache>
                  <c:ptCount val="1"/>
                  <c:pt idx="0">
                    <c:v>EL.+0.00m.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6E73-4CC8-86F2-57A546A3F71D}"/>
            </c:ext>
          </c:extLst>
        </c:ser>
        <c:ser>
          <c:idx val="3"/>
          <c:order val="3"/>
          <c:tx>
            <c:v>ระดับปลายเสาเข็ม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C44C875-CC0D-4E2D-A365-741041FA255F}" type="CELLRANGE">
                      <a:rPr lang="en-US"/>
                      <a:pPr/>
                      <a:t>[CELLRANGE]</a:t>
                    </a:fld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E73-4CC8-86F2-57A546A3F7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Sheet1!$AQ$7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Sheet1!$AR$7</c:f>
              <c:numCache>
                <c:formatCode>#,##0.00</c:formatCode>
                <c:ptCount val="1"/>
                <c:pt idx="0">
                  <c:v>-5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Sheet1!$AV$7</c15:f>
                <c15:dlblRangeCache>
                  <c:ptCount val="1"/>
                  <c:pt idx="0">
                    <c:v>EL.-5.00m.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E73-4CC8-86F2-57A546A3F71D}"/>
            </c:ext>
          </c:extLst>
        </c:ser>
        <c:ser>
          <c:idx val="4"/>
          <c:order val="4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Sheet1!$BR$25:$BR$86</c:f>
              <c:numCache>
                <c:formatCode>#,##0.00</c:formatCode>
                <c:ptCount val="62"/>
                <c:pt idx="0">
                  <c:v>-1.7799999999999998</c:v>
                </c:pt>
                <c:pt idx="1">
                  <c:v>-1.617916666666666</c:v>
                </c:pt>
                <c:pt idx="2">
                  <c:v>-1.4558333333333326</c:v>
                </c:pt>
                <c:pt idx="3">
                  <c:v>-1.2937499999999988</c:v>
                </c:pt>
                <c:pt idx="4">
                  <c:v>-1.1316666666666655</c:v>
                </c:pt>
                <c:pt idx="5">
                  <c:v>-0.96958333333333169</c:v>
                </c:pt>
                <c:pt idx="6">
                  <c:v>-0.80749999999999833</c:v>
                </c:pt>
                <c:pt idx="7">
                  <c:v>-0.64541666666666542</c:v>
                </c:pt>
                <c:pt idx="8">
                  <c:v>-0.48333333333333206</c:v>
                </c:pt>
                <c:pt idx="9">
                  <c:v>-0.3212499999999987</c:v>
                </c:pt>
                <c:pt idx="10">
                  <c:v>-0.15916666666666579</c:v>
                </c:pt>
                <c:pt idx="11">
                  <c:v>2.9166666666675667E-3</c:v>
                </c:pt>
                <c:pt idx="12">
                  <c:v>0.16500000000000048</c:v>
                </c:pt>
                <c:pt idx="13">
                  <c:v>0.32708333333333384</c:v>
                </c:pt>
                <c:pt idx="14">
                  <c:v>0.48916666666666719</c:v>
                </c:pt>
                <c:pt idx="15">
                  <c:v>0.65125000000000055</c:v>
                </c:pt>
                <c:pt idx="16">
                  <c:v>0.81333333333333391</c:v>
                </c:pt>
                <c:pt idx="17">
                  <c:v>0.97541666666666726</c:v>
                </c:pt>
                <c:pt idx="18">
                  <c:v>1.1374999999999997</c:v>
                </c:pt>
                <c:pt idx="19">
                  <c:v>1.2995833333333331</c:v>
                </c:pt>
                <c:pt idx="20">
                  <c:v>1.4616666666666673</c:v>
                </c:pt>
                <c:pt idx="21">
                  <c:v>1.6237500000000007</c:v>
                </c:pt>
                <c:pt idx="22">
                  <c:v>1.785833333333334</c:v>
                </c:pt>
                <c:pt idx="23">
                  <c:v>1.9479166666666665</c:v>
                </c:pt>
                <c:pt idx="24">
                  <c:v>2.1100000000000008</c:v>
                </c:pt>
                <c:pt idx="25">
                  <c:v>2.2720833333333341</c:v>
                </c:pt>
                <c:pt idx="26">
                  <c:v>2.4341666666666666</c:v>
                </c:pt>
                <c:pt idx="27">
                  <c:v>2.5962499999999999</c:v>
                </c:pt>
                <c:pt idx="28">
                  <c:v>2.7583333333333333</c:v>
                </c:pt>
                <c:pt idx="29">
                  <c:v>2.9204166666666667</c:v>
                </c:pt>
                <c:pt idx="30">
                  <c:v>3.0825</c:v>
                </c:pt>
                <c:pt idx="31">
                  <c:v>-0.97750000000000004</c:v>
                </c:pt>
                <c:pt idx="32">
                  <c:v>-0.97750000000000004</c:v>
                </c:pt>
                <c:pt idx="33">
                  <c:v>-0.97749999999999915</c:v>
                </c:pt>
                <c:pt idx="34">
                  <c:v>-0.97750000000000004</c:v>
                </c:pt>
                <c:pt idx="35">
                  <c:v>-0.97749999999999915</c:v>
                </c:pt>
                <c:pt idx="36">
                  <c:v>-0.97749999999999915</c:v>
                </c:pt>
                <c:pt idx="37">
                  <c:v>-0.97749999999999915</c:v>
                </c:pt>
                <c:pt idx="38">
                  <c:v>-0.97749999999999915</c:v>
                </c:pt>
                <c:pt idx="39">
                  <c:v>-0.97750000000000092</c:v>
                </c:pt>
                <c:pt idx="40">
                  <c:v>-0.97749999999999915</c:v>
                </c:pt>
                <c:pt idx="41">
                  <c:v>-0.97749999999999915</c:v>
                </c:pt>
                <c:pt idx="42">
                  <c:v>-0.97749999999999915</c:v>
                </c:pt>
                <c:pt idx="43">
                  <c:v>-0.97750000000000092</c:v>
                </c:pt>
                <c:pt idx="44">
                  <c:v>-0.97749999999999915</c:v>
                </c:pt>
                <c:pt idx="45">
                  <c:v>-0.97749999999999915</c:v>
                </c:pt>
                <c:pt idx="46">
                  <c:v>-0.97749999999999915</c:v>
                </c:pt>
                <c:pt idx="47">
                  <c:v>-0.97749999999999915</c:v>
                </c:pt>
                <c:pt idx="48">
                  <c:v>-0.97750000000000092</c:v>
                </c:pt>
                <c:pt idx="49">
                  <c:v>-0.97750000000000092</c:v>
                </c:pt>
                <c:pt idx="50">
                  <c:v>-0.97749999999999915</c:v>
                </c:pt>
                <c:pt idx="51">
                  <c:v>-0.97750000000000092</c:v>
                </c:pt>
                <c:pt idx="52">
                  <c:v>-0.97750000000000092</c:v>
                </c:pt>
                <c:pt idx="53">
                  <c:v>-0.97749999999999915</c:v>
                </c:pt>
                <c:pt idx="54">
                  <c:v>-0.97749999999999737</c:v>
                </c:pt>
                <c:pt idx="55">
                  <c:v>-0.97749999999999915</c:v>
                </c:pt>
                <c:pt idx="56">
                  <c:v>-0.97749999999999915</c:v>
                </c:pt>
                <c:pt idx="57">
                  <c:v>-0.97749999999999915</c:v>
                </c:pt>
                <c:pt idx="58">
                  <c:v>-0.97749999999999915</c:v>
                </c:pt>
                <c:pt idx="59">
                  <c:v>-0.97750000000000092</c:v>
                </c:pt>
                <c:pt idx="60">
                  <c:v>-0.97749999999999737</c:v>
                </c:pt>
                <c:pt idx="61">
                  <c:v>-0.97750000000000092</c:v>
                </c:pt>
              </c:numCache>
            </c:numRef>
          </c:xVal>
          <c:yVal>
            <c:numRef>
              <c:f>Sheet1!$BK$25:$BK$86</c:f>
              <c:numCache>
                <c:formatCode>#,##0.00</c:formatCode>
                <c:ptCount val="62"/>
                <c:pt idx="0">
                  <c:v>2.5</c:v>
                </c:pt>
                <c:pt idx="1">
                  <c:v>2.4166666666666665</c:v>
                </c:pt>
                <c:pt idx="2">
                  <c:v>2.333333333333333</c:v>
                </c:pt>
                <c:pt idx="3">
                  <c:v>2.2499999999999996</c:v>
                </c:pt>
                <c:pt idx="4">
                  <c:v>2.1666666666666661</c:v>
                </c:pt>
                <c:pt idx="5">
                  <c:v>2.0833333333333326</c:v>
                </c:pt>
                <c:pt idx="6">
                  <c:v>1.9999999999999993</c:v>
                </c:pt>
                <c:pt idx="7">
                  <c:v>1.9166666666666661</c:v>
                </c:pt>
                <c:pt idx="8">
                  <c:v>1.8333333333333328</c:v>
                </c:pt>
                <c:pt idx="9">
                  <c:v>1.7499999999999996</c:v>
                </c:pt>
                <c:pt idx="10">
                  <c:v>1.6666666666666663</c:v>
                </c:pt>
                <c:pt idx="11">
                  <c:v>1.583333333333333</c:v>
                </c:pt>
                <c:pt idx="12">
                  <c:v>1.4999999999999998</c:v>
                </c:pt>
                <c:pt idx="13">
                  <c:v>1.4166666666666665</c:v>
                </c:pt>
                <c:pt idx="14">
                  <c:v>1.3333333333333333</c:v>
                </c:pt>
                <c:pt idx="15">
                  <c:v>1.25</c:v>
                </c:pt>
                <c:pt idx="16">
                  <c:v>1.1666666666666667</c:v>
                </c:pt>
                <c:pt idx="17">
                  <c:v>1.0833333333333335</c:v>
                </c:pt>
                <c:pt idx="18">
                  <c:v>1.0000000000000002</c:v>
                </c:pt>
                <c:pt idx="19">
                  <c:v>0.91666666666666685</c:v>
                </c:pt>
                <c:pt idx="20">
                  <c:v>0.83333333333333348</c:v>
                </c:pt>
                <c:pt idx="21">
                  <c:v>0.75000000000000011</c:v>
                </c:pt>
                <c:pt idx="22">
                  <c:v>0.66666666666666674</c:v>
                </c:pt>
                <c:pt idx="23">
                  <c:v>0.58333333333333337</c:v>
                </c:pt>
                <c:pt idx="24">
                  <c:v>0.5</c:v>
                </c:pt>
                <c:pt idx="25">
                  <c:v>0.41666666666666669</c:v>
                </c:pt>
                <c:pt idx="26">
                  <c:v>0.33333333333333337</c:v>
                </c:pt>
                <c:pt idx="27">
                  <c:v>0.25000000000000006</c:v>
                </c:pt>
                <c:pt idx="28">
                  <c:v>0.16666666666666674</c:v>
                </c:pt>
                <c:pt idx="29">
                  <c:v>8.3333333333333412E-2</c:v>
                </c:pt>
                <c:pt idx="30">
                  <c:v>0</c:v>
                </c:pt>
                <c:pt idx="31">
                  <c:v>0</c:v>
                </c:pt>
                <c:pt idx="32">
                  <c:v>-0.16666666666666666</c:v>
                </c:pt>
                <c:pt idx="33">
                  <c:v>-0.33333333333333331</c:v>
                </c:pt>
                <c:pt idx="34">
                  <c:v>-0.5</c:v>
                </c:pt>
                <c:pt idx="35">
                  <c:v>-0.66666666666666663</c:v>
                </c:pt>
                <c:pt idx="36">
                  <c:v>-0.83333333333333326</c:v>
                </c:pt>
                <c:pt idx="37">
                  <c:v>-0.99999999999999989</c:v>
                </c:pt>
                <c:pt idx="38">
                  <c:v>-1.1666666666666665</c:v>
                </c:pt>
                <c:pt idx="39">
                  <c:v>-1.3333333333333333</c:v>
                </c:pt>
                <c:pt idx="40">
                  <c:v>-1.5</c:v>
                </c:pt>
                <c:pt idx="41">
                  <c:v>-1.6666666666666667</c:v>
                </c:pt>
                <c:pt idx="42">
                  <c:v>-1.8333333333333335</c:v>
                </c:pt>
                <c:pt idx="43">
                  <c:v>-2</c:v>
                </c:pt>
                <c:pt idx="44">
                  <c:v>-2.1666666666666665</c:v>
                </c:pt>
                <c:pt idx="45">
                  <c:v>-2.333333333333333</c:v>
                </c:pt>
                <c:pt idx="46">
                  <c:v>-2.4999999999999996</c:v>
                </c:pt>
                <c:pt idx="47">
                  <c:v>-2.6666666666666661</c:v>
                </c:pt>
                <c:pt idx="48">
                  <c:v>-2.8333333333333326</c:v>
                </c:pt>
                <c:pt idx="49">
                  <c:v>-2.9999999999999991</c:v>
                </c:pt>
                <c:pt idx="50">
                  <c:v>-3.1666666666666656</c:v>
                </c:pt>
                <c:pt idx="51">
                  <c:v>-3.3333333333333321</c:v>
                </c:pt>
                <c:pt idx="52">
                  <c:v>-3.4999999999999987</c:v>
                </c:pt>
                <c:pt idx="53">
                  <c:v>-3.6666666666666652</c:v>
                </c:pt>
                <c:pt idx="54">
                  <c:v>-3.8333333333333317</c:v>
                </c:pt>
                <c:pt idx="55">
                  <c:v>-3.9999999999999982</c:v>
                </c:pt>
                <c:pt idx="56">
                  <c:v>-4.1666666666666652</c:v>
                </c:pt>
                <c:pt idx="57">
                  <c:v>-4.3333333333333321</c:v>
                </c:pt>
                <c:pt idx="58">
                  <c:v>-4.4999999999999991</c:v>
                </c:pt>
                <c:pt idx="59">
                  <c:v>-4.6666666666666661</c:v>
                </c:pt>
                <c:pt idx="60">
                  <c:v>-4.833333333333333</c:v>
                </c:pt>
                <c:pt idx="6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6E73-4CC8-86F2-57A546A3F71D}"/>
            </c:ext>
          </c:extLst>
        </c:ser>
        <c:ser>
          <c:idx val="5"/>
          <c:order val="5"/>
          <c:tx>
            <c:v>V2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diamond"/>
              <c:size val="7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6E73-4CC8-86F2-57A546A3F71D}"/>
              </c:ext>
            </c:extLst>
          </c:dPt>
          <c:dLbls>
            <c:dLbl>
              <c:idx val="0"/>
              <c:layout>
                <c:manualLayout>
                  <c:x val="-4.2064489089315524E-2"/>
                  <c:y val="2.9087384490201156E-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2B33C2-E464-4653-874E-0BC8473DC918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406442871206158"/>
                      <c:h val="3.841663435415337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6E73-4CC8-86F2-57A546A3F7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6E73-4CC8-86F2-57A546A3F7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Sheet1!$AT$16:$AU$16</c:f>
              <c:numCache>
                <c:formatCode>General</c:formatCode>
                <c:ptCount val="2"/>
                <c:pt idx="0" formatCode="0.000">
                  <c:v>-5.9775</c:v>
                </c:pt>
                <c:pt idx="1">
                  <c:v>0</c:v>
                </c:pt>
              </c:numCache>
            </c:numRef>
          </c:xVal>
          <c:yVal>
            <c:numRef>
              <c:f>Sheet1!$AT$17:$AU$17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Sheet1!$AV$17</c15:f>
                <c15:dlblRangeCache>
                  <c:ptCount val="1"/>
                  <c:pt idx="0">
                    <c:v>V2 =3.91  t/m.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6E73-4CC8-86F2-57A546A3F71D}"/>
            </c:ext>
          </c:extLst>
        </c:ser>
        <c:ser>
          <c:idx val="6"/>
          <c:order val="6"/>
          <c:tx>
            <c:v>V2 Marker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Sheet1!$AT$17</c:f>
              <c:numCache>
                <c:formatCode>General</c:formatCode>
                <c:ptCount val="1"/>
                <c:pt idx="0">
                  <c:v>-2</c:v>
                </c:pt>
              </c:numCache>
            </c:numRef>
          </c:xVal>
          <c:yVal>
            <c:numRef>
              <c:f>Sheet1!$AU$16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E73-4CC8-86F2-57A546A3F71D}"/>
            </c:ext>
          </c:extLst>
        </c:ser>
        <c:ser>
          <c:idx val="7"/>
          <c:order val="7"/>
          <c:tx>
            <c:v>V22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Sheet1!$AT$17</c:f>
              <c:numCache>
                <c:formatCode>General</c:formatCode>
                <c:ptCount val="1"/>
                <c:pt idx="0">
                  <c:v>-2</c:v>
                </c:pt>
              </c:numCache>
            </c:numRef>
          </c:xVal>
          <c:yVal>
            <c:numRef>
              <c:f>Sheet1!$AT$16</c:f>
              <c:numCache>
                <c:formatCode>0.000</c:formatCode>
                <c:ptCount val="1"/>
                <c:pt idx="0">
                  <c:v>-5.9775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E73-4CC8-86F2-57A546A3F71D}"/>
            </c:ext>
          </c:extLst>
        </c:ser>
        <c:ser>
          <c:idx val="8"/>
          <c:order val="8"/>
          <c:tx>
            <c:v>V1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Sheet1!$AT$18:$AU$18</c:f>
              <c:numCache>
                <c:formatCode>General</c:formatCode>
                <c:ptCount val="2"/>
                <c:pt idx="0" formatCode="0.000">
                  <c:v>5.4426237146529566</c:v>
                </c:pt>
                <c:pt idx="1">
                  <c:v>0</c:v>
                </c:pt>
              </c:numCache>
            </c:numRef>
          </c:xVal>
          <c:yVal>
            <c:numRef>
              <c:f>Sheet1!$AT$19:$AU$19</c:f>
              <c:numCache>
                <c:formatCode>0.000</c:formatCode>
                <c:ptCount val="2"/>
                <c:pt idx="0">
                  <c:v>0.52827763496143965</c:v>
                </c:pt>
                <c:pt idx="1">
                  <c:v>0.52827763496143965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E73-4CC8-86F2-57A546A3F71D}"/>
            </c:ext>
          </c:extLst>
        </c:ser>
        <c:ser>
          <c:idx val="9"/>
          <c:order val="9"/>
          <c:tx>
            <c:v>V1 Marker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xVal>
            <c:numRef>
              <c:f>Sheet1!$AU$18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Sheet1!$AT$19</c:f>
              <c:numCache>
                <c:formatCode>0.000</c:formatCode>
                <c:ptCount val="1"/>
                <c:pt idx="0">
                  <c:v>0.52827763496143965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6E73-4CC8-86F2-57A546A3F71D}"/>
            </c:ext>
          </c:extLst>
        </c:ser>
        <c:ser>
          <c:idx val="10"/>
          <c:order val="10"/>
          <c:tx>
            <c:v>V11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364121104755432E-2"/>
                  <c:y val="1.0640783740541939E-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52B90E-53DC-4FD6-92C6-6E8FADEDD986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450619489981385"/>
                      <c:h val="3.841663435415337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6E73-4CC8-86F2-57A546A3F71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Sheet1!$AT$18</c:f>
              <c:numCache>
                <c:formatCode>0.000</c:formatCode>
                <c:ptCount val="1"/>
                <c:pt idx="0">
                  <c:v>5.4426237146529566</c:v>
                </c:pt>
              </c:numCache>
            </c:numRef>
          </c:xVal>
          <c:yVal>
            <c:numRef>
              <c:f>Sheet1!$AT$19</c:f>
              <c:numCache>
                <c:formatCode>0.000</c:formatCode>
                <c:ptCount val="1"/>
                <c:pt idx="0">
                  <c:v>0.52827763496143965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Sheet1!$AV$19</c15:f>
                <c15:dlblRangeCache>
                  <c:ptCount val="1"/>
                  <c:pt idx="0">
                    <c:v>V1 =2.44  t/m.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D-6E73-4CC8-86F2-57A546A3F71D}"/>
            </c:ext>
          </c:extLst>
        </c:ser>
        <c:ser>
          <c:idx val="11"/>
          <c:order val="11"/>
          <c:tx>
            <c:v>F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5"/>
              <c:spPr>
                <a:solidFill>
                  <a:srgbClr val="FF0000"/>
                </a:solidFill>
                <a:ln w="9525">
                  <a:solidFill>
                    <a:schemeClr val="accent6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6E73-4CC8-86F2-57A546A3F71D}"/>
              </c:ext>
            </c:extLst>
          </c:dPt>
          <c:dLbls>
            <c:dLbl>
              <c:idx val="0"/>
              <c:layout>
                <c:manualLayout>
                  <c:x val="-1.3813814793725482E-2"/>
                  <c:y val="-4.844507289529163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611BF26-524B-48CD-949B-C6FA0B139920}" type="CELLRANG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6E73-4CC8-86F2-57A546A3F7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6E73-4CC8-86F2-57A546A3F7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Sheet1!$AQ$11:$AR$11</c:f>
              <c:numCache>
                <c:formatCode>General</c:formatCode>
                <c:ptCount val="2"/>
                <c:pt idx="0" formatCode="#,##0.00">
                  <c:v>1.3060187172785513</c:v>
                </c:pt>
                <c:pt idx="1">
                  <c:v>0</c:v>
                </c:pt>
              </c:numCache>
            </c:numRef>
          </c:xVal>
          <c:yVal>
            <c:numRef>
              <c:f>Sheet1!$AQ$12:$AR$12</c:f>
              <c:numCache>
                <c:formatCode>#,##0.0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Sheet1!$AQ$13</c15:f>
                <c15:dlblRangeCache>
                  <c:ptCount val="1"/>
                  <c:pt idx="0">
                    <c:v>F =1.3  t/m.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0-6E73-4CC8-86F2-57A546A3F71D}"/>
            </c:ext>
          </c:extLst>
        </c:ser>
        <c:ser>
          <c:idx val="12"/>
          <c:order val="12"/>
          <c:tx>
            <c:v>F Marker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Sheet1!$AQ$11</c:f>
              <c:numCache>
                <c:formatCode>#,##0.00</c:formatCode>
                <c:ptCount val="1"/>
                <c:pt idx="0">
                  <c:v>1.3060187172785513</c:v>
                </c:pt>
              </c:numCache>
            </c:numRef>
          </c:xVal>
          <c:yVal>
            <c:numRef>
              <c:f>Sheet1!$AQ$12</c:f>
              <c:numCache>
                <c:formatCode>#,##0.0</c:formatCode>
                <c:ptCount val="1"/>
                <c:pt idx="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E73-4CC8-86F2-57A546A3F71D}"/>
            </c:ext>
          </c:extLst>
        </c:ser>
        <c:ser>
          <c:idx val="13"/>
          <c:order val="13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Sheet1!$BB$27:$BC$27</c:f>
              <c:numCache>
                <c:formatCode>#,##0.00</c:formatCode>
                <c:ptCount val="2"/>
                <c:pt idx="0">
                  <c:v>-0.97750000000000004</c:v>
                </c:pt>
                <c:pt idx="1">
                  <c:v>0</c:v>
                </c:pt>
              </c:numCache>
            </c:numRef>
          </c:xVal>
          <c:yVal>
            <c:numRef>
              <c:f>Sheet1!$BD$27:$BE$27</c:f>
              <c:numCache>
                <c:formatCode>#,##0.00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67-4BF3-8493-AC4437DD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137600"/>
        <c:axId val="1260816912"/>
      </c:scatterChart>
      <c:valAx>
        <c:axId val="119113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Pressure Force (t/m</a:t>
                </a:r>
                <a:r>
                  <a:rPr lang="en-US" baseline="30000">
                    <a:solidFill>
                      <a:schemeClr val="tx1"/>
                    </a:solidFill>
                  </a:rPr>
                  <a:t>2</a:t>
                </a:r>
                <a:r>
                  <a:rPr lang="en-US">
                    <a:solidFill>
                      <a:schemeClr val="tx1"/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60816912"/>
        <c:crosses val="autoZero"/>
        <c:crossBetween val="midCat"/>
      </c:valAx>
      <c:valAx>
        <c:axId val="126081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Pile</a:t>
                </a:r>
                <a:r>
                  <a:rPr lang="en-US" baseline="0">
                    <a:solidFill>
                      <a:schemeClr val="tx1"/>
                    </a:solidFill>
                  </a:rPr>
                  <a:t> Elevation (m.)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91137600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sng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sng" strike="noStrike" kern="1200" spc="0" baseline="0">
                <a:solidFill>
                  <a:schemeClr val="tx1"/>
                </a:solidFill>
              </a:rPr>
              <a:t>SHEAR FORCE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sng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เส้นแสดงเสาเข็ม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Sheet1!$BJ$25:$BJ$86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xVal>
          <c:yVal>
            <c:numRef>
              <c:f>Sheet1!$BL$25:$BL$86</c:f>
              <c:numCache>
                <c:formatCode>#,##0.00</c:formatCode>
                <c:ptCount val="62"/>
                <c:pt idx="0">
                  <c:v>2.5</c:v>
                </c:pt>
                <c:pt idx="1">
                  <c:v>2.4166666666666665</c:v>
                </c:pt>
                <c:pt idx="2">
                  <c:v>2.333333333333333</c:v>
                </c:pt>
                <c:pt idx="3">
                  <c:v>2.2499999999999996</c:v>
                </c:pt>
                <c:pt idx="4">
                  <c:v>2.1666666666666661</c:v>
                </c:pt>
                <c:pt idx="5">
                  <c:v>2.0833333333333326</c:v>
                </c:pt>
                <c:pt idx="6">
                  <c:v>1.9999999999999993</c:v>
                </c:pt>
                <c:pt idx="7">
                  <c:v>1.9166666666666661</c:v>
                </c:pt>
                <c:pt idx="8">
                  <c:v>1.8333333333333328</c:v>
                </c:pt>
                <c:pt idx="9">
                  <c:v>1.7499999999999996</c:v>
                </c:pt>
                <c:pt idx="10">
                  <c:v>1.6666666666666663</c:v>
                </c:pt>
                <c:pt idx="11">
                  <c:v>1.583333333333333</c:v>
                </c:pt>
                <c:pt idx="12">
                  <c:v>1.4999999999999998</c:v>
                </c:pt>
                <c:pt idx="13">
                  <c:v>1.4166666666666665</c:v>
                </c:pt>
                <c:pt idx="14">
                  <c:v>1.3333333333333333</c:v>
                </c:pt>
                <c:pt idx="15">
                  <c:v>1.25</c:v>
                </c:pt>
                <c:pt idx="16">
                  <c:v>1.1666666666666667</c:v>
                </c:pt>
                <c:pt idx="17">
                  <c:v>1.0833333333333335</c:v>
                </c:pt>
                <c:pt idx="18">
                  <c:v>1.0000000000000002</c:v>
                </c:pt>
                <c:pt idx="19">
                  <c:v>0.91666666666666685</c:v>
                </c:pt>
                <c:pt idx="20">
                  <c:v>0.83333333333333348</c:v>
                </c:pt>
                <c:pt idx="21">
                  <c:v>0.75000000000000011</c:v>
                </c:pt>
                <c:pt idx="22">
                  <c:v>0.66666666666666674</c:v>
                </c:pt>
                <c:pt idx="23">
                  <c:v>0.58333333333333337</c:v>
                </c:pt>
                <c:pt idx="24">
                  <c:v>0.5</c:v>
                </c:pt>
                <c:pt idx="25">
                  <c:v>0.41666666666666669</c:v>
                </c:pt>
                <c:pt idx="26">
                  <c:v>0.33333333333333337</c:v>
                </c:pt>
                <c:pt idx="27">
                  <c:v>0.25000000000000006</c:v>
                </c:pt>
                <c:pt idx="28">
                  <c:v>0.16666666666666674</c:v>
                </c:pt>
                <c:pt idx="29">
                  <c:v>8.3333333333333412E-2</c:v>
                </c:pt>
                <c:pt idx="30">
                  <c:v>0</c:v>
                </c:pt>
                <c:pt idx="31">
                  <c:v>0</c:v>
                </c:pt>
                <c:pt idx="32">
                  <c:v>-0.16666666666666666</c:v>
                </c:pt>
                <c:pt idx="33">
                  <c:v>-0.33333333333333331</c:v>
                </c:pt>
                <c:pt idx="34">
                  <c:v>-0.5</c:v>
                </c:pt>
                <c:pt idx="35">
                  <c:v>-0.66666666666666663</c:v>
                </c:pt>
                <c:pt idx="36">
                  <c:v>-0.83333333333333326</c:v>
                </c:pt>
                <c:pt idx="37">
                  <c:v>-0.99999999999999989</c:v>
                </c:pt>
                <c:pt idx="38">
                  <c:v>-1.1666666666666665</c:v>
                </c:pt>
                <c:pt idx="39">
                  <c:v>-1.3333333333333333</c:v>
                </c:pt>
                <c:pt idx="40">
                  <c:v>-1.5</c:v>
                </c:pt>
                <c:pt idx="41">
                  <c:v>-1.6666666666666667</c:v>
                </c:pt>
                <c:pt idx="42">
                  <c:v>-1.8333333333333335</c:v>
                </c:pt>
                <c:pt idx="43">
                  <c:v>-2</c:v>
                </c:pt>
                <c:pt idx="44">
                  <c:v>-2.1666666666666665</c:v>
                </c:pt>
                <c:pt idx="45">
                  <c:v>-2.333333333333333</c:v>
                </c:pt>
                <c:pt idx="46">
                  <c:v>-2.4999999999999996</c:v>
                </c:pt>
                <c:pt idx="47">
                  <c:v>-2.6666666666666661</c:v>
                </c:pt>
                <c:pt idx="48">
                  <c:v>-2.8333333333333326</c:v>
                </c:pt>
                <c:pt idx="49">
                  <c:v>-2.9999999999999991</c:v>
                </c:pt>
                <c:pt idx="50">
                  <c:v>-3.1666666666666656</c:v>
                </c:pt>
                <c:pt idx="51">
                  <c:v>-3.3333333333333321</c:v>
                </c:pt>
                <c:pt idx="52">
                  <c:v>-3.4999999999999987</c:v>
                </c:pt>
                <c:pt idx="53">
                  <c:v>-3.6666666666666652</c:v>
                </c:pt>
                <c:pt idx="54">
                  <c:v>-3.8333333333333317</c:v>
                </c:pt>
                <c:pt idx="55">
                  <c:v>-3.9999999999999982</c:v>
                </c:pt>
                <c:pt idx="56">
                  <c:v>-4.1666666666666652</c:v>
                </c:pt>
                <c:pt idx="57">
                  <c:v>-4.3333333333333321</c:v>
                </c:pt>
                <c:pt idx="58">
                  <c:v>-4.4999999999999991</c:v>
                </c:pt>
                <c:pt idx="59">
                  <c:v>-4.6666666666666661</c:v>
                </c:pt>
                <c:pt idx="60">
                  <c:v>-4.833333333333333</c:v>
                </c:pt>
                <c:pt idx="6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42-42F9-AB1A-5615E78A0CAA}"/>
            </c:ext>
          </c:extLst>
        </c:ser>
        <c:ser>
          <c:idx val="1"/>
          <c:order val="1"/>
          <c:tx>
            <c:v>เส้นหัวกราฟ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642-42F9-AB1A-5615E78A0CAA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B642-42F9-AB1A-5615E78A0CAA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8.0763515054099025E-2"/>
                      <c:h val="4.5789488617600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642-42F9-AB1A-5615E78A0CA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noFill/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7-B642-42F9-AB1A-5615E78A0C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Sheet1!$AQ$11:$AR$11</c:f>
              <c:numCache>
                <c:formatCode>General</c:formatCode>
                <c:ptCount val="2"/>
                <c:pt idx="0" formatCode="#,##0.00">
                  <c:v>1.3060187172785513</c:v>
                </c:pt>
                <c:pt idx="1">
                  <c:v>0</c:v>
                </c:pt>
              </c:numCache>
            </c:numRef>
          </c:xVal>
          <c:yVal>
            <c:numRef>
              <c:f>Sheet1!$AQ$12:$AR$12</c:f>
              <c:numCache>
                <c:formatCode>#,##0.0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642-42F9-AB1A-5615E78A0CAA}"/>
            </c:ext>
          </c:extLst>
        </c:ser>
        <c:ser>
          <c:idx val="4"/>
          <c:order val="2"/>
          <c:tx>
            <c:v>Shear Line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B642-42F9-AB1A-5615E78A0CAA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22B-41A9-8892-33CAFE84418A}"/>
              </c:ext>
            </c:extLst>
          </c:dPt>
          <c:xVal>
            <c:numRef>
              <c:f>Sheet1!$BW$25:$BW$86</c:f>
              <c:numCache>
                <c:formatCode>#,##0.00</c:formatCode>
                <c:ptCount val="62"/>
                <c:pt idx="0">
                  <c:v>1.3060187172785513</c:v>
                </c:pt>
                <c:pt idx="1">
                  <c:v>1.3060187172785513</c:v>
                </c:pt>
                <c:pt idx="2">
                  <c:v>1.3060187172785513</c:v>
                </c:pt>
                <c:pt idx="3">
                  <c:v>1.3060187172785513</c:v>
                </c:pt>
                <c:pt idx="4">
                  <c:v>1.3060187172785513</c:v>
                </c:pt>
                <c:pt idx="5">
                  <c:v>1.3060187172785513</c:v>
                </c:pt>
                <c:pt idx="6">
                  <c:v>1.3060187172785513</c:v>
                </c:pt>
                <c:pt idx="7">
                  <c:v>1.3060187172785513</c:v>
                </c:pt>
                <c:pt idx="8">
                  <c:v>1.3060187172785513</c:v>
                </c:pt>
                <c:pt idx="9">
                  <c:v>1.3060187172785513</c:v>
                </c:pt>
                <c:pt idx="10">
                  <c:v>1.3060187172785513</c:v>
                </c:pt>
                <c:pt idx="11">
                  <c:v>1.3060165304033728</c:v>
                </c:pt>
                <c:pt idx="12">
                  <c:v>1.2990200026255949</c:v>
                </c:pt>
                <c:pt idx="13">
                  <c:v>1.2785165304033728</c:v>
                </c:pt>
                <c:pt idx="14">
                  <c:v>1.2445061137367062</c:v>
                </c:pt>
                <c:pt idx="15">
                  <c:v>1.1969887526255949</c:v>
                </c:pt>
                <c:pt idx="16">
                  <c:v>1.1359644470700394</c:v>
                </c:pt>
                <c:pt idx="17">
                  <c:v>1.0614331970700395</c:v>
                </c:pt>
                <c:pt idx="18">
                  <c:v>0.9733950026255952</c:v>
                </c:pt>
                <c:pt idx="19">
                  <c:v>0.87184986373670625</c:v>
                </c:pt>
                <c:pt idx="20">
                  <c:v>0.75679778040337264</c:v>
                </c:pt>
                <c:pt idx="21">
                  <c:v>0.62823875262559481</c:v>
                </c:pt>
                <c:pt idx="22">
                  <c:v>0.48617278040337253</c:v>
                </c:pt>
                <c:pt idx="23">
                  <c:v>0.33059986373670613</c:v>
                </c:pt>
                <c:pt idx="24">
                  <c:v>0.16152000262559452</c:v>
                </c:pt>
                <c:pt idx="25">
                  <c:v>-2.1066802929960993E-2</c:v>
                </c:pt>
                <c:pt idx="26">
                  <c:v>-0.21716055292996073</c:v>
                </c:pt>
                <c:pt idx="27">
                  <c:v>-0.42676124737440491</c:v>
                </c:pt>
                <c:pt idx="28">
                  <c:v>-0.64986888626329375</c:v>
                </c:pt>
                <c:pt idx="29">
                  <c:v>-0.88648346959662683</c:v>
                </c:pt>
                <c:pt idx="30">
                  <c:v>-1.1366049973744052</c:v>
                </c:pt>
                <c:pt idx="31">
                  <c:v>-1.1366049973744052</c:v>
                </c:pt>
                <c:pt idx="32">
                  <c:v>-0.97368833070773864</c:v>
                </c:pt>
                <c:pt idx="33">
                  <c:v>-0.81077166404107226</c:v>
                </c:pt>
                <c:pt idx="34">
                  <c:v>-0.64785499737440522</c:v>
                </c:pt>
                <c:pt idx="35">
                  <c:v>-0.48493833070773917</c:v>
                </c:pt>
                <c:pt idx="36">
                  <c:v>-0.32202166404107269</c:v>
                </c:pt>
                <c:pt idx="37">
                  <c:v>-0.1591049973744062</c:v>
                </c:pt>
                <c:pt idx="38">
                  <c:v>3.8116692922602891E-3</c:v>
                </c:pt>
                <c:pt idx="39">
                  <c:v>0.16672833595892933</c:v>
                </c:pt>
                <c:pt idx="40">
                  <c:v>0.32964500262559349</c:v>
                </c:pt>
                <c:pt idx="41">
                  <c:v>0.49256166929226008</c:v>
                </c:pt>
                <c:pt idx="42">
                  <c:v>0.65547833595892668</c:v>
                </c:pt>
                <c:pt idx="43">
                  <c:v>0.81839500262559661</c:v>
                </c:pt>
                <c:pt idx="44">
                  <c:v>0.98131166929225944</c:v>
                </c:pt>
                <c:pt idx="45">
                  <c:v>1.1442283359589258</c:v>
                </c:pt>
                <c:pt idx="46">
                  <c:v>1.3071450026255922</c:v>
                </c:pt>
                <c:pt idx="47">
                  <c:v>1.4700616692922586</c:v>
                </c:pt>
                <c:pt idx="48">
                  <c:v>1.6329783359589298</c:v>
                </c:pt>
                <c:pt idx="49">
                  <c:v>1.7958950026255966</c:v>
                </c:pt>
                <c:pt idx="50">
                  <c:v>1.9588116692922577</c:v>
                </c:pt>
                <c:pt idx="51">
                  <c:v>2.1217283359589301</c:v>
                </c:pt>
                <c:pt idx="52">
                  <c:v>2.2846450026255969</c:v>
                </c:pt>
                <c:pt idx="53">
                  <c:v>2.4475616692922566</c:v>
                </c:pt>
                <c:pt idx="54">
                  <c:v>2.6104783359589163</c:v>
                </c:pt>
                <c:pt idx="55">
                  <c:v>2.7733950026255894</c:v>
                </c:pt>
                <c:pt idx="56">
                  <c:v>2.9363116692922562</c:v>
                </c:pt>
                <c:pt idx="57">
                  <c:v>3.099228335958923</c:v>
                </c:pt>
                <c:pt idx="58">
                  <c:v>3.2621450026255898</c:v>
                </c:pt>
                <c:pt idx="59">
                  <c:v>3.4250616692922646</c:v>
                </c:pt>
                <c:pt idx="60">
                  <c:v>3.5879783359589146</c:v>
                </c:pt>
                <c:pt idx="61">
                  <c:v>3.7508950026255992</c:v>
                </c:pt>
              </c:numCache>
            </c:numRef>
          </c:xVal>
          <c:yVal>
            <c:numRef>
              <c:f>Sheet1!$BL$25:$BL$86</c:f>
              <c:numCache>
                <c:formatCode>#,##0.00</c:formatCode>
                <c:ptCount val="62"/>
                <c:pt idx="0">
                  <c:v>2.5</c:v>
                </c:pt>
                <c:pt idx="1">
                  <c:v>2.4166666666666665</c:v>
                </c:pt>
                <c:pt idx="2">
                  <c:v>2.333333333333333</c:v>
                </c:pt>
                <c:pt idx="3">
                  <c:v>2.2499999999999996</c:v>
                </c:pt>
                <c:pt idx="4">
                  <c:v>2.1666666666666661</c:v>
                </c:pt>
                <c:pt idx="5">
                  <c:v>2.0833333333333326</c:v>
                </c:pt>
                <c:pt idx="6">
                  <c:v>1.9999999999999993</c:v>
                </c:pt>
                <c:pt idx="7">
                  <c:v>1.9166666666666661</c:v>
                </c:pt>
                <c:pt idx="8">
                  <c:v>1.8333333333333328</c:v>
                </c:pt>
                <c:pt idx="9">
                  <c:v>1.7499999999999996</c:v>
                </c:pt>
                <c:pt idx="10">
                  <c:v>1.6666666666666663</c:v>
                </c:pt>
                <c:pt idx="11">
                  <c:v>1.583333333333333</c:v>
                </c:pt>
                <c:pt idx="12">
                  <c:v>1.4999999999999998</c:v>
                </c:pt>
                <c:pt idx="13">
                  <c:v>1.4166666666666665</c:v>
                </c:pt>
                <c:pt idx="14">
                  <c:v>1.3333333333333333</c:v>
                </c:pt>
                <c:pt idx="15">
                  <c:v>1.25</c:v>
                </c:pt>
                <c:pt idx="16">
                  <c:v>1.1666666666666667</c:v>
                </c:pt>
                <c:pt idx="17">
                  <c:v>1.0833333333333335</c:v>
                </c:pt>
                <c:pt idx="18">
                  <c:v>1.0000000000000002</c:v>
                </c:pt>
                <c:pt idx="19">
                  <c:v>0.91666666666666685</c:v>
                </c:pt>
                <c:pt idx="20">
                  <c:v>0.83333333333333348</c:v>
                </c:pt>
                <c:pt idx="21">
                  <c:v>0.75000000000000011</c:v>
                </c:pt>
                <c:pt idx="22">
                  <c:v>0.66666666666666674</c:v>
                </c:pt>
                <c:pt idx="23">
                  <c:v>0.58333333333333337</c:v>
                </c:pt>
                <c:pt idx="24">
                  <c:v>0.5</c:v>
                </c:pt>
                <c:pt idx="25">
                  <c:v>0.41666666666666669</c:v>
                </c:pt>
                <c:pt idx="26">
                  <c:v>0.33333333333333337</c:v>
                </c:pt>
                <c:pt idx="27">
                  <c:v>0.25000000000000006</c:v>
                </c:pt>
                <c:pt idx="28">
                  <c:v>0.16666666666666674</c:v>
                </c:pt>
                <c:pt idx="29">
                  <c:v>8.3333333333333412E-2</c:v>
                </c:pt>
                <c:pt idx="30">
                  <c:v>0</c:v>
                </c:pt>
                <c:pt idx="31">
                  <c:v>0</c:v>
                </c:pt>
                <c:pt idx="32">
                  <c:v>-0.16666666666666666</c:v>
                </c:pt>
                <c:pt idx="33">
                  <c:v>-0.33333333333333331</c:v>
                </c:pt>
                <c:pt idx="34">
                  <c:v>-0.5</c:v>
                </c:pt>
                <c:pt idx="35">
                  <c:v>-0.66666666666666663</c:v>
                </c:pt>
                <c:pt idx="36">
                  <c:v>-0.83333333333333326</c:v>
                </c:pt>
                <c:pt idx="37">
                  <c:v>-0.99999999999999989</c:v>
                </c:pt>
                <c:pt idx="38">
                  <c:v>-1.1666666666666665</c:v>
                </c:pt>
                <c:pt idx="39">
                  <c:v>-1.3333333333333333</c:v>
                </c:pt>
                <c:pt idx="40">
                  <c:v>-1.5</c:v>
                </c:pt>
                <c:pt idx="41">
                  <c:v>-1.6666666666666667</c:v>
                </c:pt>
                <c:pt idx="42">
                  <c:v>-1.8333333333333335</c:v>
                </c:pt>
                <c:pt idx="43">
                  <c:v>-2</c:v>
                </c:pt>
                <c:pt idx="44">
                  <c:v>-2.1666666666666665</c:v>
                </c:pt>
                <c:pt idx="45">
                  <c:v>-2.333333333333333</c:v>
                </c:pt>
                <c:pt idx="46">
                  <c:v>-2.4999999999999996</c:v>
                </c:pt>
                <c:pt idx="47">
                  <c:v>-2.6666666666666661</c:v>
                </c:pt>
                <c:pt idx="48">
                  <c:v>-2.8333333333333326</c:v>
                </c:pt>
                <c:pt idx="49">
                  <c:v>-2.9999999999999991</c:v>
                </c:pt>
                <c:pt idx="50">
                  <c:v>-3.1666666666666656</c:v>
                </c:pt>
                <c:pt idx="51">
                  <c:v>-3.3333333333333321</c:v>
                </c:pt>
                <c:pt idx="52">
                  <c:v>-3.4999999999999987</c:v>
                </c:pt>
                <c:pt idx="53">
                  <c:v>-3.6666666666666652</c:v>
                </c:pt>
                <c:pt idx="54">
                  <c:v>-3.8333333333333317</c:v>
                </c:pt>
                <c:pt idx="55">
                  <c:v>-3.9999999999999982</c:v>
                </c:pt>
                <c:pt idx="56">
                  <c:v>-4.1666666666666652</c:v>
                </c:pt>
                <c:pt idx="57">
                  <c:v>-4.3333333333333321</c:v>
                </c:pt>
                <c:pt idx="58">
                  <c:v>-4.4999999999999991</c:v>
                </c:pt>
                <c:pt idx="59">
                  <c:v>-4.6666666666666661</c:v>
                </c:pt>
                <c:pt idx="60">
                  <c:v>-4.833333333333333</c:v>
                </c:pt>
                <c:pt idx="6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642-42F9-AB1A-5615E78A0CAA}"/>
            </c:ext>
          </c:extLst>
        </c:ser>
        <c:ser>
          <c:idx val="2"/>
          <c:order val="3"/>
          <c:tx>
            <c:v>เส้นท้ายกราฟ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6">
                    <a:lumMod val="75000"/>
                  </a:schemeClr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B642-42F9-AB1A-5615E78A0CAA}"/>
              </c:ext>
            </c:extLst>
          </c:dPt>
          <c:dPt>
            <c:idx val="1"/>
            <c:marker>
              <c:symbol val="dot"/>
              <c:size val="5"/>
              <c:spPr>
                <a:solidFill>
                  <a:schemeClr val="accent6">
                    <a:lumMod val="75000"/>
                  </a:schemeClr>
                </a:solidFill>
                <a:ln w="95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B642-42F9-AB1A-5615E78A0CAA}"/>
              </c:ext>
            </c:extLst>
          </c:dPt>
          <c:dLbls>
            <c:dLbl>
              <c:idx val="0"/>
              <c:layout>
                <c:manualLayout>
                  <c:x val="-3.6966185480989087E-2"/>
                  <c:y val="4.844943912382802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42-42F9-AB1A-5615E78A0CAA}"/>
                </c:ext>
              </c:extLst>
            </c:dLbl>
            <c:dLbl>
              <c:idx val="1"/>
              <c:layout>
                <c:manualLayout>
                  <c:x val="-0.19715298923194099"/>
                  <c:y val="4.2393259233349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noFill/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5-B642-42F9-AB1A-5615E78A0C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Sheet1!$AQ$14:$AR$14</c:f>
              <c:numCache>
                <c:formatCode>General</c:formatCode>
                <c:ptCount val="2"/>
                <c:pt idx="0" formatCode="#,##0.00">
                  <c:v>3.7508950026255992</c:v>
                </c:pt>
                <c:pt idx="1">
                  <c:v>0</c:v>
                </c:pt>
              </c:numCache>
            </c:numRef>
          </c:xVal>
          <c:yVal>
            <c:numRef>
              <c:f>Sheet1!$AQ$15:$AR$15</c:f>
              <c:numCache>
                <c:formatCode>#,##0.00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642-42F9-AB1A-5615E78A0CAA}"/>
            </c:ext>
          </c:extLst>
        </c:ser>
        <c:ser>
          <c:idx val="5"/>
          <c:order val="4"/>
          <c:tx>
            <c:v>Line Mmax 1</c:v>
          </c:tx>
          <c:spPr>
            <a:ln w="95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1"/>
            <c:marker>
              <c:symbol val="dash"/>
              <c:size val="2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B642-42F9-AB1A-5615E78A0CAA}"/>
              </c:ext>
            </c:extLst>
          </c:dPt>
          <c:dLbls>
            <c:dLbl>
              <c:idx val="0"/>
              <c:layout>
                <c:manualLayout>
                  <c:x val="1.2322061826996349E-2"/>
                  <c:y val="-2.725280950715338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F2581AF-C2FB-4B85-B1C8-E320A3AD5BC8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B642-42F9-AB1A-5615E78A0CA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h-TH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642-42F9-AB1A-5615E78A0C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Sheet1!$AG$24:$AH$24</c:f>
              <c:numCache>
                <c:formatCode>General</c:formatCode>
                <c:ptCount val="2"/>
                <c:pt idx="0">
                  <c:v>-6.5</c:v>
                </c:pt>
                <c:pt idx="1">
                  <c:v>9</c:v>
                </c:pt>
              </c:numCache>
            </c:numRef>
          </c:xVal>
          <c:yVal>
            <c:numRef>
              <c:f>Sheet1!$AG$25:$AH$25</c:f>
              <c:numCache>
                <c:formatCode>General</c:formatCode>
                <c:ptCount val="2"/>
                <c:pt idx="0">
                  <c:v>0.48094256891784931</c:v>
                </c:pt>
                <c:pt idx="1">
                  <c:v>0.48094256891784931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Sheet1!$AG$21</c15:f>
                <c15:dlblRangeCache>
                  <c:ptCount val="1"/>
                  <c:pt idx="0">
                    <c:v>Mmax 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B642-42F9-AB1A-5615E78A0CAA}"/>
            </c:ext>
          </c:extLst>
        </c:ser>
        <c:ser>
          <c:idx val="3"/>
          <c:order val="5"/>
          <c:tx>
            <c:v>Line Mmax 2</c:v>
          </c:tx>
          <c:spPr>
            <a:ln w="9525" cap="rnd">
              <a:solidFill>
                <a:srgbClr val="0000FF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dPt>
            <c:idx val="1"/>
            <c:marker>
              <c:symbol val="dash"/>
              <c:size val="2"/>
              <c:spPr>
                <a:solidFill>
                  <a:srgbClr val="0000FF"/>
                </a:solidFill>
                <a:ln w="9525">
                  <a:solidFill>
                    <a:srgbClr val="0000F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B642-42F9-AB1A-5615E78A0CAA}"/>
              </c:ext>
            </c:extLst>
          </c:dPt>
          <c:dLbls>
            <c:dLbl>
              <c:idx val="0"/>
              <c:layout>
                <c:manualLayout>
                  <c:x val="1.2322061826996349E-2"/>
                  <c:y val="2.725280950715332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00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267BBAB-DD1D-4EB9-99C8-BE1746DC9974}" type="CELLRANGE">
                      <a:rPr lang="en-US"/>
                      <a:pPr>
                        <a:defRPr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00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642-42F9-AB1A-5615E78A0CAA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showDataLabelsRange val="1"/>
                </c:ext>
                <c:ext xmlns:c16="http://schemas.microsoft.com/office/drawing/2014/chart" uri="{C3380CC4-5D6E-409C-BE32-E72D297353CC}">
                  <c16:uniqueId val="{00000011-B642-42F9-AB1A-5615E78A0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Sheet1!$AI$24:$AJ$24</c:f>
              <c:numCache>
                <c:formatCode>General</c:formatCode>
                <c:ptCount val="2"/>
                <c:pt idx="0">
                  <c:v>-6.5</c:v>
                </c:pt>
                <c:pt idx="1">
                  <c:v>9</c:v>
                </c:pt>
              </c:numCache>
            </c:numRef>
          </c:xVal>
          <c:yVal>
            <c:numRef>
              <c:f>Sheet1!$AI$25:$AJ$25</c:f>
              <c:numCache>
                <c:formatCode>General</c:formatCode>
                <c:ptCount val="2"/>
                <c:pt idx="0">
                  <c:v>-1.1417914362467878</c:v>
                </c:pt>
                <c:pt idx="1">
                  <c:v>-1.1417914362467878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Sheet1!$AI$21</c15:f>
                <c15:dlblRangeCache>
                  <c:ptCount val="1"/>
                  <c:pt idx="0">
                    <c:v>Mmax 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B642-42F9-AB1A-5615E78A0CAA}"/>
            </c:ext>
          </c:extLst>
        </c:ser>
        <c:ser>
          <c:idx val="6"/>
          <c:order val="6"/>
          <c:tx>
            <c:v>1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Sheet1!$D$36</c:f>
              <c:numCache>
                <c:formatCode>#,##0.00</c:formatCode>
                <c:ptCount val="1"/>
                <c:pt idx="0">
                  <c:v>1.3060187172785513</c:v>
                </c:pt>
              </c:numCache>
            </c:numRef>
          </c:xVal>
          <c:yVal>
            <c:numRef>
              <c:f>Sheet1!$AR$14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642-42F9-AB1A-5615E78A0CAA}"/>
            </c:ext>
          </c:extLst>
        </c:ser>
        <c:ser>
          <c:idx val="7"/>
          <c:order val="7"/>
          <c:tx>
            <c:v>m11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2299113210854546E-3"/>
                  <c:y val="-2.437744539248292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F6B8097-5F23-42DB-B378-CA1F4757796F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1434318017382"/>
                      <c:h val="4.331219421721887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B642-42F9-AB1A-5615E78A0C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Sheet1!$AG$26</c:f>
              <c:numCache>
                <c:formatCode>General</c:formatCode>
                <c:ptCount val="1"/>
                <c:pt idx="0">
                  <c:v>3.5</c:v>
                </c:pt>
              </c:numCache>
            </c:numRef>
          </c:xVal>
          <c:yVal>
            <c:numRef>
              <c:f>Sheet1!$AG$25</c:f>
              <c:numCache>
                <c:formatCode>General</c:formatCode>
                <c:ptCount val="1"/>
                <c:pt idx="0">
                  <c:v>0.48094256891784931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Sheet1!$AF$22</c15:f>
                <c15:dlblRangeCache>
                  <c:ptCount val="1"/>
                  <c:pt idx="0">
                    <c:v>EL.+0.48 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B642-42F9-AB1A-5615E78A0CAA}"/>
            </c:ext>
          </c:extLst>
        </c:ser>
        <c:ser>
          <c:idx val="8"/>
          <c:order val="8"/>
          <c:tx>
            <c:strRef>
              <c:f>Sheet1!$AI$26</c:f>
              <c:strCache>
                <c:ptCount val="1"/>
                <c:pt idx="0">
                  <c:v>3.5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2299113210854546E-3"/>
                  <c:y val="1.828308404436215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00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CEB9A74-5391-4F64-BFC1-D9DE38D91C0E}" type="CELLRANGE">
                      <a:rPr lang="en-US"/>
                      <a:pPr>
                        <a:defRPr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th-TH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00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320554397931765"/>
                      <c:h val="4.331219421721887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B642-42F9-AB1A-5615E78A0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Sheet1!$AI$26</c:f>
              <c:numCache>
                <c:formatCode>General</c:formatCode>
                <c:ptCount val="1"/>
                <c:pt idx="0">
                  <c:v>3.5</c:v>
                </c:pt>
              </c:numCache>
            </c:numRef>
          </c:xVal>
          <c:yVal>
            <c:numRef>
              <c:f>Sheet1!$AI$25</c:f>
              <c:numCache>
                <c:formatCode>General</c:formatCode>
                <c:ptCount val="1"/>
                <c:pt idx="0">
                  <c:v>-1.1417914362467878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Sheet1!$AK$22</c15:f>
                <c15:dlblRangeCache>
                  <c:ptCount val="1"/>
                  <c:pt idx="0">
                    <c:v>EL.-1.141 m.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B642-42F9-AB1A-5615E78A0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137600"/>
        <c:axId val="1260816912"/>
      </c:scatterChart>
      <c:valAx>
        <c:axId val="1191137600"/>
        <c:scaling>
          <c:orientation val="minMax"/>
          <c:max val="10"/>
          <c:min val="-6.5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Shear Force (t/m)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60816912"/>
        <c:crosses val="autoZero"/>
        <c:crossBetween val="midCat"/>
        <c:majorUnit val="2.5"/>
      </c:valAx>
      <c:valAx>
        <c:axId val="126081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Pile</a:t>
                </a:r>
                <a:r>
                  <a:rPr lang="en-US" baseline="0">
                    <a:solidFill>
                      <a:schemeClr val="tx1"/>
                    </a:solidFill>
                  </a:rPr>
                  <a:t> Elevation (m.)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#,##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91137600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4555</xdr:colOff>
      <xdr:row>5</xdr:row>
      <xdr:rowOff>3517</xdr:rowOff>
    </xdr:from>
    <xdr:to>
      <xdr:col>6</xdr:col>
      <xdr:colOff>4555</xdr:colOff>
      <xdr:row>19</xdr:row>
      <xdr:rowOff>127781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FB2421-31BD-E454-4FF6-2120A4767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212654</xdr:rowOff>
    </xdr:from>
    <xdr:to>
      <xdr:col>6</xdr:col>
      <xdr:colOff>6508</xdr:colOff>
      <xdr:row>34</xdr:row>
      <xdr:rowOff>7601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C40AFB5-CDBC-4A29-A0FE-98FFBD469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603609</xdr:colOff>
      <xdr:row>18</xdr:row>
      <xdr:rowOff>213612</xdr:rowOff>
    </xdr:from>
    <xdr:to>
      <xdr:col>10</xdr:col>
      <xdr:colOff>552755</xdr:colOff>
      <xdr:row>33</xdr:row>
      <xdr:rowOff>219569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DCE32EC-A76D-4A00-B593-37ECC20E9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62E5B-36CA-4010-8D1D-BCE8510FB94B}">
  <sheetPr codeName="Sheet1"/>
  <dimension ref="A1:BZ170"/>
  <sheetViews>
    <sheetView tabSelected="1" zoomScale="145" zoomScaleNormal="145" zoomScaleSheetLayoutView="130" workbookViewId="0">
      <selection activeCell="R9" sqref="R9"/>
    </sheetView>
  </sheetViews>
  <sheetFormatPr defaultRowHeight="23.25" x14ac:dyDescent="0.5"/>
  <cols>
    <col min="1" max="5" width="9.140625" style="49"/>
    <col min="6" max="6" width="9.140625" style="49" customWidth="1"/>
    <col min="7" max="7" width="11.5703125" style="49" customWidth="1"/>
    <col min="8" max="9" width="9.140625" style="49"/>
    <col min="10" max="10" width="8" style="49" customWidth="1"/>
    <col min="11" max="11" width="9.140625" style="49"/>
    <col min="12" max="29" width="5.5703125" style="166" customWidth="1"/>
    <col min="30" max="33" width="15.7109375" style="49" customWidth="1"/>
    <col min="34" max="34" width="18.28515625" style="49" customWidth="1"/>
    <col min="35" max="37" width="15.7109375" style="49" customWidth="1"/>
    <col min="38" max="46" width="9.140625" style="49"/>
    <col min="47" max="47" width="13.140625" style="49" customWidth="1"/>
    <col min="48" max="49" width="17.7109375" style="49" customWidth="1"/>
    <col min="50" max="50" width="12.7109375" style="49" customWidth="1"/>
    <col min="51" max="53" width="9.140625" style="49"/>
    <col min="54" max="55" width="9.140625" style="50"/>
    <col min="56" max="56" width="12" style="50" customWidth="1"/>
    <col min="57" max="57" width="10.7109375" style="50" customWidth="1"/>
    <col min="58" max="58" width="9.140625" style="50"/>
    <col min="59" max="62" width="9.140625" style="49"/>
    <col min="63" max="64" width="15.85546875" style="49" customWidth="1"/>
    <col min="65" max="65" width="8.85546875" style="49" bestFit="1" customWidth="1"/>
    <col min="66" max="66" width="8.85546875" style="49" customWidth="1"/>
    <col min="67" max="67" width="15.85546875" style="49" customWidth="1"/>
    <col min="68" max="68" width="8.85546875" style="49" customWidth="1"/>
    <col min="69" max="69" width="15.85546875" style="51" customWidth="1"/>
    <col min="70" max="70" width="10.42578125" style="49" bestFit="1" customWidth="1"/>
    <col min="71" max="71" width="9.140625" style="49"/>
    <col min="72" max="72" width="9.140625" style="52"/>
    <col min="73" max="73" width="9.140625" style="49"/>
    <col min="74" max="74" width="14.140625" style="49" bestFit="1" customWidth="1"/>
    <col min="75" max="75" width="9.5703125" style="49" customWidth="1"/>
    <col min="76" max="16384" width="9.140625" style="49"/>
  </cols>
  <sheetData>
    <row r="1" spans="1:72" s="4" customFormat="1" ht="20.100000000000001" customHeight="1" x14ac:dyDescent="0.4">
      <c r="A1" s="1" t="s">
        <v>101</v>
      </c>
      <c r="B1" s="177"/>
      <c r="C1" s="177"/>
      <c r="D1" s="177"/>
      <c r="E1" s="177"/>
      <c r="F1" s="177"/>
      <c r="G1" s="2" t="s">
        <v>112</v>
      </c>
      <c r="H1" s="2"/>
      <c r="I1" s="178" t="s">
        <v>116</v>
      </c>
      <c r="J1" s="178"/>
      <c r="K1" s="17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H1" s="5" t="s">
        <v>9</v>
      </c>
      <c r="AI1" s="6"/>
      <c r="AJ1" s="7"/>
      <c r="AK1" s="8" t="s">
        <v>10</v>
      </c>
      <c r="AL1" s="8"/>
      <c r="AM1" s="8"/>
      <c r="AN1" s="8"/>
      <c r="AQ1" s="9" t="s">
        <v>36</v>
      </c>
      <c r="BB1" s="10"/>
      <c r="BC1" s="10"/>
      <c r="BD1" s="10"/>
      <c r="BE1" s="10"/>
      <c r="BF1" s="10"/>
      <c r="BT1" s="11"/>
    </row>
    <row r="2" spans="1:72" s="4" customFormat="1" ht="20.100000000000001" customHeight="1" x14ac:dyDescent="0.4">
      <c r="A2" s="1" t="s">
        <v>102</v>
      </c>
      <c r="B2" s="177"/>
      <c r="C2" s="177"/>
      <c r="D2" s="177"/>
      <c r="E2" s="177"/>
      <c r="F2" s="177"/>
      <c r="G2" s="2" t="s">
        <v>111</v>
      </c>
      <c r="H2" s="2"/>
      <c r="I2" s="179" t="s">
        <v>115</v>
      </c>
      <c r="J2" s="179"/>
      <c r="K2" s="17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H2" s="12"/>
      <c r="AI2" s="13"/>
      <c r="AJ2" s="14"/>
      <c r="AK2" s="15" t="s">
        <v>12</v>
      </c>
      <c r="AL2" s="16"/>
      <c r="AM2" s="15" t="s">
        <v>11</v>
      </c>
      <c r="AN2" s="16"/>
      <c r="AQ2" s="9"/>
      <c r="AT2" s="4">
        <v>15</v>
      </c>
      <c r="AU2" s="4">
        <v>0</v>
      </c>
      <c r="BB2" s="10"/>
      <c r="BC2" s="10"/>
      <c r="BD2" s="10"/>
      <c r="BE2" s="10"/>
      <c r="BF2" s="10"/>
      <c r="BT2" s="11"/>
    </row>
    <row r="3" spans="1:72" s="4" customFormat="1" ht="20.100000000000001" customHeight="1" x14ac:dyDescent="0.4">
      <c r="A3" s="1" t="s">
        <v>103</v>
      </c>
      <c r="B3" s="177"/>
      <c r="C3" s="177"/>
      <c r="D3" s="177"/>
      <c r="E3" s="177"/>
      <c r="F3" s="177"/>
      <c r="G3" s="17"/>
      <c r="H3" s="1" t="s">
        <v>113</v>
      </c>
      <c r="I3" s="180">
        <v>45292</v>
      </c>
      <c r="J3" s="181"/>
      <c r="K3" s="181"/>
      <c r="L3" s="3"/>
      <c r="M3" s="18" t="s">
        <v>124</v>
      </c>
      <c r="N3" s="18"/>
      <c r="O3" s="18"/>
      <c r="P3" s="18"/>
      <c r="Q3" s="18"/>
      <c r="R3" s="18"/>
      <c r="S3" s="18"/>
      <c r="T3" s="18"/>
      <c r="U3" s="18"/>
      <c r="V3" s="18"/>
      <c r="W3" s="3"/>
      <c r="X3" s="3"/>
      <c r="Y3" s="3"/>
      <c r="Z3" s="3"/>
      <c r="AA3" s="3"/>
      <c r="AB3" s="3"/>
      <c r="AC3" s="3"/>
      <c r="AH3" s="19" t="s">
        <v>5</v>
      </c>
      <c r="AI3" s="20"/>
      <c r="AJ3" s="16" t="s">
        <v>6</v>
      </c>
      <c r="AK3" s="21" t="s">
        <v>14</v>
      </c>
      <c r="AL3" s="22"/>
      <c r="AM3" s="21" t="s">
        <v>13</v>
      </c>
      <c r="AN3" s="22"/>
      <c r="AR3" s="9" t="s">
        <v>39</v>
      </c>
      <c r="AT3" s="4">
        <v>15</v>
      </c>
      <c r="AU3" s="4">
        <v>0</v>
      </c>
      <c r="BB3" s="10"/>
      <c r="BC3" s="10"/>
      <c r="BD3" s="10"/>
      <c r="BE3" s="10"/>
      <c r="BF3" s="10"/>
      <c r="BT3" s="11"/>
    </row>
    <row r="4" spans="1:72" s="4" customFormat="1" ht="9.9499999999999993" customHeight="1" thickBo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"/>
      <c r="M4" s="18"/>
      <c r="N4" s="18"/>
      <c r="O4" s="18"/>
      <c r="P4" s="18"/>
      <c r="Q4" s="18"/>
      <c r="R4" s="18"/>
      <c r="S4" s="18"/>
      <c r="T4" s="18"/>
      <c r="U4" s="18"/>
      <c r="V4" s="18"/>
      <c r="W4" s="3"/>
      <c r="X4" s="3"/>
      <c r="Y4" s="3"/>
      <c r="Z4" s="3"/>
      <c r="AA4" s="3"/>
      <c r="AB4" s="3"/>
      <c r="AC4" s="3"/>
      <c r="AH4" s="19" t="s">
        <v>8</v>
      </c>
      <c r="AI4" s="20"/>
      <c r="AJ4" s="16" t="s">
        <v>7</v>
      </c>
      <c r="AK4" s="24" t="s">
        <v>16</v>
      </c>
      <c r="AL4" s="25"/>
      <c r="AM4" s="24" t="s">
        <v>17</v>
      </c>
      <c r="AN4" s="25"/>
      <c r="AQ4" s="4">
        <v>0</v>
      </c>
      <c r="AR4" s="4">
        <f>J8</f>
        <v>2.5</v>
      </c>
      <c r="AS4" s="4">
        <f>AR5</f>
        <v>0</v>
      </c>
      <c r="AT4" s="4">
        <v>15</v>
      </c>
      <c r="AU4" s="26">
        <f>AX25</f>
        <v>-1.7799999999999998</v>
      </c>
      <c r="AV4" s="4" t="str">
        <f>"EL.+"&amp;AR4&amp;".00m."</f>
        <v>EL.+2.5.00m.</v>
      </c>
      <c r="AY4" s="4">
        <v>0</v>
      </c>
      <c r="AZ4" s="4">
        <f>AZ5+1</f>
        <v>3.5</v>
      </c>
      <c r="BA4" s="4">
        <v>9</v>
      </c>
      <c r="BB4" s="10">
        <v>0</v>
      </c>
      <c r="BC4" s="10"/>
      <c r="BD4" s="10"/>
      <c r="BE4" s="10"/>
      <c r="BF4" s="10"/>
      <c r="BT4" s="11"/>
    </row>
    <row r="5" spans="1:72" s="4" customFormat="1" ht="9.9499999999999993" customHeight="1" thickTop="1" thickBot="1" x14ac:dyDescent="0.45">
      <c r="A5" s="27"/>
      <c r="B5" s="27"/>
      <c r="C5" s="27"/>
      <c r="D5" s="27"/>
      <c r="E5" s="27"/>
      <c r="F5" s="27"/>
      <c r="G5" s="27"/>
      <c r="H5" s="27"/>
      <c r="I5" s="28"/>
      <c r="J5" s="27"/>
      <c r="K5" s="27"/>
      <c r="L5" s="3"/>
      <c r="M5" s="18"/>
      <c r="N5" s="18"/>
      <c r="O5" s="18"/>
      <c r="P5" s="18"/>
      <c r="Q5" s="18"/>
      <c r="R5" s="18"/>
      <c r="S5" s="18"/>
      <c r="T5" s="18"/>
      <c r="U5" s="18"/>
      <c r="V5" s="18"/>
      <c r="W5" s="3"/>
      <c r="X5" s="3"/>
      <c r="Y5" s="3"/>
      <c r="Z5" s="3"/>
      <c r="AA5" s="3"/>
      <c r="AB5" s="3"/>
      <c r="AC5" s="3"/>
      <c r="AQ5" s="4">
        <v>0</v>
      </c>
      <c r="AR5" s="4">
        <f>AR4-J8</f>
        <v>0</v>
      </c>
      <c r="AS5" s="4">
        <f>AR4</f>
        <v>2.5</v>
      </c>
      <c r="AT5" s="4">
        <f>AR4</f>
        <v>2.5</v>
      </c>
      <c r="AU5" s="4">
        <f>AR4</f>
        <v>2.5</v>
      </c>
      <c r="AV5" s="4" t="str">
        <f>"EL.+"&amp;AQ5&amp;".00m."</f>
        <v>EL.+0.00m.</v>
      </c>
      <c r="AY5" s="4">
        <v>0</v>
      </c>
      <c r="AZ5" s="4">
        <f>AR4</f>
        <v>2.5</v>
      </c>
      <c r="BA5" s="4">
        <f>AR4+1</f>
        <v>3.5</v>
      </c>
      <c r="BB5" s="10">
        <f>BA5</f>
        <v>3.5</v>
      </c>
      <c r="BC5" s="10"/>
      <c r="BD5" s="10"/>
      <c r="BE5" s="10"/>
      <c r="BF5" s="10"/>
      <c r="BT5" s="11"/>
    </row>
    <row r="6" spans="1:72" s="4" customFormat="1" ht="20.100000000000001" customHeight="1" thickTop="1" x14ac:dyDescent="0.4">
      <c r="A6" s="29"/>
      <c r="B6" s="29"/>
      <c r="C6" s="29"/>
      <c r="D6" s="29"/>
      <c r="E6" s="29"/>
      <c r="F6" s="29"/>
      <c r="G6" s="30" t="s">
        <v>0</v>
      </c>
      <c r="H6" s="31"/>
      <c r="I6" s="32"/>
      <c r="J6" s="31"/>
      <c r="K6" s="33"/>
      <c r="L6" s="3"/>
      <c r="M6" s="34" t="s">
        <v>125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H6" s="35" t="s">
        <v>18</v>
      </c>
      <c r="AI6" s="36">
        <v>28</v>
      </c>
      <c r="AJ6" s="36">
        <v>29</v>
      </c>
      <c r="AK6" s="36">
        <v>30</v>
      </c>
      <c r="AL6" s="36">
        <v>31</v>
      </c>
      <c r="AM6" s="36">
        <v>32</v>
      </c>
      <c r="AN6" s="36">
        <v>33</v>
      </c>
      <c r="AO6" s="37">
        <v>34</v>
      </c>
      <c r="AQ6" s="4">
        <v>0</v>
      </c>
      <c r="AR6" s="4">
        <v>0</v>
      </c>
      <c r="AT6" s="4">
        <v>-10</v>
      </c>
      <c r="AU6" s="4">
        <v>0</v>
      </c>
      <c r="AY6" s="4">
        <f t="shared" ref="AY6:AY17" si="0">AY4+1.5</f>
        <v>1.5</v>
      </c>
      <c r="AZ6" s="4">
        <f>$AZ$4</f>
        <v>3.5</v>
      </c>
      <c r="BB6" s="10"/>
      <c r="BC6" s="10"/>
      <c r="BD6" s="10"/>
      <c r="BE6" s="10"/>
      <c r="BF6" s="10"/>
      <c r="BT6" s="11"/>
    </row>
    <row r="7" spans="1:72" s="4" customFormat="1" ht="20.100000000000001" customHeight="1" x14ac:dyDescent="0.4">
      <c r="A7" s="29"/>
      <c r="B7" s="29"/>
      <c r="C7" s="29"/>
      <c r="D7" s="29"/>
      <c r="E7" s="29"/>
      <c r="F7" s="29"/>
      <c r="G7" s="30"/>
      <c r="H7" s="31"/>
      <c r="I7" s="32" t="s">
        <v>4</v>
      </c>
      <c r="J7" s="38" t="s">
        <v>6</v>
      </c>
      <c r="K7" s="39"/>
      <c r="L7" s="3"/>
      <c r="M7" s="40" t="s">
        <v>126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H7" s="41" t="s">
        <v>19</v>
      </c>
      <c r="AI7" s="42">
        <f>(TAN(RADIANS(45-(AI6/2))))^2</f>
        <v>0.36103348349818304</v>
      </c>
      <c r="AJ7" s="42">
        <f t="shared" ref="AJ7:AN7" si="1">(TAN(RADIANS(45-(AJ6/2))))^2</f>
        <v>0.34697403136988714</v>
      </c>
      <c r="AK7" s="42">
        <f t="shared" si="1"/>
        <v>0.33333333333333331</v>
      </c>
      <c r="AL7" s="42">
        <f t="shared" si="1"/>
        <v>0.32009883653830778</v>
      </c>
      <c r="AM7" s="42">
        <f>(TAN(RADIANS(45-(AM6/2))))^2</f>
        <v>0.30725852452246849</v>
      </c>
      <c r="AN7" s="42">
        <f t="shared" si="1"/>
        <v>0.29480089176986451</v>
      </c>
      <c r="AO7" s="43">
        <f>(TAN(RADIANS(45-(AO6/2))))^2</f>
        <v>0.28271491971777274</v>
      </c>
      <c r="AQ7" s="4">
        <v>0</v>
      </c>
      <c r="AR7" s="10">
        <f>-J18</f>
        <v>-5</v>
      </c>
      <c r="AT7" s="4">
        <v>0</v>
      </c>
      <c r="AU7" s="4">
        <v>0</v>
      </c>
      <c r="AV7" s="4" t="str">
        <f>"EL."&amp;AR7&amp;".00m."</f>
        <v>EL.-5.00m.</v>
      </c>
      <c r="AY7" s="4">
        <f t="shared" si="0"/>
        <v>1.5</v>
      </c>
      <c r="AZ7" s="4">
        <f>$AZ$5</f>
        <v>2.5</v>
      </c>
      <c r="BB7" s="10"/>
      <c r="BC7" s="10"/>
      <c r="BD7" s="10"/>
      <c r="BE7" s="10"/>
      <c r="BF7" s="10"/>
      <c r="BT7" s="11"/>
    </row>
    <row r="8" spans="1:72" s="4" customFormat="1" ht="20.100000000000001" customHeight="1" x14ac:dyDescent="0.4">
      <c r="A8" s="29"/>
      <c r="B8" s="29"/>
      <c r="C8" s="29"/>
      <c r="D8" s="29"/>
      <c r="E8" s="29"/>
      <c r="F8" s="29"/>
      <c r="G8" s="44"/>
      <c r="H8" s="45"/>
      <c r="I8" s="46" t="s">
        <v>1</v>
      </c>
      <c r="J8" s="182">
        <v>2.5</v>
      </c>
      <c r="K8" s="48" t="s">
        <v>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H8" s="41" t="s">
        <v>20</v>
      </c>
      <c r="AI8" s="42">
        <f>(TAN(RADIANS(45+(AI6/2))))^2</f>
        <v>2.7698261953729091</v>
      </c>
      <c r="AJ8" s="42">
        <f t="shared" ref="AJ8:AN8" si="2">(TAN(RADIANS(45+(AJ6/2))))^2</f>
        <v>2.8820600667199865</v>
      </c>
      <c r="AK8" s="42">
        <f t="shared" si="2"/>
        <v>2.9999999999999982</v>
      </c>
      <c r="AL8" s="42">
        <f t="shared" si="2"/>
        <v>3.1240350974544246</v>
      </c>
      <c r="AM8" s="42">
        <f t="shared" si="2"/>
        <v>3.2545883032998622</v>
      </c>
      <c r="AN8" s="42">
        <f t="shared" si="2"/>
        <v>3.3921199966404694</v>
      </c>
      <c r="AO8" s="43">
        <f>(TAN(RADIANS(45+(AO6/2))))^2</f>
        <v>3.5371320374541071</v>
      </c>
      <c r="AQ8" s="4">
        <v>0</v>
      </c>
      <c r="AR8" s="4">
        <v>2</v>
      </c>
      <c r="AT8" s="4">
        <v>2</v>
      </c>
      <c r="AU8" s="4">
        <v>4.5</v>
      </c>
      <c r="AV8" s="4" t="str">
        <f>"γ1 ="&amp;TRUNC(J9,2)&amp;"  t/cu.m."</f>
        <v>γ1 =1.94  t/cu.m.</v>
      </c>
      <c r="AY8" s="4">
        <f t="shared" si="0"/>
        <v>3</v>
      </c>
      <c r="AZ8" s="4">
        <f>$AZ$4</f>
        <v>3.5</v>
      </c>
      <c r="BB8" s="10"/>
      <c r="BC8" s="10"/>
      <c r="BD8" s="10"/>
      <c r="BE8" s="10"/>
      <c r="BF8" s="10"/>
      <c r="BT8" s="11"/>
    </row>
    <row r="9" spans="1:72" s="4" customFormat="1" ht="20.100000000000001" customHeight="1" x14ac:dyDescent="0.4">
      <c r="A9" s="29"/>
      <c r="B9" s="29"/>
      <c r="C9" s="29"/>
      <c r="D9" s="29"/>
      <c r="E9" s="29"/>
      <c r="F9" s="29"/>
      <c r="G9" s="44"/>
      <c r="H9" s="45"/>
      <c r="I9" s="46" t="s">
        <v>104</v>
      </c>
      <c r="J9" s="182">
        <v>1.9450000000000001</v>
      </c>
      <c r="K9" s="48" t="s">
        <v>105</v>
      </c>
      <c r="L9" s="3"/>
      <c r="M9" s="40" t="s">
        <v>138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Q9" s="4">
        <v>0</v>
      </c>
      <c r="AR9" s="4">
        <v>-2</v>
      </c>
      <c r="AT9" s="4">
        <v>1</v>
      </c>
      <c r="AU9" s="4">
        <v>4.5</v>
      </c>
      <c r="AV9" s="4" t="str">
        <f>"Cu1 ="&amp;TRUNC(J10,2)&amp;"  t/sq.m."</f>
        <v>Cu1 =1.89  t/sq.m.</v>
      </c>
      <c r="AY9" s="4">
        <f t="shared" si="0"/>
        <v>3</v>
      </c>
      <c r="AZ9" s="4">
        <f>$AZ$5</f>
        <v>2.5</v>
      </c>
      <c r="BB9" s="10"/>
      <c r="BC9" s="10"/>
      <c r="BD9" s="10"/>
      <c r="BE9" s="10"/>
      <c r="BF9" s="10"/>
      <c r="BT9" s="11"/>
    </row>
    <row r="10" spans="1:72" ht="20.100000000000001" customHeight="1" x14ac:dyDescent="0.5">
      <c r="A10" s="29"/>
      <c r="B10" s="29"/>
      <c r="C10" s="29"/>
      <c r="D10" s="29"/>
      <c r="E10" s="29"/>
      <c r="F10" s="29"/>
      <c r="G10" s="44"/>
      <c r="H10" s="45"/>
      <c r="I10" s="46" t="s">
        <v>106</v>
      </c>
      <c r="J10" s="182">
        <v>1.89</v>
      </c>
      <c r="K10" s="48" t="s">
        <v>107</v>
      </c>
      <c r="L10" s="3"/>
      <c r="M10" s="40" t="s">
        <v>139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Q10" s="9"/>
      <c r="AR10" s="4"/>
      <c r="AS10" s="4"/>
      <c r="AT10" s="4">
        <v>-0.5</v>
      </c>
      <c r="AU10" s="4">
        <v>4.5</v>
      </c>
      <c r="AV10" s="4" t="str">
        <f>"γ2 ="&amp;TRUNC(J15,2)&amp;"  t/cu.m."</f>
        <v>γ2 =1.94  t/cu.m.</v>
      </c>
      <c r="AW10" s="4"/>
      <c r="AX10" s="4"/>
      <c r="AY10" s="4">
        <f t="shared" si="0"/>
        <v>4.5</v>
      </c>
      <c r="AZ10" s="4">
        <f>$AZ$4</f>
        <v>3.5</v>
      </c>
    </row>
    <row r="11" spans="1:72" ht="20.100000000000001" customHeight="1" x14ac:dyDescent="0.5">
      <c r="A11" s="29"/>
      <c r="B11" s="29"/>
      <c r="C11" s="29"/>
      <c r="D11" s="29"/>
      <c r="E11" s="29"/>
      <c r="F11" s="29"/>
      <c r="G11" s="44"/>
      <c r="H11" s="45"/>
      <c r="I11" s="46" t="s">
        <v>108</v>
      </c>
      <c r="J11" s="47"/>
      <c r="K11" s="48" t="s">
        <v>3</v>
      </c>
      <c r="L11" s="3"/>
      <c r="M11" s="40" t="s">
        <v>140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Q11" s="53">
        <f>D36</f>
        <v>1.3060187172785513</v>
      </c>
      <c r="AR11" s="4">
        <v>0</v>
      </c>
      <c r="AS11" s="4"/>
      <c r="AT11" s="4">
        <v>-1.5</v>
      </c>
      <c r="AU11" s="4">
        <v>4.5</v>
      </c>
      <c r="AV11" s="4" t="str">
        <f>"Cu2 ="&amp;TRUNC(J16,2)&amp;"  t/sq.m."</f>
        <v>Cu2 =1.96  t/sq.m.</v>
      </c>
      <c r="AW11" s="4"/>
      <c r="AX11" s="4"/>
      <c r="AY11" s="4">
        <f t="shared" si="0"/>
        <v>4.5</v>
      </c>
      <c r="AZ11" s="4">
        <f>$AZ$5</f>
        <v>2.5</v>
      </c>
    </row>
    <row r="12" spans="1:72" ht="20.100000000000001" customHeight="1" x14ac:dyDescent="0.5">
      <c r="A12" s="29"/>
      <c r="B12" s="29"/>
      <c r="C12" s="29"/>
      <c r="D12" s="29"/>
      <c r="E12" s="29"/>
      <c r="F12" s="29"/>
      <c r="G12" s="54"/>
      <c r="H12" s="55"/>
      <c r="I12" s="56" t="s">
        <v>21</v>
      </c>
      <c r="J12" s="183">
        <v>2</v>
      </c>
      <c r="K12" s="57" t="s">
        <v>107</v>
      </c>
      <c r="L12" s="3"/>
      <c r="M12" s="40" t="s">
        <v>141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Q12" s="58">
        <f>AP25</f>
        <v>2.5</v>
      </c>
      <c r="AR12" s="59">
        <f>AP25</f>
        <v>2.5</v>
      </c>
      <c r="AS12" s="4"/>
      <c r="AT12" s="4">
        <v>-0.5</v>
      </c>
      <c r="AU12" s="4">
        <v>-4.5</v>
      </c>
      <c r="AV12" s="4" t="str">
        <f>AV10</f>
        <v>γ2 =1.94  t/cu.m.</v>
      </c>
      <c r="AW12" s="4"/>
      <c r="AX12" s="4"/>
      <c r="AY12" s="4">
        <f t="shared" si="0"/>
        <v>6</v>
      </c>
      <c r="AZ12" s="4">
        <f>$AZ$4</f>
        <v>3.5</v>
      </c>
    </row>
    <row r="13" spans="1:72" ht="20.100000000000001" customHeight="1" x14ac:dyDescent="0.5">
      <c r="A13" s="60"/>
      <c r="B13" s="60"/>
      <c r="C13" s="60"/>
      <c r="D13" s="60"/>
      <c r="E13" s="60"/>
      <c r="F13" s="60"/>
      <c r="G13" s="61" t="s">
        <v>22</v>
      </c>
      <c r="H13" s="62"/>
      <c r="I13" s="62"/>
      <c r="J13" s="62"/>
      <c r="K13" s="63"/>
      <c r="L13" s="3"/>
      <c r="M13" s="40" t="s">
        <v>127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Q13" s="9" t="str">
        <f>"F ="&amp;TRUNC($D$36,2)&amp;"  t/m."</f>
        <v>F =1.3  t/m.</v>
      </c>
      <c r="AR13" s="4"/>
      <c r="AS13" s="4"/>
      <c r="AT13" s="4">
        <v>-1.5</v>
      </c>
      <c r="AU13" s="4">
        <v>-4.5</v>
      </c>
      <c r="AV13" s="4" t="str">
        <f>AV11</f>
        <v>Cu2 =1.96  t/sq.m.</v>
      </c>
      <c r="AW13" s="4"/>
      <c r="AX13" s="4"/>
      <c r="AY13" s="4">
        <f t="shared" si="0"/>
        <v>6</v>
      </c>
      <c r="AZ13" s="4">
        <f>$AZ$5</f>
        <v>2.5</v>
      </c>
    </row>
    <row r="14" spans="1:72" ht="20.100000000000001" customHeight="1" x14ac:dyDescent="0.5">
      <c r="A14" s="60"/>
      <c r="B14" s="60"/>
      <c r="C14" s="60"/>
      <c r="D14" s="60"/>
      <c r="E14" s="60"/>
      <c r="F14" s="60"/>
      <c r="G14" s="61"/>
      <c r="H14" s="62"/>
      <c r="I14" s="64" t="s">
        <v>4</v>
      </c>
      <c r="J14" s="65" t="s">
        <v>6</v>
      </c>
      <c r="K14" s="66"/>
      <c r="L14" s="3"/>
      <c r="M14" s="4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Q14" s="53">
        <f>$BW$86</f>
        <v>3.7508950026255992</v>
      </c>
      <c r="AR14" s="4">
        <v>0</v>
      </c>
      <c r="AS14" s="4"/>
      <c r="AT14" s="4">
        <f>AR4+1</f>
        <v>3.5</v>
      </c>
      <c r="AU14" s="4">
        <f>AY17/2</f>
        <v>4.5</v>
      </c>
      <c r="AV14" s="4" t="str">
        <f>"q ="&amp;TRUNC(J12,2)&amp;"  t/sq.m."</f>
        <v>q =2  t/sq.m.</v>
      </c>
      <c r="AW14" s="4"/>
      <c r="AX14" s="4"/>
      <c r="AY14" s="4">
        <f t="shared" si="0"/>
        <v>7.5</v>
      </c>
      <c r="AZ14" s="4">
        <f>$AZ$4</f>
        <v>3.5</v>
      </c>
    </row>
    <row r="15" spans="1:72" ht="20.100000000000001" customHeight="1" x14ac:dyDescent="0.5">
      <c r="A15" s="60"/>
      <c r="B15" s="60"/>
      <c r="C15" s="60"/>
      <c r="D15" s="60"/>
      <c r="E15" s="60"/>
      <c r="F15" s="60"/>
      <c r="G15" s="67"/>
      <c r="H15" s="68"/>
      <c r="I15" s="69" t="s">
        <v>104</v>
      </c>
      <c r="J15" s="184">
        <v>1.9450000000000001</v>
      </c>
      <c r="K15" s="71" t="s">
        <v>105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Q15" s="53">
        <f>MIN(BL25:BL135)</f>
        <v>-5</v>
      </c>
      <c r="AR15" s="10">
        <f>AQ15</f>
        <v>-5</v>
      </c>
      <c r="AS15" s="4"/>
      <c r="AT15" s="4"/>
      <c r="AU15" s="4"/>
      <c r="AV15" s="4"/>
      <c r="AW15" s="4"/>
      <c r="AX15" s="4"/>
      <c r="AY15" s="4">
        <f t="shared" si="0"/>
        <v>7.5</v>
      </c>
      <c r="AZ15" s="4">
        <f>$AZ$5</f>
        <v>2.5</v>
      </c>
    </row>
    <row r="16" spans="1:72" ht="20.100000000000001" customHeight="1" x14ac:dyDescent="0.5">
      <c r="A16" s="60"/>
      <c r="B16" s="60"/>
      <c r="C16" s="60"/>
      <c r="D16" s="60"/>
      <c r="E16" s="60"/>
      <c r="F16" s="60"/>
      <c r="G16" s="67"/>
      <c r="H16" s="68"/>
      <c r="I16" s="69" t="s">
        <v>106</v>
      </c>
      <c r="J16" s="184">
        <v>1.96</v>
      </c>
      <c r="K16" s="71" t="s">
        <v>107</v>
      </c>
      <c r="L16" s="3"/>
      <c r="M16" s="72" t="s">
        <v>128</v>
      </c>
      <c r="N16" s="73"/>
      <c r="O16" s="73"/>
      <c r="P16" s="73"/>
      <c r="Q16" s="73"/>
      <c r="R16" s="73"/>
      <c r="S16" s="73"/>
      <c r="T16" s="73"/>
      <c r="U16" s="73"/>
      <c r="V16" s="3"/>
      <c r="W16" s="3"/>
      <c r="X16" s="3"/>
      <c r="Y16" s="3"/>
      <c r="Z16" s="3"/>
      <c r="AA16" s="3"/>
      <c r="AB16" s="3"/>
      <c r="AC16" s="3"/>
      <c r="AQ16" s="9"/>
      <c r="AR16" s="4"/>
      <c r="AS16" s="4" t="s">
        <v>49</v>
      </c>
      <c r="AT16" s="26">
        <f>IF(AX27&gt;0,(AX27+5),(AX27-5))</f>
        <v>-5.9775</v>
      </c>
      <c r="AU16" s="4">
        <v>0</v>
      </c>
      <c r="AV16" s="4"/>
      <c r="AW16" s="10"/>
      <c r="AX16" s="4"/>
      <c r="AY16" s="4">
        <f t="shared" si="0"/>
        <v>9</v>
      </c>
      <c r="AZ16" s="4">
        <f>$AZ$4</f>
        <v>3.5</v>
      </c>
    </row>
    <row r="17" spans="1:75" ht="17.25" customHeight="1" x14ac:dyDescent="0.5">
      <c r="A17" s="60"/>
      <c r="B17" s="60"/>
      <c r="C17" s="60"/>
      <c r="D17" s="60"/>
      <c r="E17" s="60"/>
      <c r="F17" s="60"/>
      <c r="G17" s="67"/>
      <c r="H17" s="68"/>
      <c r="I17" s="69" t="s">
        <v>108</v>
      </c>
      <c r="J17" s="70"/>
      <c r="K17" s="71" t="s">
        <v>3</v>
      </c>
      <c r="L17" s="3"/>
      <c r="M17" s="72" t="s">
        <v>129</v>
      </c>
      <c r="N17" s="73"/>
      <c r="O17" s="73"/>
      <c r="P17" s="73"/>
      <c r="Q17" s="73"/>
      <c r="R17" s="73"/>
      <c r="S17" s="73"/>
      <c r="T17" s="73"/>
      <c r="U17" s="73"/>
      <c r="V17" s="3"/>
      <c r="W17" s="3"/>
      <c r="X17" s="3"/>
      <c r="Y17" s="3"/>
      <c r="Z17" s="3"/>
      <c r="AA17" s="3"/>
      <c r="AB17" s="3"/>
      <c r="AC17" s="3"/>
      <c r="AQ17" s="9"/>
      <c r="AR17" s="4"/>
      <c r="AS17" s="4"/>
      <c r="AT17" s="4">
        <f>-AU37/2</f>
        <v>-2</v>
      </c>
      <c r="AU17" s="4">
        <f>-AU37/2</f>
        <v>-2</v>
      </c>
      <c r="AV17" s="4" t="str">
        <f>"V2 ="&amp;TRUNC((ABS(AX27*AU37)),2)&amp;"  t/m."</f>
        <v>V2 =3.91  t/m.</v>
      </c>
      <c r="AX17" s="4"/>
      <c r="AY17" s="4">
        <f t="shared" si="0"/>
        <v>9</v>
      </c>
      <c r="AZ17" s="4">
        <f>$AZ$5</f>
        <v>2.5</v>
      </c>
    </row>
    <row r="18" spans="1:75" ht="17.25" customHeight="1" x14ac:dyDescent="0.5">
      <c r="A18" s="60"/>
      <c r="B18" s="60"/>
      <c r="C18" s="60"/>
      <c r="D18" s="60"/>
      <c r="E18" s="60"/>
      <c r="F18" s="60"/>
      <c r="G18" s="74"/>
      <c r="H18" s="75"/>
      <c r="I18" s="76" t="s">
        <v>23</v>
      </c>
      <c r="J18" s="77">
        <f>MAX(AW35:AW36)</f>
        <v>5</v>
      </c>
      <c r="K18" s="78" t="s">
        <v>2</v>
      </c>
      <c r="L18" s="3"/>
      <c r="M18" s="72" t="s">
        <v>130</v>
      </c>
      <c r="N18" s="73"/>
      <c r="O18" s="73"/>
      <c r="P18" s="73"/>
      <c r="Q18" s="73"/>
      <c r="R18" s="73"/>
      <c r="S18" s="73"/>
      <c r="T18" s="73"/>
      <c r="U18" s="73"/>
      <c r="V18" s="3"/>
      <c r="W18" s="3"/>
      <c r="X18" s="3"/>
      <c r="Y18" s="3"/>
      <c r="Z18" s="3"/>
      <c r="AA18" s="3"/>
      <c r="AB18" s="3"/>
      <c r="AC18" s="3"/>
      <c r="AQ18" s="9"/>
      <c r="AR18" s="4"/>
      <c r="AS18" s="4" t="s">
        <v>61</v>
      </c>
      <c r="AT18" s="26">
        <f>AX30+3</f>
        <v>5.4426237146529566</v>
      </c>
      <c r="AU18" s="4">
        <v>0</v>
      </c>
      <c r="AV18" s="4"/>
      <c r="AW18" s="4"/>
      <c r="AX18" s="4"/>
      <c r="AY18" s="4"/>
      <c r="AZ18" s="4"/>
    </row>
    <row r="19" spans="1:75" ht="17.25" customHeight="1" x14ac:dyDescent="0.5">
      <c r="G19" s="79"/>
      <c r="H19" s="79"/>
      <c r="I19" s="79"/>
      <c r="J19" s="79"/>
      <c r="K19" s="7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Q19" s="9"/>
      <c r="AR19" s="4"/>
      <c r="AS19" s="4"/>
      <c r="AT19" s="26">
        <f>$AV$31</f>
        <v>0.52827763496143965</v>
      </c>
      <c r="AU19" s="26">
        <f>$AV$31</f>
        <v>0.52827763496143965</v>
      </c>
      <c r="AV19" s="4" t="str">
        <f>"V1 ="&amp;TRUNC(AX30,2)&amp;"  t/m."</f>
        <v>V1 =2.44  t/m.</v>
      </c>
      <c r="AW19" s="4"/>
      <c r="AX19" s="4"/>
      <c r="AY19" s="4"/>
      <c r="AZ19" s="4"/>
    </row>
    <row r="20" spans="1:75" ht="17.25" customHeight="1" x14ac:dyDescent="0.5">
      <c r="L20" s="3"/>
      <c r="M20" s="3"/>
      <c r="N20" s="3"/>
      <c r="O20" s="3"/>
      <c r="P20" s="80" t="s">
        <v>131</v>
      </c>
      <c r="Q20" s="80"/>
      <c r="R20" s="80"/>
      <c r="S20" s="80"/>
      <c r="T20" s="3"/>
      <c r="U20" s="3"/>
      <c r="V20" s="3"/>
      <c r="W20" s="3"/>
      <c r="X20" s="3"/>
      <c r="Y20" s="3"/>
      <c r="Z20" s="3"/>
      <c r="AA20" s="3"/>
      <c r="AB20" s="3"/>
      <c r="AC20" s="3"/>
      <c r="AQ20" s="9"/>
      <c r="AR20" s="4"/>
      <c r="AS20" s="4" t="s">
        <v>62</v>
      </c>
      <c r="AT20" s="4"/>
      <c r="AU20" s="4"/>
      <c r="AV20" s="4"/>
      <c r="AW20" s="4"/>
      <c r="AX20" s="4"/>
      <c r="AY20" s="4"/>
      <c r="AZ20" s="4"/>
    </row>
    <row r="21" spans="1:75" ht="17.25" customHeight="1" x14ac:dyDescent="0.5">
      <c r="L21" s="3"/>
      <c r="M21" s="3"/>
      <c r="N21" s="3"/>
      <c r="O21" s="3"/>
      <c r="P21" s="80" t="s">
        <v>132</v>
      </c>
      <c r="Q21" s="80"/>
      <c r="R21" s="80"/>
      <c r="S21" s="80"/>
      <c r="T21" s="3"/>
      <c r="U21" s="3"/>
      <c r="V21" s="3"/>
      <c r="W21" s="3"/>
      <c r="X21" s="3"/>
      <c r="Y21" s="3"/>
      <c r="Z21" s="3"/>
      <c r="AA21" s="3"/>
      <c r="AB21" s="3"/>
      <c r="AC21" s="3"/>
      <c r="AG21" s="49" t="s">
        <v>92</v>
      </c>
      <c r="AI21" s="49" t="s">
        <v>93</v>
      </c>
      <c r="AQ21" s="9"/>
      <c r="AR21" s="4"/>
      <c r="AS21" s="4"/>
      <c r="AT21" s="4"/>
      <c r="AU21" s="4"/>
      <c r="AV21" s="4"/>
      <c r="AW21" s="4"/>
      <c r="AX21" s="4"/>
      <c r="AY21" s="4"/>
      <c r="AZ21" s="4"/>
    </row>
    <row r="22" spans="1:75" ht="24" thickBot="1" x14ac:dyDescent="0.55000000000000004">
      <c r="L22" s="3"/>
      <c r="M22" s="3"/>
      <c r="N22" s="3"/>
      <c r="O22" s="3"/>
      <c r="P22" s="80" t="s">
        <v>133</v>
      </c>
      <c r="Q22" s="80"/>
      <c r="R22" s="80"/>
      <c r="S22" s="80"/>
      <c r="T22" s="3"/>
      <c r="U22" s="3"/>
      <c r="V22" s="3"/>
      <c r="W22" s="3"/>
      <c r="X22" s="3"/>
      <c r="Y22" s="3"/>
      <c r="Z22" s="3"/>
      <c r="AA22" s="3"/>
      <c r="AB22" s="3"/>
      <c r="AC22" s="3"/>
      <c r="AF22" s="49" t="str">
        <f>"EL.+"&amp;TRUNC(AG25,3)&amp;" m."</f>
        <v>EL.+0.48 m.</v>
      </c>
      <c r="AG22" s="49">
        <f>ABS(INTERCEPT(BL41:BL55,BW41:BW55))</f>
        <v>0.48094256891784931</v>
      </c>
      <c r="AH22" s="49">
        <v>0</v>
      </c>
      <c r="AI22" s="49">
        <f>INTERCEPT(BL54:BL86,BW54:BW86)</f>
        <v>-1.1417914362467878</v>
      </c>
      <c r="AJ22" s="49">
        <v>0</v>
      </c>
      <c r="AK22" s="49" t="str">
        <f>"EL."&amp;TRUNC(AI25,3)&amp;" m."</f>
        <v>EL.-1.141 m.</v>
      </c>
      <c r="AQ22" s="9" t="s">
        <v>37</v>
      </c>
      <c r="AR22" s="4"/>
      <c r="AS22" s="4"/>
      <c r="AT22" s="4"/>
      <c r="AU22" s="4"/>
      <c r="AV22" s="4"/>
      <c r="AW22" s="4">
        <f>(AR27*J15)-(2*J16)+J12</f>
        <v>2.9424999999999999</v>
      </c>
      <c r="AX22" s="4"/>
    </row>
    <row r="23" spans="1:75" ht="25.5" x14ac:dyDescent="0.55000000000000004"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G23" s="49">
        <v>0</v>
      </c>
      <c r="AH23" s="49">
        <v>0</v>
      </c>
      <c r="AI23" s="49">
        <v>0</v>
      </c>
      <c r="AJ23" s="49">
        <v>0</v>
      </c>
      <c r="AQ23" s="81" t="s">
        <v>24</v>
      </c>
      <c r="AR23" s="82" t="s">
        <v>25</v>
      </c>
      <c r="AS23" s="82" t="s">
        <v>26</v>
      </c>
      <c r="AT23" s="83" t="s">
        <v>27</v>
      </c>
      <c r="AU23" s="83" t="s">
        <v>28</v>
      </c>
      <c r="AV23" s="83" t="s">
        <v>12</v>
      </c>
      <c r="AW23" s="84" t="s">
        <v>11</v>
      </c>
      <c r="AX23" s="85" t="s">
        <v>29</v>
      </c>
      <c r="BJ23" s="49" t="s">
        <v>76</v>
      </c>
      <c r="BK23" s="81" t="s">
        <v>24</v>
      </c>
      <c r="BL23" s="83"/>
      <c r="BM23" s="86" t="s">
        <v>11</v>
      </c>
      <c r="BN23" s="87"/>
      <c r="BO23" s="88"/>
      <c r="BP23" s="89" t="s">
        <v>12</v>
      </c>
      <c r="BQ23" s="90"/>
      <c r="BR23" s="85" t="s">
        <v>29</v>
      </c>
      <c r="BS23" s="85" t="s">
        <v>29</v>
      </c>
      <c r="BU23" s="49">
        <f>MIN(BU25:BU135)</f>
        <v>-2.4426237146529566</v>
      </c>
    </row>
    <row r="24" spans="1:75" ht="27" x14ac:dyDescent="0.55000000000000004">
      <c r="L24" s="3"/>
      <c r="M24" s="91" t="s">
        <v>134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G24" s="49">
        <v>-6.5</v>
      </c>
      <c r="AH24" s="49">
        <v>9</v>
      </c>
      <c r="AI24" s="49">
        <f>AG24</f>
        <v>-6.5</v>
      </c>
      <c r="AJ24" s="49">
        <f>AH24</f>
        <v>9</v>
      </c>
      <c r="AQ24" s="92"/>
      <c r="AR24" s="93" t="s">
        <v>2</v>
      </c>
      <c r="AS24" s="93" t="s">
        <v>2</v>
      </c>
      <c r="AT24" s="94" t="s">
        <v>30</v>
      </c>
      <c r="AU24" s="94" t="s">
        <v>30</v>
      </c>
      <c r="AV24" s="94" t="s">
        <v>31</v>
      </c>
      <c r="AW24" s="95" t="s">
        <v>34</v>
      </c>
      <c r="AX24" s="96" t="s">
        <v>32</v>
      </c>
      <c r="BA24" s="49" t="s">
        <v>63</v>
      </c>
      <c r="BJ24" s="49" t="s">
        <v>77</v>
      </c>
      <c r="BK24" s="97"/>
      <c r="BL24" s="98"/>
      <c r="BM24" s="99" t="s">
        <v>73</v>
      </c>
      <c r="BN24" s="100" t="s">
        <v>89</v>
      </c>
      <c r="BO24" s="101" t="s">
        <v>90</v>
      </c>
      <c r="BP24" s="102" t="s">
        <v>74</v>
      </c>
      <c r="BQ24" s="103" t="s">
        <v>91</v>
      </c>
      <c r="BR24" s="104" t="s">
        <v>32</v>
      </c>
      <c r="BS24" s="104" t="s">
        <v>75</v>
      </c>
      <c r="BT24" s="52" t="s">
        <v>78</v>
      </c>
      <c r="BU24" s="49" t="s">
        <v>79</v>
      </c>
      <c r="BV24" s="49" t="s">
        <v>80</v>
      </c>
      <c r="BW24" s="49" t="s">
        <v>81</v>
      </c>
    </row>
    <row r="25" spans="1:75" ht="24" x14ac:dyDescent="0.55000000000000004">
      <c r="L25" s="3"/>
      <c r="M25" s="105" t="s">
        <v>135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G25" s="49">
        <f>AG22</f>
        <v>0.48094256891784931</v>
      </c>
      <c r="AH25" s="49">
        <f>AG25</f>
        <v>0.48094256891784931</v>
      </c>
      <c r="AI25" s="49">
        <f>AI22</f>
        <v>-1.1417914362467878</v>
      </c>
      <c r="AJ25" s="49">
        <f>AI25</f>
        <v>-1.1417914362467878</v>
      </c>
      <c r="AP25" s="106">
        <f>AQ25</f>
        <v>2.5</v>
      </c>
      <c r="AQ25" s="107">
        <f>$J$8</f>
        <v>2.5</v>
      </c>
      <c r="AR25" s="107">
        <f>$AQ$26</f>
        <v>0</v>
      </c>
      <c r="AS25" s="108"/>
      <c r="AT25" s="109"/>
      <c r="AU25" s="109">
        <f>$J$9*AR25</f>
        <v>0</v>
      </c>
      <c r="AV25" s="110"/>
      <c r="AW25" s="109">
        <f>$J$12+AU25-(2*$J$10)</f>
        <v>-1.7799999999999998</v>
      </c>
      <c r="AX25" s="111">
        <f>AW25-AV25</f>
        <v>-1.7799999999999998</v>
      </c>
      <c r="AY25" s="112" t="str">
        <f>TRUNC(AX25,2)&amp;" t/sq.m."</f>
        <v>-1.78 t/sq.m.</v>
      </c>
      <c r="BH25" s="49">
        <v>1</v>
      </c>
      <c r="BI25" s="50">
        <f>$AQ$25</f>
        <v>2.5</v>
      </c>
      <c r="BJ25" s="113">
        <f>IF(BM25="","",0)</f>
        <v>0</v>
      </c>
      <c r="BK25" s="114">
        <f>BI25</f>
        <v>2.5</v>
      </c>
      <c r="BL25" s="115">
        <f>$BK$25</f>
        <v>2.5</v>
      </c>
      <c r="BM25" s="116">
        <f>$BL$25-BL25</f>
        <v>0</v>
      </c>
      <c r="BN25" s="117">
        <f>$J$9*BM25</f>
        <v>0</v>
      </c>
      <c r="BO25" s="118">
        <f>$J$12+BN25-(2*$J$10)</f>
        <v>-1.7799999999999998</v>
      </c>
      <c r="BP25" s="116"/>
      <c r="BQ25" s="119"/>
      <c r="BR25" s="120">
        <f>BO25-BQ25</f>
        <v>-1.7799999999999998</v>
      </c>
      <c r="BS25" s="121"/>
      <c r="BT25" s="122">
        <f t="shared" ref="BT25:BT56" si="3">IF(BL25="","",D$36)</f>
        <v>1.3060187172785513</v>
      </c>
      <c r="BU25" s="50">
        <f>IF(($AT$32-BM25)&lt;0,(-0.5*BO25*($AV$30-BL25)),0)</f>
        <v>0</v>
      </c>
      <c r="BV25" s="50"/>
      <c r="BW25" s="50">
        <f>BT25+BU25+BV25</f>
        <v>1.3060187172785513</v>
      </c>
    </row>
    <row r="26" spans="1:75" ht="24" x14ac:dyDescent="0.55000000000000004">
      <c r="L26" s="3"/>
      <c r="M26" s="105" t="s">
        <v>136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G26" s="49">
        <v>3.5</v>
      </c>
      <c r="AI26" s="49">
        <v>3.5</v>
      </c>
      <c r="AP26" s="106">
        <f>AQ26</f>
        <v>0</v>
      </c>
      <c r="AQ26" s="107">
        <f>$AQ$4</f>
        <v>0</v>
      </c>
      <c r="AR26" s="107">
        <f>$AQ$25</f>
        <v>2.5</v>
      </c>
      <c r="AS26" s="108"/>
      <c r="AT26" s="109"/>
      <c r="AU26" s="109">
        <f>$J$9*AR26</f>
        <v>4.8624999999999998</v>
      </c>
      <c r="AV26" s="123"/>
      <c r="AW26" s="109">
        <f>$J$12+AU26-(2*$J$10)</f>
        <v>3.0825</v>
      </c>
      <c r="AX26" s="111">
        <f t="shared" ref="AX26" si="4">AW26-AV26</f>
        <v>3.0825</v>
      </c>
      <c r="AY26" s="112" t="str">
        <f t="shared" ref="AY26:AY28" si="5">TRUNC(AX26,2)&amp;" t/sq.m."</f>
        <v>3.08 t/sq.m.</v>
      </c>
      <c r="BH26" s="49">
        <v>2</v>
      </c>
      <c r="BJ26" s="113">
        <f t="shared" ref="BJ26:BJ56" si="6">IF(BM26="","",0)</f>
        <v>0</v>
      </c>
      <c r="BK26" s="114">
        <f>BK25-($BI$25/30)</f>
        <v>2.4166666666666665</v>
      </c>
      <c r="BL26" s="115">
        <f>BL25-($BL$25/30)</f>
        <v>2.4166666666666665</v>
      </c>
      <c r="BM26" s="116">
        <f>$BL$25-BL26</f>
        <v>8.3333333333333481E-2</v>
      </c>
      <c r="BN26" s="117">
        <f t="shared" ref="BN26:BN55" si="7">$J$9*BM26</f>
        <v>0.16208333333333363</v>
      </c>
      <c r="BO26" s="118">
        <f t="shared" ref="BO26:BO55" si="8">$J$12+BN26-(2*$J$10)</f>
        <v>-1.617916666666666</v>
      </c>
      <c r="BP26" s="116"/>
      <c r="BQ26" s="119"/>
      <c r="BR26" s="120">
        <f t="shared" ref="BR26:BR54" si="9">BO26-BQ26</f>
        <v>-1.617916666666666</v>
      </c>
      <c r="BS26" s="121"/>
      <c r="BT26" s="122">
        <f t="shared" si="3"/>
        <v>1.3060187172785513</v>
      </c>
      <c r="BU26" s="50">
        <f t="shared" ref="BU26:BU55" si="10">IF(($AT$32-BM26)&lt;0,(-0.5*BO26*($AV$30-BL26)),0)</f>
        <v>0</v>
      </c>
      <c r="BV26" s="50"/>
      <c r="BW26" s="50">
        <f t="shared" ref="BW26:BW86" si="11">BT26+BU26+BV26</f>
        <v>1.3060187172785513</v>
      </c>
    </row>
    <row r="27" spans="1:75" ht="24" x14ac:dyDescent="0.55000000000000004">
      <c r="L27" s="3"/>
      <c r="M27" s="105" t="s">
        <v>137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P27" s="106">
        <f>AQ27</f>
        <v>0</v>
      </c>
      <c r="AQ27" s="108">
        <f>AQ26</f>
        <v>0</v>
      </c>
      <c r="AR27" s="108">
        <f>$AR$26</f>
        <v>2.5</v>
      </c>
      <c r="AS27" s="108">
        <f>$AQ$27</f>
        <v>0</v>
      </c>
      <c r="AT27" s="124">
        <f>$J$15*AS27</f>
        <v>0</v>
      </c>
      <c r="AU27" s="109">
        <f>$J$15*AR27</f>
        <v>4.8624999999999998</v>
      </c>
      <c r="AV27" s="109">
        <f>AT27+2*$J$16</f>
        <v>3.92</v>
      </c>
      <c r="AW27" s="109">
        <f>$J$12+AU27-(2*$J$16)</f>
        <v>2.9424999999999999</v>
      </c>
      <c r="AX27" s="111">
        <f>AW27-AV27</f>
        <v>-0.97750000000000004</v>
      </c>
      <c r="AY27" s="112" t="str">
        <f t="shared" si="5"/>
        <v>-0.97 t/sq.m.</v>
      </c>
      <c r="BB27" s="50">
        <f>AX28</f>
        <v>-0.97750000000000004</v>
      </c>
      <c r="BC27" s="50">
        <v>0</v>
      </c>
      <c r="BD27" s="50">
        <f>-J18</f>
        <v>-5</v>
      </c>
      <c r="BE27" s="50">
        <f>BD27</f>
        <v>-5</v>
      </c>
      <c r="BH27" s="49">
        <v>3</v>
      </c>
      <c r="BJ27" s="113">
        <f t="shared" si="6"/>
        <v>0</v>
      </c>
      <c r="BK27" s="114">
        <f t="shared" ref="BK27:BK55" si="12">BK26-($BI$25/30)</f>
        <v>2.333333333333333</v>
      </c>
      <c r="BL27" s="115">
        <f t="shared" ref="BL27:BL55" si="13">BL26-($BL$25/30)</f>
        <v>2.333333333333333</v>
      </c>
      <c r="BM27" s="116">
        <f t="shared" ref="BM27:BM55" si="14">$BL$25-BL27</f>
        <v>0.16666666666666696</v>
      </c>
      <c r="BN27" s="117">
        <f t="shared" si="7"/>
        <v>0.32416666666666727</v>
      </c>
      <c r="BO27" s="118">
        <f t="shared" si="8"/>
        <v>-1.4558333333333326</v>
      </c>
      <c r="BP27" s="116"/>
      <c r="BQ27" s="119"/>
      <c r="BR27" s="120">
        <f t="shared" si="9"/>
        <v>-1.4558333333333326</v>
      </c>
      <c r="BS27" s="121"/>
      <c r="BT27" s="122">
        <f t="shared" si="3"/>
        <v>1.3060187172785513</v>
      </c>
      <c r="BU27" s="50">
        <f t="shared" si="10"/>
        <v>0</v>
      </c>
      <c r="BV27" s="50"/>
      <c r="BW27" s="50">
        <f t="shared" si="11"/>
        <v>1.3060187172785513</v>
      </c>
    </row>
    <row r="28" spans="1:75" ht="24" x14ac:dyDescent="0.55000000000000004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P28" s="106">
        <f>-AU37</f>
        <v>-4</v>
      </c>
      <c r="AQ28" s="108" t="s">
        <v>33</v>
      </c>
      <c r="AR28" s="108" t="str">
        <f>AR27&amp;"+D"</f>
        <v>2.5+D</v>
      </c>
      <c r="AS28" s="108" t="s">
        <v>33</v>
      </c>
      <c r="AT28" s="109" t="str">
        <f>TRUNC(J15,2)&amp;"D"</f>
        <v>1.94D</v>
      </c>
      <c r="AU28" s="109" t="str">
        <f>TRUNC(J15,2)&amp;"D+"&amp;$AR$27*$J$15</f>
        <v>1.94D+4.8625</v>
      </c>
      <c r="AV28" s="109" t="str">
        <f>AT28&amp;"+"&amp;TRUNC((2*$J$16),2)</f>
        <v>1.94D+3.92</v>
      </c>
      <c r="AW28" s="109" t="str">
        <f>J15&amp;"D+"&amp;TRUNC(AW22,2)</f>
        <v>1.945D+2.94</v>
      </c>
      <c r="AX28" s="111">
        <f>-AV27+AW27</f>
        <v>-0.97750000000000004</v>
      </c>
      <c r="AY28" s="112" t="str">
        <f t="shared" si="5"/>
        <v>-0.97 t/sq.m.</v>
      </c>
      <c r="BH28" s="49">
        <v>4</v>
      </c>
      <c r="BJ28" s="113">
        <f t="shared" si="6"/>
        <v>0</v>
      </c>
      <c r="BK28" s="114">
        <f t="shared" si="12"/>
        <v>2.2499999999999996</v>
      </c>
      <c r="BL28" s="115">
        <f t="shared" si="13"/>
        <v>2.2499999999999996</v>
      </c>
      <c r="BM28" s="116">
        <f t="shared" si="14"/>
        <v>0.25000000000000044</v>
      </c>
      <c r="BN28" s="117">
        <f t="shared" si="7"/>
        <v>0.4862500000000009</v>
      </c>
      <c r="BO28" s="118">
        <f t="shared" si="8"/>
        <v>-1.2937499999999988</v>
      </c>
      <c r="BP28" s="116"/>
      <c r="BQ28" s="119"/>
      <c r="BR28" s="120">
        <f t="shared" si="9"/>
        <v>-1.2937499999999988</v>
      </c>
      <c r="BS28" s="121"/>
      <c r="BT28" s="122">
        <f t="shared" si="3"/>
        <v>1.3060187172785513</v>
      </c>
      <c r="BU28" s="50">
        <f t="shared" si="10"/>
        <v>0</v>
      </c>
      <c r="BV28" s="50"/>
      <c r="BW28" s="50">
        <f t="shared" si="11"/>
        <v>1.3060187172785513</v>
      </c>
    </row>
    <row r="29" spans="1:75" ht="24" x14ac:dyDescent="0.55000000000000004"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Q29" s="125"/>
      <c r="AR29" s="126"/>
      <c r="AS29" s="126"/>
      <c r="AT29" s="126"/>
      <c r="AU29" s="127"/>
      <c r="AV29" s="128"/>
      <c r="AW29" s="126"/>
      <c r="AX29" s="111"/>
      <c r="BC29" s="50" t="s">
        <v>86</v>
      </c>
      <c r="BD29" s="50" t="s">
        <v>85</v>
      </c>
      <c r="BE29" s="50" t="s">
        <v>88</v>
      </c>
      <c r="BF29" s="50">
        <f>BE30</f>
        <v>1.3060187172785513</v>
      </c>
      <c r="BG29" s="49">
        <v>0</v>
      </c>
      <c r="BH29" s="49">
        <v>5</v>
      </c>
      <c r="BJ29" s="113">
        <f t="shared" si="6"/>
        <v>0</v>
      </c>
      <c r="BK29" s="114">
        <f t="shared" si="12"/>
        <v>2.1666666666666661</v>
      </c>
      <c r="BL29" s="115">
        <f t="shared" si="13"/>
        <v>2.1666666666666661</v>
      </c>
      <c r="BM29" s="116">
        <f t="shared" si="14"/>
        <v>0.33333333333333393</v>
      </c>
      <c r="BN29" s="117">
        <f t="shared" si="7"/>
        <v>0.64833333333333454</v>
      </c>
      <c r="BO29" s="118">
        <f t="shared" si="8"/>
        <v>-1.1316666666666655</v>
      </c>
      <c r="BP29" s="116"/>
      <c r="BQ29" s="119"/>
      <c r="BR29" s="120">
        <f t="shared" si="9"/>
        <v>-1.1316666666666655</v>
      </c>
      <c r="BS29" s="121"/>
      <c r="BT29" s="122">
        <f t="shared" si="3"/>
        <v>1.3060187172785513</v>
      </c>
      <c r="BU29" s="50">
        <f t="shared" si="10"/>
        <v>0</v>
      </c>
      <c r="BV29" s="50"/>
      <c r="BW29" s="50">
        <f t="shared" si="11"/>
        <v>1.3060187172785513</v>
      </c>
    </row>
    <row r="30" spans="1:75" ht="24" x14ac:dyDescent="0.55000000000000004"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Q30" s="129" t="s">
        <v>40</v>
      </c>
      <c r="AR30" s="130">
        <f>J8</f>
        <v>2.5</v>
      </c>
      <c r="AS30" s="100" t="s">
        <v>43</v>
      </c>
      <c r="AT30" s="131">
        <f>AX27</f>
        <v>-0.97750000000000004</v>
      </c>
      <c r="AU30" s="132" t="s">
        <v>46</v>
      </c>
      <c r="AV30" s="133">
        <f>AR30-AT32</f>
        <v>1.5848329048843188</v>
      </c>
      <c r="AW30" s="133" t="s">
        <v>48</v>
      </c>
      <c r="AX30" s="134">
        <f>0.5*AX26*AV30</f>
        <v>2.4426237146529566</v>
      </c>
      <c r="BB30" s="135" t="s">
        <v>82</v>
      </c>
      <c r="BC30" s="50">
        <v>0</v>
      </c>
      <c r="BD30" s="50">
        <f>BK25</f>
        <v>2.5</v>
      </c>
      <c r="BE30" s="50">
        <f>$BW$25</f>
        <v>1.3060187172785513</v>
      </c>
      <c r="BF30" s="50">
        <v>3</v>
      </c>
      <c r="BG30" s="50">
        <v>3</v>
      </c>
      <c r="BH30" s="49">
        <v>6</v>
      </c>
      <c r="BJ30" s="113">
        <f t="shared" si="6"/>
        <v>0</v>
      </c>
      <c r="BK30" s="114">
        <f t="shared" si="12"/>
        <v>2.0833333333333326</v>
      </c>
      <c r="BL30" s="115">
        <f t="shared" si="13"/>
        <v>2.0833333333333326</v>
      </c>
      <c r="BM30" s="116">
        <f t="shared" si="14"/>
        <v>0.41666666666666741</v>
      </c>
      <c r="BN30" s="117">
        <f t="shared" si="7"/>
        <v>0.81041666666666812</v>
      </c>
      <c r="BO30" s="118">
        <f t="shared" si="8"/>
        <v>-0.96958333333333169</v>
      </c>
      <c r="BP30" s="116"/>
      <c r="BQ30" s="119"/>
      <c r="BR30" s="120">
        <f t="shared" si="9"/>
        <v>-0.96958333333333169</v>
      </c>
      <c r="BS30" s="121"/>
      <c r="BT30" s="122">
        <f t="shared" si="3"/>
        <v>1.3060187172785513</v>
      </c>
      <c r="BU30" s="50">
        <f t="shared" si="10"/>
        <v>0</v>
      </c>
      <c r="BV30" s="50"/>
      <c r="BW30" s="50">
        <f t="shared" si="11"/>
        <v>1.3060187172785513</v>
      </c>
    </row>
    <row r="31" spans="1:75" ht="24" x14ac:dyDescent="0.55000000000000004"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Q31" s="129" t="s">
        <v>41</v>
      </c>
      <c r="AR31" s="131">
        <f>AX25</f>
        <v>-1.7799999999999998</v>
      </c>
      <c r="AS31" s="100" t="s">
        <v>44</v>
      </c>
      <c r="AT31" s="131">
        <f>AX28</f>
        <v>-0.97750000000000004</v>
      </c>
      <c r="AU31" s="132" t="s">
        <v>47</v>
      </c>
      <c r="AV31" s="131">
        <f>AV30/3</f>
        <v>0.52827763496143965</v>
      </c>
      <c r="AW31" s="100" t="s">
        <v>49</v>
      </c>
      <c r="AX31" s="134" t="str">
        <f>ABS(AT31)&amp;"D"</f>
        <v>0.9775D</v>
      </c>
      <c r="BB31" s="135" t="s">
        <v>83</v>
      </c>
      <c r="BC31" s="50">
        <v>0</v>
      </c>
      <c r="BD31" s="50">
        <f>BD30-AT32</f>
        <v>1.5848329048843188</v>
      </c>
      <c r="BE31" s="50">
        <f>BE30</f>
        <v>1.3060187172785513</v>
      </c>
      <c r="BH31" s="49">
        <v>7</v>
      </c>
      <c r="BJ31" s="113">
        <f t="shared" si="6"/>
        <v>0</v>
      </c>
      <c r="BK31" s="114">
        <f t="shared" si="12"/>
        <v>1.9999999999999993</v>
      </c>
      <c r="BL31" s="115">
        <f t="shared" si="13"/>
        <v>1.9999999999999993</v>
      </c>
      <c r="BM31" s="116">
        <f t="shared" si="14"/>
        <v>0.50000000000000067</v>
      </c>
      <c r="BN31" s="117">
        <f t="shared" si="7"/>
        <v>0.97250000000000136</v>
      </c>
      <c r="BO31" s="118">
        <f t="shared" si="8"/>
        <v>-0.80749999999999833</v>
      </c>
      <c r="BP31" s="116"/>
      <c r="BQ31" s="119"/>
      <c r="BR31" s="120">
        <f t="shared" si="9"/>
        <v>-0.80749999999999833</v>
      </c>
      <c r="BS31" s="121"/>
      <c r="BT31" s="122">
        <f t="shared" si="3"/>
        <v>1.3060187172785513</v>
      </c>
      <c r="BU31" s="50">
        <f t="shared" si="10"/>
        <v>0</v>
      </c>
      <c r="BV31" s="50"/>
      <c r="BW31" s="50">
        <f t="shared" si="11"/>
        <v>1.3060187172785513</v>
      </c>
    </row>
    <row r="32" spans="1:75" ht="17.25" customHeight="1" x14ac:dyDescent="0.55000000000000004"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G32" s="112" t="s">
        <v>66</v>
      </c>
      <c r="AQ32" s="129" t="s">
        <v>42</v>
      </c>
      <c r="AR32" s="131">
        <f>AX26</f>
        <v>3.0825</v>
      </c>
      <c r="AS32" s="100" t="s">
        <v>45</v>
      </c>
      <c r="AT32" s="131">
        <f>(ABS(AX25)*AR30)/(ABS(AX25)+AX26)</f>
        <v>0.91516709511568117</v>
      </c>
      <c r="AU32" s="131" t="s">
        <v>50</v>
      </c>
      <c r="AV32" s="100" t="str">
        <f>TRUNC(AV31,2)&amp;"+D"</f>
        <v>0.52+D</v>
      </c>
      <c r="AW32" s="100" t="s">
        <v>51</v>
      </c>
      <c r="AX32" s="136" t="s">
        <v>52</v>
      </c>
      <c r="BB32" s="135" t="s">
        <v>84</v>
      </c>
      <c r="BC32" s="50">
        <v>0</v>
      </c>
      <c r="BD32" s="50">
        <v>0</v>
      </c>
      <c r="BE32" s="50">
        <f>INTERCEPT(BL25:BL54,BW25:BW54)</f>
        <v>0.50520122594706041</v>
      </c>
      <c r="BH32" s="49">
        <v>8</v>
      </c>
      <c r="BJ32" s="113">
        <f t="shared" si="6"/>
        <v>0</v>
      </c>
      <c r="BK32" s="114">
        <f t="shared" si="12"/>
        <v>1.9166666666666661</v>
      </c>
      <c r="BL32" s="115">
        <f t="shared" si="13"/>
        <v>1.9166666666666661</v>
      </c>
      <c r="BM32" s="116">
        <f t="shared" si="14"/>
        <v>0.58333333333333393</v>
      </c>
      <c r="BN32" s="117">
        <f t="shared" si="7"/>
        <v>1.1345833333333346</v>
      </c>
      <c r="BO32" s="118">
        <f t="shared" si="8"/>
        <v>-0.64541666666666542</v>
      </c>
      <c r="BP32" s="116"/>
      <c r="BQ32" s="119"/>
      <c r="BR32" s="120">
        <f t="shared" si="9"/>
        <v>-0.64541666666666542</v>
      </c>
      <c r="BS32" s="121"/>
      <c r="BT32" s="122">
        <f t="shared" si="3"/>
        <v>1.3060187172785513</v>
      </c>
      <c r="BU32" s="50">
        <f t="shared" si="10"/>
        <v>0</v>
      </c>
      <c r="BV32" s="50"/>
      <c r="BW32" s="50">
        <f t="shared" si="11"/>
        <v>1.3060187172785513</v>
      </c>
    </row>
    <row r="33" spans="1:78" ht="17.25" customHeight="1" x14ac:dyDescent="0.55000000000000004"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137"/>
      <c r="AG33" s="112" t="s">
        <v>64</v>
      </c>
      <c r="AH33" s="112" t="s">
        <v>65</v>
      </c>
      <c r="AI33" s="49" t="s">
        <v>71</v>
      </c>
      <c r="AQ33" s="129" t="s">
        <v>53</v>
      </c>
      <c r="AR33" s="100"/>
      <c r="AS33" s="100"/>
      <c r="AT33" s="100"/>
      <c r="AU33" s="138"/>
      <c r="AV33" s="139" t="str">
        <f>TRUNC(AX30,2)&amp;"("&amp;AV32&amp;") - "&amp;AX31&amp;"("&amp;AX32&amp;")"&amp;"   =  0"</f>
        <v>2.44(0.52+D) - 0.9775D(0.50D)   =  0</v>
      </c>
      <c r="AW33" s="100"/>
      <c r="AX33" s="140"/>
      <c r="BB33" s="135" t="s">
        <v>87</v>
      </c>
      <c r="BC33" s="50">
        <v>0</v>
      </c>
      <c r="BD33" s="50">
        <f>MIN(BL25:BL135)</f>
        <v>-5</v>
      </c>
      <c r="BH33" s="49">
        <v>9</v>
      </c>
      <c r="BJ33" s="113">
        <f t="shared" si="6"/>
        <v>0</v>
      </c>
      <c r="BK33" s="114">
        <f t="shared" si="12"/>
        <v>1.8333333333333328</v>
      </c>
      <c r="BL33" s="115">
        <f t="shared" si="13"/>
        <v>1.8333333333333328</v>
      </c>
      <c r="BM33" s="116">
        <f t="shared" si="14"/>
        <v>0.66666666666666718</v>
      </c>
      <c r="BN33" s="117">
        <f t="shared" si="7"/>
        <v>1.2966666666666677</v>
      </c>
      <c r="BO33" s="118">
        <f t="shared" si="8"/>
        <v>-0.48333333333333206</v>
      </c>
      <c r="BP33" s="116"/>
      <c r="BQ33" s="119"/>
      <c r="BR33" s="120">
        <f t="shared" si="9"/>
        <v>-0.48333333333333206</v>
      </c>
      <c r="BS33" s="121"/>
      <c r="BT33" s="122">
        <f t="shared" si="3"/>
        <v>1.3060187172785513</v>
      </c>
      <c r="BU33" s="50">
        <f t="shared" si="10"/>
        <v>0</v>
      </c>
      <c r="BV33" s="50"/>
      <c r="BW33" s="50">
        <f t="shared" si="11"/>
        <v>1.3060187172785513</v>
      </c>
    </row>
    <row r="34" spans="1:78" ht="17.25" customHeight="1" x14ac:dyDescent="0.55000000000000004"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137"/>
      <c r="AF34" s="141" t="s">
        <v>61</v>
      </c>
      <c r="AG34" s="142">
        <f>AX30</f>
        <v>2.4426237146529566</v>
      </c>
      <c r="AH34" s="142">
        <f>AV31+AU37</f>
        <v>4.52827763496144</v>
      </c>
      <c r="AI34" s="142">
        <f>AG34*AH34</f>
        <v>11.060878337689417</v>
      </c>
      <c r="AQ34" s="129"/>
      <c r="AR34" s="100"/>
      <c r="AS34" s="100"/>
      <c r="AT34" s="100"/>
      <c r="AU34" s="132" t="s">
        <v>54</v>
      </c>
      <c r="AV34" s="143" t="str">
        <f>TRUNC((AT31/2),2)&amp;"D^2  +"&amp;TRUNC(AX30,2)&amp;"D + "&amp;TRUNC((AX30*AV31),2)&amp;"  =  0"</f>
        <v>-0.48D^2  +2.44D + 1.29  =  0</v>
      </c>
      <c r="AW34" s="100"/>
      <c r="AX34" s="140"/>
      <c r="BH34" s="49">
        <v>10</v>
      </c>
      <c r="BJ34" s="113">
        <f t="shared" si="6"/>
        <v>0</v>
      </c>
      <c r="BK34" s="114">
        <f t="shared" si="12"/>
        <v>1.7499999999999996</v>
      </c>
      <c r="BL34" s="115">
        <f t="shared" si="13"/>
        <v>1.7499999999999996</v>
      </c>
      <c r="BM34" s="116">
        <f t="shared" si="14"/>
        <v>0.75000000000000044</v>
      </c>
      <c r="BN34" s="117">
        <f t="shared" si="7"/>
        <v>1.4587500000000009</v>
      </c>
      <c r="BO34" s="118">
        <f t="shared" si="8"/>
        <v>-0.3212499999999987</v>
      </c>
      <c r="BP34" s="116"/>
      <c r="BQ34" s="119"/>
      <c r="BR34" s="120">
        <f t="shared" si="9"/>
        <v>-0.3212499999999987</v>
      </c>
      <c r="BS34" s="121"/>
      <c r="BT34" s="122">
        <f t="shared" si="3"/>
        <v>1.3060187172785513</v>
      </c>
      <c r="BU34" s="50">
        <f t="shared" si="10"/>
        <v>0</v>
      </c>
      <c r="BV34" s="50"/>
      <c r="BW34" s="50">
        <f t="shared" si="11"/>
        <v>1.3060187172785513</v>
      </c>
    </row>
    <row r="35" spans="1:78" ht="17.25" customHeight="1" x14ac:dyDescent="0.55000000000000004">
      <c r="A35" s="2" t="s">
        <v>69</v>
      </c>
      <c r="B35" s="2"/>
      <c r="C35" s="2"/>
      <c r="D35" s="185">
        <v>2.5</v>
      </c>
      <c r="E35" s="144"/>
      <c r="F35" s="144"/>
      <c r="G35" s="145" t="s">
        <v>114</v>
      </c>
      <c r="H35" s="145"/>
      <c r="I35" s="145"/>
      <c r="J35" s="145"/>
      <c r="K35" s="14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37"/>
      <c r="AF35" s="141" t="s">
        <v>49</v>
      </c>
      <c r="AG35" s="142">
        <f>ABS(AT31)*AU37</f>
        <v>3.91</v>
      </c>
      <c r="AH35" s="142">
        <f>AU37/2</f>
        <v>2</v>
      </c>
      <c r="AI35" s="142">
        <f>AG35*AH35</f>
        <v>7.82</v>
      </c>
      <c r="AQ35" s="129" t="s">
        <v>55</v>
      </c>
      <c r="AR35" s="100">
        <f>TRUNC((AT31/2),2)</f>
        <v>-0.48</v>
      </c>
      <c r="AS35" s="100"/>
      <c r="AT35" s="146" t="s">
        <v>58</v>
      </c>
      <c r="AU35" s="132">
        <f>ABS(-AR36-SQRT(((AR36^2)-4*AR35*AR37))/2*AR35)</f>
        <v>1.7431563733519551</v>
      </c>
      <c r="AV35" s="143">
        <f>AU35*1.2</f>
        <v>2.0917876480223461</v>
      </c>
      <c r="AW35" s="147">
        <f>ROUND(IF(AV35&lt;$AR$30*1.5,(1.5*$AR$30),AV35)*1.2,0)</f>
        <v>5</v>
      </c>
      <c r="AX35" s="140"/>
      <c r="BH35" s="49">
        <v>11</v>
      </c>
      <c r="BJ35" s="113">
        <f t="shared" si="6"/>
        <v>0</v>
      </c>
      <c r="BK35" s="114">
        <f t="shared" si="12"/>
        <v>1.6666666666666663</v>
      </c>
      <c r="BL35" s="115">
        <f t="shared" si="13"/>
        <v>1.6666666666666663</v>
      </c>
      <c r="BM35" s="116">
        <f t="shared" si="14"/>
        <v>0.8333333333333337</v>
      </c>
      <c r="BN35" s="117">
        <f t="shared" si="7"/>
        <v>1.620833333333334</v>
      </c>
      <c r="BO35" s="118">
        <f t="shared" si="8"/>
        <v>-0.15916666666666579</v>
      </c>
      <c r="BP35" s="116"/>
      <c r="BQ35" s="119"/>
      <c r="BR35" s="120">
        <f t="shared" si="9"/>
        <v>-0.15916666666666579</v>
      </c>
      <c r="BS35" s="121"/>
      <c r="BT35" s="122">
        <f t="shared" si="3"/>
        <v>1.3060187172785513</v>
      </c>
      <c r="BU35" s="50">
        <f t="shared" si="10"/>
        <v>0</v>
      </c>
      <c r="BV35" s="50"/>
      <c r="BW35" s="50">
        <f t="shared" si="11"/>
        <v>1.3060187172785513</v>
      </c>
    </row>
    <row r="36" spans="1:78" ht="17.25" customHeight="1" x14ac:dyDescent="0.55000000000000004">
      <c r="A36" s="2" t="s">
        <v>70</v>
      </c>
      <c r="B36" s="2"/>
      <c r="C36" s="2"/>
      <c r="D36" s="148">
        <f>IF(((($D$35*AI35)-AI34)/AH36)&gt;0,((($D$35*AI35)-AI34)/AH36),0)</f>
        <v>1.3060187172785513</v>
      </c>
      <c r="E36" s="144" t="s">
        <v>72</v>
      </c>
      <c r="F36" s="144"/>
      <c r="G36" s="145"/>
      <c r="H36" s="145"/>
      <c r="I36" s="145"/>
      <c r="J36" s="145"/>
      <c r="K36" s="14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137"/>
      <c r="AF36" s="141" t="s">
        <v>67</v>
      </c>
      <c r="AG36" s="49" t="s">
        <v>67</v>
      </c>
      <c r="AH36" s="142">
        <f>AR30+AU37</f>
        <v>6.5</v>
      </c>
      <c r="AQ36" s="129" t="s">
        <v>56</v>
      </c>
      <c r="AR36" s="131">
        <f>TRUNC(AX30,2)</f>
        <v>2.44</v>
      </c>
      <c r="AS36" s="100"/>
      <c r="AT36" s="146" t="s">
        <v>59</v>
      </c>
      <c r="AU36" s="132">
        <f>ABS(-AR36+SQRT(((AR36^2)-4*AR35*AR37))/2*AR35)</f>
        <v>3.1368436266480448</v>
      </c>
      <c r="AV36" s="143">
        <f>AU36*1.2</f>
        <v>3.7642123519776538</v>
      </c>
      <c r="AW36" s="147">
        <f>ROUND(IF(AV36&lt;$AR$30*1.5,(1.5*$AR$30),AV36)*1.2,0)</f>
        <v>5</v>
      </c>
      <c r="AX36" s="140"/>
      <c r="BH36" s="49">
        <v>12</v>
      </c>
      <c r="BJ36" s="113">
        <f t="shared" si="6"/>
        <v>0</v>
      </c>
      <c r="BK36" s="114">
        <f t="shared" si="12"/>
        <v>1.583333333333333</v>
      </c>
      <c r="BL36" s="115">
        <f t="shared" si="13"/>
        <v>1.583333333333333</v>
      </c>
      <c r="BM36" s="116">
        <f t="shared" si="14"/>
        <v>0.91666666666666696</v>
      </c>
      <c r="BN36" s="117">
        <f t="shared" si="7"/>
        <v>1.7829166666666674</v>
      </c>
      <c r="BO36" s="118">
        <f t="shared" si="8"/>
        <v>2.9166666666675667E-3</v>
      </c>
      <c r="BP36" s="116"/>
      <c r="BQ36" s="119"/>
      <c r="BR36" s="120">
        <f t="shared" si="9"/>
        <v>2.9166666666675667E-3</v>
      </c>
      <c r="BS36" s="121"/>
      <c r="BT36" s="122">
        <f t="shared" si="3"/>
        <v>1.3060187172785513</v>
      </c>
      <c r="BU36" s="50">
        <f t="shared" si="10"/>
        <v>-2.1868751785216183E-6</v>
      </c>
      <c r="BV36" s="50"/>
      <c r="BW36" s="50">
        <f t="shared" si="11"/>
        <v>1.3060165304033728</v>
      </c>
    </row>
    <row r="37" spans="1:78" ht="17.25" customHeight="1" x14ac:dyDescent="0.55000000000000004">
      <c r="A37" s="149" t="s">
        <v>123</v>
      </c>
      <c r="B37" s="144"/>
      <c r="C37" s="144"/>
      <c r="D37" s="144"/>
      <c r="E37" s="144"/>
      <c r="F37" s="144"/>
      <c r="G37" s="150" t="str">
        <f>"     1.  Length of   "&amp;I2&amp;"       ="</f>
        <v xml:space="preserve">     1.  Length of   Concrete Pile       =</v>
      </c>
      <c r="H37" s="150"/>
      <c r="I37" s="150"/>
      <c r="J37" s="148">
        <f>$J$8+$J$18</f>
        <v>7.5</v>
      </c>
      <c r="K37" s="151" t="s">
        <v>2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137"/>
      <c r="AF37" s="141" t="s">
        <v>68</v>
      </c>
      <c r="AQ37" s="129" t="s">
        <v>57</v>
      </c>
      <c r="AR37" s="100">
        <f>TRUNC((AX30*AV31),2)</f>
        <v>1.29</v>
      </c>
      <c r="AS37" s="100"/>
      <c r="AT37" s="146" t="s">
        <v>60</v>
      </c>
      <c r="AU37" s="152">
        <f>ROUND((AU36*1.2),0)</f>
        <v>4</v>
      </c>
      <c r="AV37" s="153" t="s">
        <v>2</v>
      </c>
      <c r="AW37" s="147">
        <f>ROUND((MAX(AW35:AW36)),0)</f>
        <v>5</v>
      </c>
      <c r="AX37" s="140"/>
      <c r="BH37" s="49">
        <v>13</v>
      </c>
      <c r="BJ37" s="113">
        <f t="shared" si="6"/>
        <v>0</v>
      </c>
      <c r="BK37" s="114">
        <f t="shared" si="12"/>
        <v>1.4999999999999998</v>
      </c>
      <c r="BL37" s="115">
        <f t="shared" si="13"/>
        <v>1.4999999999999998</v>
      </c>
      <c r="BM37" s="116">
        <f t="shared" si="14"/>
        <v>1.0000000000000002</v>
      </c>
      <c r="BN37" s="117">
        <f t="shared" si="7"/>
        <v>1.9450000000000005</v>
      </c>
      <c r="BO37" s="118">
        <f t="shared" si="8"/>
        <v>0.16500000000000048</v>
      </c>
      <c r="BP37" s="116"/>
      <c r="BQ37" s="119"/>
      <c r="BR37" s="120">
        <f t="shared" si="9"/>
        <v>0.16500000000000048</v>
      </c>
      <c r="BS37" s="121"/>
      <c r="BT37" s="122">
        <f t="shared" si="3"/>
        <v>1.3060187172785513</v>
      </c>
      <c r="BU37" s="50">
        <f t="shared" si="10"/>
        <v>-6.9987146529563423E-3</v>
      </c>
      <c r="BV37" s="50"/>
      <c r="BW37" s="50">
        <f t="shared" si="11"/>
        <v>1.2990200026255949</v>
      </c>
    </row>
    <row r="38" spans="1:78" ht="17.25" customHeight="1" x14ac:dyDescent="0.5">
      <c r="A38" s="154" t="s">
        <v>97</v>
      </c>
      <c r="B38" s="154"/>
      <c r="C38" s="154" t="s">
        <v>96</v>
      </c>
      <c r="D38" s="154"/>
      <c r="E38" s="154" t="s">
        <v>100</v>
      </c>
      <c r="F38" s="154"/>
      <c r="G38" s="155" t="s">
        <v>121</v>
      </c>
      <c r="H38" s="156"/>
      <c r="I38" s="156"/>
      <c r="J38" s="148">
        <f>J8</f>
        <v>2.5</v>
      </c>
      <c r="K38" s="151" t="s">
        <v>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137"/>
      <c r="AQ38" s="112" t="s">
        <v>38</v>
      </c>
      <c r="BH38" s="49">
        <v>14</v>
      </c>
      <c r="BJ38" s="113">
        <f t="shared" si="6"/>
        <v>0</v>
      </c>
      <c r="BK38" s="114">
        <f t="shared" si="12"/>
        <v>1.4166666666666665</v>
      </c>
      <c r="BL38" s="115">
        <f t="shared" si="13"/>
        <v>1.4166666666666665</v>
      </c>
      <c r="BM38" s="116">
        <f t="shared" si="14"/>
        <v>1.0833333333333335</v>
      </c>
      <c r="BN38" s="117">
        <f t="shared" si="7"/>
        <v>2.1070833333333336</v>
      </c>
      <c r="BO38" s="118">
        <f t="shared" si="8"/>
        <v>0.32708333333333384</v>
      </c>
      <c r="BP38" s="116"/>
      <c r="BQ38" s="119"/>
      <c r="BR38" s="120">
        <f t="shared" si="9"/>
        <v>0.32708333333333384</v>
      </c>
      <c r="BS38" s="121"/>
      <c r="BT38" s="122">
        <f t="shared" si="3"/>
        <v>1.3060187172785513</v>
      </c>
      <c r="BU38" s="50">
        <f t="shared" si="10"/>
        <v>-2.7502186875178598E-2</v>
      </c>
      <c r="BV38" s="50"/>
      <c r="BW38" s="50">
        <f t="shared" si="11"/>
        <v>1.2785165304033728</v>
      </c>
      <c r="BY38" s="52"/>
      <c r="BZ38" s="52"/>
    </row>
    <row r="39" spans="1:78" ht="17.25" customHeight="1" x14ac:dyDescent="0.5">
      <c r="A39" s="157" t="s">
        <v>98</v>
      </c>
      <c r="B39" s="157" t="s">
        <v>99</v>
      </c>
      <c r="C39" s="157" t="s">
        <v>95</v>
      </c>
      <c r="D39" s="157" t="s">
        <v>94</v>
      </c>
      <c r="E39" s="157" t="s">
        <v>95</v>
      </c>
      <c r="F39" s="157" t="s">
        <v>94</v>
      </c>
      <c r="G39" s="155" t="s">
        <v>122</v>
      </c>
      <c r="H39" s="156"/>
      <c r="I39" s="156"/>
      <c r="J39" s="158">
        <f>J18</f>
        <v>5</v>
      </c>
      <c r="K39" s="151" t="s">
        <v>2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137"/>
      <c r="AQ39" s="81" t="s">
        <v>24</v>
      </c>
      <c r="AR39" s="82" t="s">
        <v>25</v>
      </c>
      <c r="AS39" s="82" t="s">
        <v>26</v>
      </c>
      <c r="AT39" s="83" t="s">
        <v>27</v>
      </c>
      <c r="AU39" s="83" t="s">
        <v>28</v>
      </c>
      <c r="AV39" s="83" t="s">
        <v>12</v>
      </c>
      <c r="AW39" s="84" t="s">
        <v>11</v>
      </c>
      <c r="AX39" s="82" t="s">
        <v>29</v>
      </c>
      <c r="BH39" s="49">
        <v>15</v>
      </c>
      <c r="BJ39" s="113">
        <f t="shared" si="6"/>
        <v>0</v>
      </c>
      <c r="BK39" s="114">
        <f t="shared" si="12"/>
        <v>1.3333333333333333</v>
      </c>
      <c r="BL39" s="115">
        <f t="shared" si="13"/>
        <v>1.3333333333333333</v>
      </c>
      <c r="BM39" s="116">
        <f t="shared" si="14"/>
        <v>1.1666666666666667</v>
      </c>
      <c r="BN39" s="117">
        <f t="shared" si="7"/>
        <v>2.269166666666667</v>
      </c>
      <c r="BO39" s="118">
        <f t="shared" si="8"/>
        <v>0.48916666666666719</v>
      </c>
      <c r="BP39" s="116"/>
      <c r="BQ39" s="119"/>
      <c r="BR39" s="120">
        <f t="shared" si="9"/>
        <v>0.48916666666666719</v>
      </c>
      <c r="BS39" s="121"/>
      <c r="BT39" s="122">
        <f t="shared" si="3"/>
        <v>1.3060187172785513</v>
      </c>
      <c r="BU39" s="50">
        <f t="shared" si="10"/>
        <v>-6.1512603541845283E-2</v>
      </c>
      <c r="BV39" s="50"/>
      <c r="BW39" s="50">
        <f t="shared" si="11"/>
        <v>1.2445061137367062</v>
      </c>
      <c r="BY39" s="52"/>
    </row>
    <row r="40" spans="1:78" ht="17.25" customHeight="1" x14ac:dyDescent="0.5">
      <c r="A40" s="157" t="s">
        <v>67</v>
      </c>
      <c r="B40" s="159">
        <f>$D$36</f>
        <v>1.3060187172785513</v>
      </c>
      <c r="C40" s="159">
        <f>$AQ$25-$AG$25</f>
        <v>2.0190574310821505</v>
      </c>
      <c r="D40" s="159">
        <f>C40*B40</f>
        <v>2.6369267962536371</v>
      </c>
      <c r="E40" s="159">
        <f>$AQ$25-$AI$25</f>
        <v>3.6417914362467876</v>
      </c>
      <c r="F40" s="159">
        <f>E40*B40</f>
        <v>4.7562477801630427</v>
      </c>
      <c r="G40" s="150" t="str">
        <f>"     2."&amp;A36</f>
        <v xml:space="preserve">     2.Tension force at head wall : F =</v>
      </c>
      <c r="H40" s="150"/>
      <c r="I40" s="150"/>
      <c r="J40" s="148">
        <f>D36</f>
        <v>1.3060187172785513</v>
      </c>
      <c r="K40" s="151" t="s">
        <v>117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37"/>
      <c r="AQ40" s="92"/>
      <c r="AR40" s="93" t="s">
        <v>2</v>
      </c>
      <c r="AS40" s="93" t="s">
        <v>2</v>
      </c>
      <c r="AT40" s="94" t="s">
        <v>30</v>
      </c>
      <c r="AU40" s="94" t="s">
        <v>30</v>
      </c>
      <c r="AV40" s="94" t="s">
        <v>15</v>
      </c>
      <c r="AW40" s="95" t="s">
        <v>35</v>
      </c>
      <c r="AX40" s="93" t="s">
        <v>32</v>
      </c>
      <c r="BH40" s="49">
        <v>16</v>
      </c>
      <c r="BJ40" s="113">
        <f t="shared" si="6"/>
        <v>0</v>
      </c>
      <c r="BK40" s="114">
        <f t="shared" si="12"/>
        <v>1.25</v>
      </c>
      <c r="BL40" s="115">
        <f t="shared" si="13"/>
        <v>1.25</v>
      </c>
      <c r="BM40" s="116">
        <f t="shared" si="14"/>
        <v>1.25</v>
      </c>
      <c r="BN40" s="117">
        <f t="shared" si="7"/>
        <v>2.4312499999999999</v>
      </c>
      <c r="BO40" s="118">
        <f t="shared" si="8"/>
        <v>0.65125000000000055</v>
      </c>
      <c r="BP40" s="116"/>
      <c r="BQ40" s="119"/>
      <c r="BR40" s="120">
        <f t="shared" si="9"/>
        <v>0.65125000000000055</v>
      </c>
      <c r="BS40" s="121"/>
      <c r="BT40" s="122">
        <f t="shared" si="3"/>
        <v>1.3060187172785513</v>
      </c>
      <c r="BU40" s="50">
        <f t="shared" si="10"/>
        <v>-0.1090299646529564</v>
      </c>
      <c r="BV40" s="50"/>
      <c r="BW40" s="50">
        <f t="shared" si="11"/>
        <v>1.1969887526255949</v>
      </c>
      <c r="BY40" s="52"/>
    </row>
    <row r="41" spans="1:78" ht="17.25" customHeight="1" x14ac:dyDescent="0.55000000000000004">
      <c r="A41" s="157" t="s">
        <v>61</v>
      </c>
      <c r="B41" s="159">
        <f>$AX$30</f>
        <v>2.4426237146529566</v>
      </c>
      <c r="C41" s="159">
        <f>$AV$31-$AG$25</f>
        <v>4.7335066043590335E-2</v>
      </c>
      <c r="D41" s="159">
        <f t="shared" ref="D41:D42" si="15">C41*B41</f>
        <v>0.11562175485273765</v>
      </c>
      <c r="E41" s="159">
        <f>$AV$31-$AI$25</f>
        <v>1.6700690712082276</v>
      </c>
      <c r="F41" s="159">
        <f t="shared" ref="F41:F42" si="16">E41*B41</f>
        <v>4.0793503184416542</v>
      </c>
      <c r="G41" s="150" t="s">
        <v>118</v>
      </c>
      <c r="H41" s="150"/>
      <c r="I41" s="150"/>
      <c r="J41" s="148">
        <f>MAX(BW25:BW86)</f>
        <v>3.7508950026255992</v>
      </c>
      <c r="K41" s="151" t="s">
        <v>117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137"/>
      <c r="AQ41" s="108"/>
      <c r="AR41" s="108"/>
      <c r="AS41" s="108"/>
      <c r="AT41" s="109"/>
      <c r="AU41" s="109"/>
      <c r="AV41" s="110"/>
      <c r="AW41" s="110"/>
      <c r="AX41" s="111"/>
      <c r="BH41" s="49">
        <v>17</v>
      </c>
      <c r="BJ41" s="113">
        <f t="shared" si="6"/>
        <v>0</v>
      </c>
      <c r="BK41" s="114">
        <f t="shared" si="12"/>
        <v>1.1666666666666667</v>
      </c>
      <c r="BL41" s="115">
        <f t="shared" si="13"/>
        <v>1.1666666666666667</v>
      </c>
      <c r="BM41" s="116">
        <f t="shared" si="14"/>
        <v>1.3333333333333333</v>
      </c>
      <c r="BN41" s="117">
        <f t="shared" si="7"/>
        <v>2.5933333333333333</v>
      </c>
      <c r="BO41" s="118">
        <f t="shared" si="8"/>
        <v>0.81333333333333391</v>
      </c>
      <c r="BP41" s="116"/>
      <c r="BQ41" s="119"/>
      <c r="BR41" s="120">
        <f t="shared" si="9"/>
        <v>0.81333333333333391</v>
      </c>
      <c r="BS41" s="121"/>
      <c r="BT41" s="122">
        <f t="shared" si="3"/>
        <v>1.3060187172785513</v>
      </c>
      <c r="BU41" s="50">
        <f t="shared" si="10"/>
        <v>-0.17005427020851197</v>
      </c>
      <c r="BV41" s="50"/>
      <c r="BW41" s="50">
        <f t="shared" si="11"/>
        <v>1.1359644470700394</v>
      </c>
      <c r="BY41" s="52"/>
    </row>
    <row r="42" spans="1:78" ht="17.25" customHeight="1" x14ac:dyDescent="0.55000000000000004">
      <c r="A42" s="157" t="s">
        <v>49</v>
      </c>
      <c r="B42" s="159">
        <f>$AG$35</f>
        <v>3.91</v>
      </c>
      <c r="C42" s="159">
        <f>$AG$25-$AU$37/2</f>
        <v>-1.5190574310821507</v>
      </c>
      <c r="D42" s="159">
        <f t="shared" si="15"/>
        <v>-5.9395145555312094</v>
      </c>
      <c r="E42" s="159">
        <f>$AI$25-$AU$37/2</f>
        <v>-3.1417914362467876</v>
      </c>
      <c r="F42" s="159">
        <f t="shared" si="16"/>
        <v>-12.28440451572494</v>
      </c>
      <c r="G42" s="160" t="s">
        <v>120</v>
      </c>
      <c r="H42" s="155"/>
      <c r="I42" s="148">
        <f>MAX(D43,F43)</f>
        <v>-3.1869660044248347</v>
      </c>
      <c r="J42" s="156" t="s">
        <v>119</v>
      </c>
      <c r="K42" s="156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137"/>
      <c r="AQ42" s="125"/>
      <c r="AR42" s="125"/>
      <c r="AS42" s="108"/>
      <c r="AT42" s="109"/>
      <c r="AU42" s="109"/>
      <c r="AV42" s="123"/>
      <c r="AW42" s="110"/>
      <c r="AX42" s="111"/>
      <c r="BH42" s="49">
        <v>18</v>
      </c>
      <c r="BJ42" s="113">
        <f t="shared" si="6"/>
        <v>0</v>
      </c>
      <c r="BK42" s="114">
        <f t="shared" si="12"/>
        <v>1.0833333333333335</v>
      </c>
      <c r="BL42" s="115">
        <f t="shared" si="13"/>
        <v>1.0833333333333335</v>
      </c>
      <c r="BM42" s="116">
        <f t="shared" si="14"/>
        <v>1.4166666666666665</v>
      </c>
      <c r="BN42" s="117">
        <f t="shared" si="7"/>
        <v>2.7554166666666666</v>
      </c>
      <c r="BO42" s="118">
        <f t="shared" si="8"/>
        <v>0.97541666666666726</v>
      </c>
      <c r="BP42" s="116"/>
      <c r="BQ42" s="119"/>
      <c r="BR42" s="120">
        <f t="shared" si="9"/>
        <v>0.97541666666666726</v>
      </c>
      <c r="BS42" s="121"/>
      <c r="BT42" s="122">
        <f t="shared" si="3"/>
        <v>1.3060187172785513</v>
      </c>
      <c r="BU42" s="50">
        <f t="shared" si="10"/>
        <v>-0.24458552020851196</v>
      </c>
      <c r="BV42" s="50"/>
      <c r="BW42" s="50">
        <f t="shared" si="11"/>
        <v>1.0614331970700395</v>
      </c>
      <c r="BY42" s="52"/>
    </row>
    <row r="43" spans="1:78" ht="17.25" customHeight="1" x14ac:dyDescent="0.55000000000000004">
      <c r="A43" s="144"/>
      <c r="B43" s="144"/>
      <c r="C43" s="161" t="s">
        <v>109</v>
      </c>
      <c r="D43" s="162">
        <f>SUM(D40:D42)</f>
        <v>-3.1869660044248347</v>
      </c>
      <c r="E43" s="161" t="s">
        <v>110</v>
      </c>
      <c r="F43" s="162">
        <f>SUM(F40:F42)</f>
        <v>-3.4488064171202435</v>
      </c>
      <c r="G43" s="163"/>
      <c r="H43" s="163"/>
      <c r="I43" s="163"/>
      <c r="J43" s="144"/>
      <c r="K43" s="14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137"/>
      <c r="AQ43" s="125"/>
      <c r="AR43" s="125"/>
      <c r="AS43" s="108"/>
      <c r="AT43" s="109"/>
      <c r="AU43" s="109"/>
      <c r="AV43" s="110"/>
      <c r="AW43" s="110"/>
      <c r="AX43" s="111"/>
      <c r="BH43" s="49">
        <v>19</v>
      </c>
      <c r="BJ43" s="113">
        <f t="shared" si="6"/>
        <v>0</v>
      </c>
      <c r="BK43" s="114">
        <f t="shared" si="12"/>
        <v>1.0000000000000002</v>
      </c>
      <c r="BL43" s="115">
        <f t="shared" si="13"/>
        <v>1.0000000000000002</v>
      </c>
      <c r="BM43" s="116">
        <f t="shared" si="14"/>
        <v>1.4999999999999998</v>
      </c>
      <c r="BN43" s="117">
        <f t="shared" si="7"/>
        <v>2.9174999999999995</v>
      </c>
      <c r="BO43" s="118">
        <f t="shared" si="8"/>
        <v>1.1374999999999997</v>
      </c>
      <c r="BP43" s="116"/>
      <c r="BQ43" s="119"/>
      <c r="BR43" s="120">
        <f t="shared" si="9"/>
        <v>1.1374999999999997</v>
      </c>
      <c r="BS43" s="121"/>
      <c r="BT43" s="122">
        <f t="shared" si="3"/>
        <v>1.3060187172785513</v>
      </c>
      <c r="BU43" s="50">
        <f t="shared" si="10"/>
        <v>-0.33262371465295615</v>
      </c>
      <c r="BV43" s="50"/>
      <c r="BW43" s="50">
        <f t="shared" si="11"/>
        <v>0.9733950026255952</v>
      </c>
      <c r="BY43" s="52"/>
    </row>
    <row r="44" spans="1:78" ht="17.25" customHeight="1" x14ac:dyDescent="0.55000000000000004">
      <c r="A44" s="4"/>
      <c r="B44" s="4"/>
      <c r="C44" s="4"/>
      <c r="D44" s="4"/>
      <c r="E44" s="4"/>
      <c r="F44" s="4"/>
      <c r="G44" s="164"/>
      <c r="H44" s="164"/>
      <c r="I44" s="164"/>
      <c r="J44" s="165"/>
      <c r="K44" s="16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37"/>
      <c r="AQ44" s="125"/>
      <c r="AR44" s="125"/>
      <c r="AS44" s="108"/>
      <c r="AT44" s="109"/>
      <c r="AU44" s="109"/>
      <c r="AV44" s="110"/>
      <c r="AW44" s="110"/>
      <c r="AX44" s="111"/>
      <c r="BH44" s="49">
        <v>20</v>
      </c>
      <c r="BJ44" s="113">
        <f t="shared" si="6"/>
        <v>0</v>
      </c>
      <c r="BK44" s="114">
        <f t="shared" si="12"/>
        <v>0.91666666666666685</v>
      </c>
      <c r="BL44" s="115">
        <f t="shared" si="13"/>
        <v>0.91666666666666685</v>
      </c>
      <c r="BM44" s="116">
        <f t="shared" si="14"/>
        <v>1.583333333333333</v>
      </c>
      <c r="BN44" s="117">
        <f t="shared" si="7"/>
        <v>3.0795833333333329</v>
      </c>
      <c r="BO44" s="118">
        <f t="shared" si="8"/>
        <v>1.2995833333333331</v>
      </c>
      <c r="BP44" s="116"/>
      <c r="BQ44" s="119"/>
      <c r="BR44" s="120">
        <f t="shared" si="9"/>
        <v>1.2995833333333331</v>
      </c>
      <c r="BS44" s="121"/>
      <c r="BT44" s="122">
        <f t="shared" si="3"/>
        <v>1.3060187172785513</v>
      </c>
      <c r="BU44" s="50">
        <f t="shared" si="10"/>
        <v>-0.43416885354184503</v>
      </c>
      <c r="BV44" s="50"/>
      <c r="BW44" s="50">
        <f t="shared" si="11"/>
        <v>0.87184986373670625</v>
      </c>
      <c r="BY44" s="52"/>
    </row>
    <row r="45" spans="1:78" ht="17.25" customHeight="1" x14ac:dyDescent="0.55000000000000004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37"/>
      <c r="AQ45" s="108"/>
      <c r="AR45" s="126"/>
      <c r="AS45" s="126"/>
      <c r="AT45" s="126"/>
      <c r="AU45" s="127"/>
      <c r="AV45" s="128"/>
      <c r="AW45" s="128"/>
      <c r="AX45" s="111"/>
      <c r="BH45" s="49">
        <v>21</v>
      </c>
      <c r="BJ45" s="113">
        <f t="shared" si="6"/>
        <v>0</v>
      </c>
      <c r="BK45" s="114">
        <f t="shared" si="12"/>
        <v>0.83333333333333348</v>
      </c>
      <c r="BL45" s="115">
        <f t="shared" si="13"/>
        <v>0.83333333333333348</v>
      </c>
      <c r="BM45" s="116">
        <f t="shared" si="14"/>
        <v>1.6666666666666665</v>
      </c>
      <c r="BN45" s="117">
        <f t="shared" si="7"/>
        <v>3.2416666666666667</v>
      </c>
      <c r="BO45" s="118">
        <f t="shared" si="8"/>
        <v>1.4616666666666673</v>
      </c>
      <c r="BP45" s="116"/>
      <c r="BQ45" s="119"/>
      <c r="BR45" s="120">
        <f t="shared" si="9"/>
        <v>1.4616666666666673</v>
      </c>
      <c r="BS45" s="121"/>
      <c r="BT45" s="122">
        <f t="shared" si="3"/>
        <v>1.3060187172785513</v>
      </c>
      <c r="BU45" s="50">
        <f t="shared" si="10"/>
        <v>-0.5492209368751787</v>
      </c>
      <c r="BV45" s="50"/>
      <c r="BW45" s="50">
        <f t="shared" si="11"/>
        <v>0.75679778040337264</v>
      </c>
      <c r="BY45" s="52"/>
    </row>
    <row r="46" spans="1:78" ht="17.25" customHeight="1" x14ac:dyDescent="0.5">
      <c r="AC46" s="167"/>
      <c r="BH46" s="49">
        <v>22</v>
      </c>
      <c r="BJ46" s="113">
        <f t="shared" si="6"/>
        <v>0</v>
      </c>
      <c r="BK46" s="114">
        <f t="shared" si="12"/>
        <v>0.75000000000000011</v>
      </c>
      <c r="BL46" s="115">
        <f t="shared" si="13"/>
        <v>0.75000000000000011</v>
      </c>
      <c r="BM46" s="116">
        <f t="shared" si="14"/>
        <v>1.75</v>
      </c>
      <c r="BN46" s="117">
        <f t="shared" si="7"/>
        <v>3.4037500000000001</v>
      </c>
      <c r="BO46" s="118">
        <f t="shared" si="8"/>
        <v>1.6237500000000007</v>
      </c>
      <c r="BP46" s="116"/>
      <c r="BQ46" s="119"/>
      <c r="BR46" s="120">
        <f t="shared" si="9"/>
        <v>1.6237500000000007</v>
      </c>
      <c r="BS46" s="121"/>
      <c r="BT46" s="122">
        <f t="shared" si="3"/>
        <v>1.3060187172785513</v>
      </c>
      <c r="BU46" s="50">
        <f t="shared" si="10"/>
        <v>-0.67777996465295653</v>
      </c>
      <c r="BV46" s="50"/>
      <c r="BW46" s="50">
        <f t="shared" si="11"/>
        <v>0.62823875262559481</v>
      </c>
      <c r="BY46" s="52"/>
    </row>
    <row r="47" spans="1:78" ht="17.25" customHeight="1" x14ac:dyDescent="0.5">
      <c r="AC47" s="167"/>
      <c r="BH47" s="49">
        <v>23</v>
      </c>
      <c r="BJ47" s="113">
        <f t="shared" si="6"/>
        <v>0</v>
      </c>
      <c r="BK47" s="114">
        <f t="shared" si="12"/>
        <v>0.66666666666666674</v>
      </c>
      <c r="BL47" s="115">
        <f t="shared" si="13"/>
        <v>0.66666666666666674</v>
      </c>
      <c r="BM47" s="116">
        <f t="shared" si="14"/>
        <v>1.8333333333333333</v>
      </c>
      <c r="BN47" s="117">
        <f t="shared" si="7"/>
        <v>3.5658333333333334</v>
      </c>
      <c r="BO47" s="118">
        <f t="shared" si="8"/>
        <v>1.785833333333334</v>
      </c>
      <c r="BP47" s="116"/>
      <c r="BQ47" s="119"/>
      <c r="BR47" s="120">
        <f t="shared" si="9"/>
        <v>1.785833333333334</v>
      </c>
      <c r="BS47" s="121"/>
      <c r="BT47" s="122">
        <f t="shared" si="3"/>
        <v>1.3060187172785513</v>
      </c>
      <c r="BU47" s="50">
        <f t="shared" si="10"/>
        <v>-0.81984593687517882</v>
      </c>
      <c r="BV47" s="50"/>
      <c r="BW47" s="50">
        <f t="shared" si="11"/>
        <v>0.48617278040337253</v>
      </c>
      <c r="BY47" s="52"/>
    </row>
    <row r="48" spans="1:78" x14ac:dyDescent="0.5">
      <c r="BH48" s="49">
        <v>24</v>
      </c>
      <c r="BJ48" s="113">
        <f t="shared" si="6"/>
        <v>0</v>
      </c>
      <c r="BK48" s="114">
        <f t="shared" si="12"/>
        <v>0.58333333333333337</v>
      </c>
      <c r="BL48" s="115">
        <f t="shared" si="13"/>
        <v>0.58333333333333337</v>
      </c>
      <c r="BM48" s="116">
        <f t="shared" si="14"/>
        <v>1.9166666666666665</v>
      </c>
      <c r="BN48" s="117">
        <f t="shared" si="7"/>
        <v>3.7279166666666663</v>
      </c>
      <c r="BO48" s="118">
        <f t="shared" si="8"/>
        <v>1.9479166666666665</v>
      </c>
      <c r="BP48" s="116"/>
      <c r="BQ48" s="119"/>
      <c r="BR48" s="120">
        <f t="shared" si="9"/>
        <v>1.9479166666666665</v>
      </c>
      <c r="BS48" s="121"/>
      <c r="BT48" s="122">
        <f t="shared" si="3"/>
        <v>1.3060187172785513</v>
      </c>
      <c r="BU48" s="50">
        <f t="shared" si="10"/>
        <v>-0.97541885354184521</v>
      </c>
      <c r="BV48" s="50"/>
      <c r="BW48" s="50">
        <f t="shared" si="11"/>
        <v>0.33059986373670613</v>
      </c>
      <c r="BY48" s="52"/>
    </row>
    <row r="49" spans="59:77" x14ac:dyDescent="0.5">
      <c r="BH49" s="49">
        <v>25</v>
      </c>
      <c r="BJ49" s="113">
        <f t="shared" si="6"/>
        <v>0</v>
      </c>
      <c r="BK49" s="114">
        <f t="shared" si="12"/>
        <v>0.5</v>
      </c>
      <c r="BL49" s="115">
        <f t="shared" si="13"/>
        <v>0.5</v>
      </c>
      <c r="BM49" s="116">
        <f t="shared" si="14"/>
        <v>2</v>
      </c>
      <c r="BN49" s="117">
        <f t="shared" si="7"/>
        <v>3.89</v>
      </c>
      <c r="BO49" s="118">
        <f t="shared" si="8"/>
        <v>2.1100000000000008</v>
      </c>
      <c r="BP49" s="116"/>
      <c r="BQ49" s="119"/>
      <c r="BR49" s="120">
        <f t="shared" si="9"/>
        <v>2.1100000000000008</v>
      </c>
      <c r="BS49" s="121"/>
      <c r="BT49" s="122">
        <f t="shared" si="3"/>
        <v>1.3060187172785513</v>
      </c>
      <c r="BU49" s="50">
        <f t="shared" si="10"/>
        <v>-1.1444987146529568</v>
      </c>
      <c r="BV49" s="50"/>
      <c r="BW49" s="50">
        <f t="shared" si="11"/>
        <v>0.16152000262559452</v>
      </c>
      <c r="BY49" s="52"/>
    </row>
    <row r="50" spans="59:77" x14ac:dyDescent="0.5">
      <c r="BH50" s="49">
        <v>26</v>
      </c>
      <c r="BJ50" s="113">
        <f t="shared" si="6"/>
        <v>0</v>
      </c>
      <c r="BK50" s="114">
        <f t="shared" si="12"/>
        <v>0.41666666666666669</v>
      </c>
      <c r="BL50" s="115">
        <f t="shared" si="13"/>
        <v>0.41666666666666669</v>
      </c>
      <c r="BM50" s="116">
        <f t="shared" si="14"/>
        <v>2.0833333333333335</v>
      </c>
      <c r="BN50" s="117">
        <f t="shared" si="7"/>
        <v>4.0520833333333339</v>
      </c>
      <c r="BO50" s="118">
        <f t="shared" si="8"/>
        <v>2.2720833333333341</v>
      </c>
      <c r="BP50" s="116"/>
      <c r="BQ50" s="119"/>
      <c r="BR50" s="120">
        <f t="shared" si="9"/>
        <v>2.2720833333333341</v>
      </c>
      <c r="BS50" s="121"/>
      <c r="BT50" s="122">
        <f t="shared" si="3"/>
        <v>1.3060187172785513</v>
      </c>
      <c r="BU50" s="50">
        <f t="shared" si="10"/>
        <v>-1.3270855202085123</v>
      </c>
      <c r="BV50" s="50"/>
      <c r="BW50" s="50">
        <f t="shared" si="11"/>
        <v>-2.1066802929960993E-2</v>
      </c>
      <c r="BY50" s="52"/>
    </row>
    <row r="51" spans="59:77" x14ac:dyDescent="0.5">
      <c r="BH51" s="49">
        <v>27</v>
      </c>
      <c r="BJ51" s="113">
        <f t="shared" si="6"/>
        <v>0</v>
      </c>
      <c r="BK51" s="114">
        <f t="shared" si="12"/>
        <v>0.33333333333333337</v>
      </c>
      <c r="BL51" s="115">
        <f t="shared" si="13"/>
        <v>0.33333333333333337</v>
      </c>
      <c r="BM51" s="116">
        <f t="shared" si="14"/>
        <v>2.1666666666666665</v>
      </c>
      <c r="BN51" s="117">
        <f t="shared" si="7"/>
        <v>4.2141666666666664</v>
      </c>
      <c r="BO51" s="118">
        <f t="shared" si="8"/>
        <v>2.4341666666666666</v>
      </c>
      <c r="BP51" s="116"/>
      <c r="BQ51" s="119"/>
      <c r="BR51" s="120">
        <f t="shared" si="9"/>
        <v>2.4341666666666666</v>
      </c>
      <c r="BS51" s="121"/>
      <c r="BT51" s="122">
        <f t="shared" si="3"/>
        <v>1.3060187172785513</v>
      </c>
      <c r="BU51" s="50">
        <f t="shared" si="10"/>
        <v>-1.5231792702085121</v>
      </c>
      <c r="BV51" s="50"/>
      <c r="BW51" s="50">
        <f t="shared" si="11"/>
        <v>-0.21716055292996073</v>
      </c>
      <c r="BY51" s="52"/>
    </row>
    <row r="52" spans="59:77" x14ac:dyDescent="0.5">
      <c r="BH52" s="49">
        <v>28</v>
      </c>
      <c r="BJ52" s="113">
        <f t="shared" si="6"/>
        <v>0</v>
      </c>
      <c r="BK52" s="114">
        <f t="shared" si="12"/>
        <v>0.25000000000000006</v>
      </c>
      <c r="BL52" s="115">
        <f t="shared" si="13"/>
        <v>0.25000000000000006</v>
      </c>
      <c r="BM52" s="116">
        <f t="shared" si="14"/>
        <v>2.25</v>
      </c>
      <c r="BN52" s="117">
        <f t="shared" si="7"/>
        <v>4.3762499999999998</v>
      </c>
      <c r="BO52" s="118">
        <f t="shared" si="8"/>
        <v>2.5962499999999999</v>
      </c>
      <c r="BP52" s="116"/>
      <c r="BQ52" s="119"/>
      <c r="BR52" s="120">
        <f t="shared" si="9"/>
        <v>2.5962499999999999</v>
      </c>
      <c r="BS52" s="121"/>
      <c r="BT52" s="122">
        <f t="shared" si="3"/>
        <v>1.3060187172785513</v>
      </c>
      <c r="BU52" s="50">
        <f t="shared" si="10"/>
        <v>-1.7327799646529563</v>
      </c>
      <c r="BV52" s="50"/>
      <c r="BW52" s="50">
        <f t="shared" si="11"/>
        <v>-0.42676124737440491</v>
      </c>
      <c r="BY52" s="52"/>
    </row>
    <row r="53" spans="59:77" x14ac:dyDescent="0.5">
      <c r="BH53" s="49">
        <v>29</v>
      </c>
      <c r="BJ53" s="113">
        <f t="shared" si="6"/>
        <v>0</v>
      </c>
      <c r="BK53" s="114">
        <f t="shared" si="12"/>
        <v>0.16666666666666674</v>
      </c>
      <c r="BL53" s="115">
        <f t="shared" si="13"/>
        <v>0.16666666666666674</v>
      </c>
      <c r="BM53" s="116">
        <f t="shared" si="14"/>
        <v>2.333333333333333</v>
      </c>
      <c r="BN53" s="117">
        <f t="shared" si="7"/>
        <v>4.5383333333333331</v>
      </c>
      <c r="BO53" s="118">
        <f t="shared" si="8"/>
        <v>2.7583333333333333</v>
      </c>
      <c r="BP53" s="116"/>
      <c r="BQ53" s="119"/>
      <c r="BR53" s="120">
        <f t="shared" si="9"/>
        <v>2.7583333333333333</v>
      </c>
      <c r="BS53" s="121"/>
      <c r="BT53" s="122">
        <f t="shared" si="3"/>
        <v>1.3060187172785513</v>
      </c>
      <c r="BU53" s="50">
        <f t="shared" si="10"/>
        <v>-1.9558876035418451</v>
      </c>
      <c r="BV53" s="50"/>
      <c r="BW53" s="50">
        <f t="shared" si="11"/>
        <v>-0.64986888626329375</v>
      </c>
      <c r="BY53" s="52"/>
    </row>
    <row r="54" spans="59:77" x14ac:dyDescent="0.5">
      <c r="BH54" s="49">
        <v>30</v>
      </c>
      <c r="BJ54" s="113">
        <f t="shared" si="6"/>
        <v>0</v>
      </c>
      <c r="BK54" s="114">
        <f t="shared" si="12"/>
        <v>8.3333333333333412E-2</v>
      </c>
      <c r="BL54" s="115">
        <f t="shared" si="13"/>
        <v>8.3333333333333412E-2</v>
      </c>
      <c r="BM54" s="116">
        <f t="shared" si="14"/>
        <v>2.4166666666666665</v>
      </c>
      <c r="BN54" s="117">
        <f t="shared" si="7"/>
        <v>4.7004166666666665</v>
      </c>
      <c r="BO54" s="118">
        <f t="shared" si="8"/>
        <v>2.9204166666666667</v>
      </c>
      <c r="BP54" s="116"/>
      <c r="BQ54" s="119"/>
      <c r="BR54" s="120">
        <f t="shared" si="9"/>
        <v>2.9204166666666667</v>
      </c>
      <c r="BS54" s="121"/>
      <c r="BT54" s="122">
        <f t="shared" si="3"/>
        <v>1.3060187172785513</v>
      </c>
      <c r="BU54" s="50">
        <f t="shared" si="10"/>
        <v>-2.1925021868751782</v>
      </c>
      <c r="BV54" s="50"/>
      <c r="BW54" s="50">
        <f t="shared" si="11"/>
        <v>-0.88648346959662683</v>
      </c>
      <c r="BX54" s="50"/>
      <c r="BY54" s="52"/>
    </row>
    <row r="55" spans="59:77" x14ac:dyDescent="0.5">
      <c r="BH55" s="49">
        <v>31</v>
      </c>
      <c r="BI55" s="142">
        <f>AW26</f>
        <v>3.0825</v>
      </c>
      <c r="BJ55" s="113">
        <f t="shared" si="6"/>
        <v>0</v>
      </c>
      <c r="BK55" s="114">
        <f t="shared" si="12"/>
        <v>0</v>
      </c>
      <c r="BL55" s="115">
        <f t="shared" si="13"/>
        <v>0</v>
      </c>
      <c r="BM55" s="116">
        <f t="shared" si="14"/>
        <v>2.5</v>
      </c>
      <c r="BN55" s="117">
        <f t="shared" si="7"/>
        <v>4.8624999999999998</v>
      </c>
      <c r="BO55" s="118">
        <f t="shared" si="8"/>
        <v>3.0825</v>
      </c>
      <c r="BP55" s="116"/>
      <c r="BQ55" s="119"/>
      <c r="BR55" s="120">
        <f>BO55-BQ55</f>
        <v>3.0825</v>
      </c>
      <c r="BS55" s="121"/>
      <c r="BT55" s="122">
        <f t="shared" si="3"/>
        <v>1.3060187172785513</v>
      </c>
      <c r="BU55" s="50">
        <f t="shared" si="10"/>
        <v>-2.4426237146529566</v>
      </c>
      <c r="BV55" s="50"/>
      <c r="BW55" s="50">
        <f t="shared" si="11"/>
        <v>-1.1366049973744052</v>
      </c>
    </row>
    <row r="56" spans="59:77" x14ac:dyDescent="0.5">
      <c r="BH56" s="49">
        <v>32</v>
      </c>
      <c r="BI56" s="142">
        <f>AW27</f>
        <v>2.9424999999999999</v>
      </c>
      <c r="BJ56" s="113">
        <f t="shared" si="6"/>
        <v>0</v>
      </c>
      <c r="BK56" s="121">
        <f>BK55</f>
        <v>0</v>
      </c>
      <c r="BL56" s="115">
        <f>BL55</f>
        <v>0</v>
      </c>
      <c r="BM56" s="116">
        <f>BM55</f>
        <v>2.5</v>
      </c>
      <c r="BN56" s="117">
        <f>$J$15*BM56</f>
        <v>4.8624999999999998</v>
      </c>
      <c r="BO56" s="168">
        <f t="shared" ref="BO56:BO86" si="17">$J$12+BN56-(2*$J$16)</f>
        <v>2.9424999999999999</v>
      </c>
      <c r="BP56" s="116">
        <f>ABS(BL56)</f>
        <v>0</v>
      </c>
      <c r="BQ56" s="119">
        <f t="shared" ref="BQ56:BQ86" si="18">BP56*$J$15+2*$J$16</f>
        <v>3.92</v>
      </c>
      <c r="BR56" s="120">
        <f>BO56-BQ56</f>
        <v>-0.97750000000000004</v>
      </c>
      <c r="BS56" s="121"/>
      <c r="BT56" s="169">
        <f t="shared" si="3"/>
        <v>1.3060187172785513</v>
      </c>
      <c r="BU56" s="170">
        <f>BU55</f>
        <v>-2.4426237146529566</v>
      </c>
      <c r="BV56" s="170">
        <f>BR56*BL56</f>
        <v>0</v>
      </c>
      <c r="BW56" s="50">
        <f t="shared" si="11"/>
        <v>-1.1366049973744052</v>
      </c>
      <c r="BX56" s="171"/>
      <c r="BY56" s="171"/>
    </row>
    <row r="57" spans="59:77" x14ac:dyDescent="0.5">
      <c r="BG57" s="49">
        <v>1</v>
      </c>
      <c r="BH57" s="49">
        <v>33</v>
      </c>
      <c r="BJ57" s="113">
        <v>0</v>
      </c>
      <c r="BK57" s="121">
        <f>BK56-($AW$37/30)</f>
        <v>-0.16666666666666666</v>
      </c>
      <c r="BL57" s="172">
        <f>BK57</f>
        <v>-0.16666666666666666</v>
      </c>
      <c r="BM57" s="120">
        <f>$BM$56+ABS(BL57)</f>
        <v>2.6666666666666665</v>
      </c>
      <c r="BN57" s="117">
        <f t="shared" ref="BN57:BN86" si="19">$J$15*BM57</f>
        <v>5.1866666666666665</v>
      </c>
      <c r="BO57" s="168">
        <f t="shared" si="17"/>
        <v>3.2666666666666666</v>
      </c>
      <c r="BP57" s="116">
        <f t="shared" ref="BP57:BP86" si="20">ABS(BL57)</f>
        <v>0.16666666666666666</v>
      </c>
      <c r="BQ57" s="119">
        <f t="shared" si="18"/>
        <v>4.2441666666666666</v>
      </c>
      <c r="BR57" s="120">
        <f t="shared" ref="BR57:BR86" si="21">BO57-BQ57</f>
        <v>-0.97750000000000004</v>
      </c>
      <c r="BS57" s="121"/>
      <c r="BT57" s="169">
        <f t="shared" ref="BT57:BT86" si="22">IF(BL57="","",D$36)</f>
        <v>1.3060187172785513</v>
      </c>
      <c r="BU57" s="170">
        <f t="shared" ref="BU57:BU86" si="23">BU56</f>
        <v>-2.4426237146529566</v>
      </c>
      <c r="BV57" s="170">
        <f t="shared" ref="BV57:BV86" si="24">BR57*BL57</f>
        <v>0.16291666666666665</v>
      </c>
      <c r="BW57" s="50">
        <f t="shared" si="11"/>
        <v>-0.97368833070773864</v>
      </c>
    </row>
    <row r="58" spans="59:77" x14ac:dyDescent="0.5">
      <c r="BG58" s="49">
        <v>2</v>
      </c>
      <c r="BH58" s="49">
        <v>34</v>
      </c>
      <c r="BJ58" s="113">
        <v>0</v>
      </c>
      <c r="BK58" s="121">
        <f t="shared" ref="BK58:BK86" si="25">BK57-($AW$37/30)</f>
        <v>-0.33333333333333331</v>
      </c>
      <c r="BL58" s="172">
        <f t="shared" ref="BL58:BL86" si="26">BK58</f>
        <v>-0.33333333333333331</v>
      </c>
      <c r="BM58" s="120">
        <f t="shared" ref="BM58:BM86" si="27">$BM$56+ABS(BL58)</f>
        <v>2.8333333333333335</v>
      </c>
      <c r="BN58" s="117">
        <f t="shared" si="19"/>
        <v>5.5108333333333341</v>
      </c>
      <c r="BO58" s="168">
        <f t="shared" si="17"/>
        <v>3.5908333333333342</v>
      </c>
      <c r="BP58" s="116">
        <f t="shared" si="20"/>
        <v>0.33333333333333331</v>
      </c>
      <c r="BQ58" s="119">
        <f t="shared" si="18"/>
        <v>4.5683333333333334</v>
      </c>
      <c r="BR58" s="120">
        <f t="shared" si="21"/>
        <v>-0.97749999999999915</v>
      </c>
      <c r="BS58" s="121"/>
      <c r="BT58" s="169">
        <f t="shared" si="22"/>
        <v>1.3060187172785513</v>
      </c>
      <c r="BU58" s="170">
        <f t="shared" si="23"/>
        <v>-2.4426237146529566</v>
      </c>
      <c r="BV58" s="170">
        <f t="shared" si="24"/>
        <v>0.32583333333333303</v>
      </c>
      <c r="BW58" s="50">
        <f t="shared" si="11"/>
        <v>-0.81077166404107226</v>
      </c>
      <c r="BX58" s="171"/>
      <c r="BY58" s="171"/>
    </row>
    <row r="59" spans="59:77" x14ac:dyDescent="0.5">
      <c r="BG59" s="49">
        <v>3</v>
      </c>
      <c r="BH59" s="49">
        <v>35</v>
      </c>
      <c r="BJ59" s="113">
        <v>0</v>
      </c>
      <c r="BK59" s="121">
        <f t="shared" si="25"/>
        <v>-0.5</v>
      </c>
      <c r="BL59" s="172">
        <f t="shared" si="26"/>
        <v>-0.5</v>
      </c>
      <c r="BM59" s="120">
        <f t="shared" si="27"/>
        <v>3</v>
      </c>
      <c r="BN59" s="117">
        <f t="shared" si="19"/>
        <v>5.835</v>
      </c>
      <c r="BO59" s="168">
        <f t="shared" si="17"/>
        <v>3.915</v>
      </c>
      <c r="BP59" s="116">
        <f t="shared" si="20"/>
        <v>0.5</v>
      </c>
      <c r="BQ59" s="119">
        <f t="shared" si="18"/>
        <v>4.8925000000000001</v>
      </c>
      <c r="BR59" s="120">
        <f t="shared" si="21"/>
        <v>-0.97750000000000004</v>
      </c>
      <c r="BS59" s="50"/>
      <c r="BT59" s="169">
        <f t="shared" si="22"/>
        <v>1.3060187172785513</v>
      </c>
      <c r="BU59" s="170">
        <f t="shared" si="23"/>
        <v>-2.4426237146529566</v>
      </c>
      <c r="BV59" s="170">
        <f t="shared" si="24"/>
        <v>0.48875000000000002</v>
      </c>
      <c r="BW59" s="50">
        <f t="shared" si="11"/>
        <v>-0.64785499737440522</v>
      </c>
    </row>
    <row r="60" spans="59:77" x14ac:dyDescent="0.5">
      <c r="BG60" s="49">
        <v>4</v>
      </c>
      <c r="BH60" s="49">
        <v>36</v>
      </c>
      <c r="BJ60" s="113">
        <v>0</v>
      </c>
      <c r="BK60" s="121">
        <f t="shared" si="25"/>
        <v>-0.66666666666666663</v>
      </c>
      <c r="BL60" s="172">
        <f t="shared" si="26"/>
        <v>-0.66666666666666663</v>
      </c>
      <c r="BM60" s="120">
        <f t="shared" si="27"/>
        <v>3.1666666666666665</v>
      </c>
      <c r="BN60" s="117">
        <f t="shared" si="19"/>
        <v>6.1591666666666667</v>
      </c>
      <c r="BO60" s="168">
        <f t="shared" si="17"/>
        <v>4.2391666666666676</v>
      </c>
      <c r="BP60" s="116">
        <f t="shared" si="20"/>
        <v>0.66666666666666663</v>
      </c>
      <c r="BQ60" s="119">
        <f t="shared" si="18"/>
        <v>5.2166666666666668</v>
      </c>
      <c r="BR60" s="120">
        <f t="shared" si="21"/>
        <v>-0.97749999999999915</v>
      </c>
      <c r="BS60" s="50"/>
      <c r="BT60" s="169">
        <f t="shared" si="22"/>
        <v>1.3060187172785513</v>
      </c>
      <c r="BU60" s="170">
        <f t="shared" si="23"/>
        <v>-2.4426237146529566</v>
      </c>
      <c r="BV60" s="170">
        <f t="shared" si="24"/>
        <v>0.65166666666666606</v>
      </c>
      <c r="BW60" s="50">
        <f t="shared" si="11"/>
        <v>-0.48493833070773917</v>
      </c>
    </row>
    <row r="61" spans="59:77" x14ac:dyDescent="0.5">
      <c r="BG61" s="49">
        <v>5</v>
      </c>
      <c r="BH61" s="49">
        <v>37</v>
      </c>
      <c r="BJ61" s="113">
        <v>0</v>
      </c>
      <c r="BK61" s="121">
        <f t="shared" si="25"/>
        <v>-0.83333333333333326</v>
      </c>
      <c r="BL61" s="172">
        <f t="shared" si="26"/>
        <v>-0.83333333333333326</v>
      </c>
      <c r="BM61" s="120">
        <f t="shared" si="27"/>
        <v>3.333333333333333</v>
      </c>
      <c r="BN61" s="117">
        <f t="shared" si="19"/>
        <v>6.4833333333333334</v>
      </c>
      <c r="BO61" s="168">
        <f t="shared" si="17"/>
        <v>4.5633333333333344</v>
      </c>
      <c r="BP61" s="116">
        <f t="shared" si="20"/>
        <v>0.83333333333333326</v>
      </c>
      <c r="BQ61" s="119">
        <f t="shared" si="18"/>
        <v>5.5408333333333335</v>
      </c>
      <c r="BR61" s="120">
        <f t="shared" si="21"/>
        <v>-0.97749999999999915</v>
      </c>
      <c r="BS61" s="50"/>
      <c r="BT61" s="169">
        <f t="shared" si="22"/>
        <v>1.3060187172785513</v>
      </c>
      <c r="BU61" s="170">
        <f t="shared" si="23"/>
        <v>-2.4426237146529566</v>
      </c>
      <c r="BV61" s="170">
        <f t="shared" si="24"/>
        <v>0.81458333333333255</v>
      </c>
      <c r="BW61" s="50">
        <f t="shared" si="11"/>
        <v>-0.32202166404107269</v>
      </c>
    </row>
    <row r="62" spans="59:77" x14ac:dyDescent="0.5">
      <c r="BG62" s="49">
        <v>6</v>
      </c>
      <c r="BH62" s="49">
        <v>38</v>
      </c>
      <c r="BJ62" s="113">
        <v>0</v>
      </c>
      <c r="BK62" s="121">
        <f t="shared" si="25"/>
        <v>-0.99999999999999989</v>
      </c>
      <c r="BL62" s="172">
        <f t="shared" si="26"/>
        <v>-0.99999999999999989</v>
      </c>
      <c r="BM62" s="120">
        <f t="shared" si="27"/>
        <v>3.5</v>
      </c>
      <c r="BN62" s="117">
        <f t="shared" si="19"/>
        <v>6.8075000000000001</v>
      </c>
      <c r="BO62" s="168">
        <f t="shared" si="17"/>
        <v>4.8875000000000011</v>
      </c>
      <c r="BP62" s="116">
        <f t="shared" si="20"/>
        <v>0.99999999999999989</v>
      </c>
      <c r="BQ62" s="119">
        <f t="shared" si="18"/>
        <v>5.8650000000000002</v>
      </c>
      <c r="BR62" s="120">
        <f t="shared" si="21"/>
        <v>-0.97749999999999915</v>
      </c>
      <c r="BS62" s="50"/>
      <c r="BT62" s="169">
        <f t="shared" si="22"/>
        <v>1.3060187172785513</v>
      </c>
      <c r="BU62" s="170">
        <f t="shared" si="23"/>
        <v>-2.4426237146529566</v>
      </c>
      <c r="BV62" s="170">
        <f t="shared" si="24"/>
        <v>0.97749999999999904</v>
      </c>
      <c r="BW62" s="50">
        <f t="shared" si="11"/>
        <v>-0.1591049973744062</v>
      </c>
    </row>
    <row r="63" spans="59:77" x14ac:dyDescent="0.5">
      <c r="BG63" s="49">
        <v>7</v>
      </c>
      <c r="BH63" s="49">
        <v>39</v>
      </c>
      <c r="BJ63" s="113">
        <v>0</v>
      </c>
      <c r="BK63" s="121">
        <f t="shared" si="25"/>
        <v>-1.1666666666666665</v>
      </c>
      <c r="BL63" s="172">
        <f t="shared" si="26"/>
        <v>-1.1666666666666665</v>
      </c>
      <c r="BM63" s="120">
        <f t="shared" si="27"/>
        <v>3.6666666666666665</v>
      </c>
      <c r="BN63" s="117">
        <f t="shared" si="19"/>
        <v>7.1316666666666668</v>
      </c>
      <c r="BO63" s="168">
        <f t="shared" si="17"/>
        <v>5.2116666666666678</v>
      </c>
      <c r="BP63" s="116">
        <f t="shared" si="20"/>
        <v>1.1666666666666665</v>
      </c>
      <c r="BQ63" s="119">
        <f t="shared" si="18"/>
        <v>6.1891666666666669</v>
      </c>
      <c r="BR63" s="120">
        <f t="shared" si="21"/>
        <v>-0.97749999999999915</v>
      </c>
      <c r="BS63" s="50"/>
      <c r="BT63" s="169">
        <f t="shared" si="22"/>
        <v>1.3060187172785513</v>
      </c>
      <c r="BU63" s="170">
        <f t="shared" si="23"/>
        <v>-2.4426237146529566</v>
      </c>
      <c r="BV63" s="170">
        <f t="shared" si="24"/>
        <v>1.1404166666666655</v>
      </c>
      <c r="BW63" s="50">
        <f t="shared" si="11"/>
        <v>3.8116692922602891E-3</v>
      </c>
    </row>
    <row r="64" spans="59:77" x14ac:dyDescent="0.5">
      <c r="BG64" s="49">
        <v>8</v>
      </c>
      <c r="BH64" s="49">
        <v>40</v>
      </c>
      <c r="BJ64" s="113">
        <v>0</v>
      </c>
      <c r="BK64" s="121">
        <f t="shared" si="25"/>
        <v>-1.3333333333333333</v>
      </c>
      <c r="BL64" s="172">
        <f t="shared" si="26"/>
        <v>-1.3333333333333333</v>
      </c>
      <c r="BM64" s="120">
        <f t="shared" si="27"/>
        <v>3.833333333333333</v>
      </c>
      <c r="BN64" s="117">
        <f t="shared" si="19"/>
        <v>7.4558333333333326</v>
      </c>
      <c r="BO64" s="168">
        <f t="shared" si="17"/>
        <v>5.5358333333333327</v>
      </c>
      <c r="BP64" s="116">
        <f t="shared" si="20"/>
        <v>1.3333333333333333</v>
      </c>
      <c r="BQ64" s="119">
        <f t="shared" si="18"/>
        <v>6.5133333333333336</v>
      </c>
      <c r="BR64" s="120">
        <f t="shared" si="21"/>
        <v>-0.97750000000000092</v>
      </c>
      <c r="BS64" s="50"/>
      <c r="BT64" s="169">
        <f t="shared" si="22"/>
        <v>1.3060187172785513</v>
      </c>
      <c r="BU64" s="170">
        <f t="shared" si="23"/>
        <v>-2.4426237146529566</v>
      </c>
      <c r="BV64" s="170">
        <f t="shared" si="24"/>
        <v>1.3033333333333346</v>
      </c>
      <c r="BW64" s="50">
        <f t="shared" si="11"/>
        <v>0.16672833595892933</v>
      </c>
    </row>
    <row r="65" spans="59:75" x14ac:dyDescent="0.5">
      <c r="BG65" s="49">
        <v>9</v>
      </c>
      <c r="BH65" s="49">
        <v>41</v>
      </c>
      <c r="BJ65" s="113">
        <v>0</v>
      </c>
      <c r="BK65" s="121">
        <f t="shared" si="25"/>
        <v>-1.5</v>
      </c>
      <c r="BL65" s="172">
        <f t="shared" si="26"/>
        <v>-1.5</v>
      </c>
      <c r="BM65" s="120">
        <f t="shared" si="27"/>
        <v>4</v>
      </c>
      <c r="BN65" s="117">
        <f t="shared" si="19"/>
        <v>7.78</v>
      </c>
      <c r="BO65" s="168">
        <f t="shared" si="17"/>
        <v>5.8600000000000012</v>
      </c>
      <c r="BP65" s="116">
        <f t="shared" si="20"/>
        <v>1.5</v>
      </c>
      <c r="BQ65" s="119">
        <f t="shared" si="18"/>
        <v>6.8375000000000004</v>
      </c>
      <c r="BR65" s="120">
        <f t="shared" si="21"/>
        <v>-0.97749999999999915</v>
      </c>
      <c r="BS65" s="50"/>
      <c r="BT65" s="169">
        <f t="shared" si="22"/>
        <v>1.3060187172785513</v>
      </c>
      <c r="BU65" s="170">
        <f t="shared" si="23"/>
        <v>-2.4426237146529566</v>
      </c>
      <c r="BV65" s="170">
        <f t="shared" si="24"/>
        <v>1.4662499999999987</v>
      </c>
      <c r="BW65" s="50">
        <f t="shared" si="11"/>
        <v>0.32964500262559349</v>
      </c>
    </row>
    <row r="66" spans="59:75" x14ac:dyDescent="0.5">
      <c r="BG66" s="49">
        <v>10</v>
      </c>
      <c r="BH66" s="49">
        <v>42</v>
      </c>
      <c r="BJ66" s="113">
        <v>0</v>
      </c>
      <c r="BK66" s="121">
        <f t="shared" si="25"/>
        <v>-1.6666666666666667</v>
      </c>
      <c r="BL66" s="172">
        <f t="shared" si="26"/>
        <v>-1.6666666666666667</v>
      </c>
      <c r="BM66" s="120">
        <f t="shared" si="27"/>
        <v>4.166666666666667</v>
      </c>
      <c r="BN66" s="117">
        <f t="shared" si="19"/>
        <v>8.1041666666666679</v>
      </c>
      <c r="BO66" s="168">
        <f t="shared" si="17"/>
        <v>6.1841666666666679</v>
      </c>
      <c r="BP66" s="116">
        <f t="shared" si="20"/>
        <v>1.6666666666666667</v>
      </c>
      <c r="BQ66" s="119">
        <f t="shared" si="18"/>
        <v>7.1616666666666671</v>
      </c>
      <c r="BR66" s="120">
        <f t="shared" si="21"/>
        <v>-0.97749999999999915</v>
      </c>
      <c r="BS66" s="50"/>
      <c r="BT66" s="169">
        <f t="shared" si="22"/>
        <v>1.3060187172785513</v>
      </c>
      <c r="BU66" s="170">
        <f t="shared" si="23"/>
        <v>-2.4426237146529566</v>
      </c>
      <c r="BV66" s="170">
        <f t="shared" si="24"/>
        <v>1.6291666666666653</v>
      </c>
      <c r="BW66" s="50">
        <f t="shared" si="11"/>
        <v>0.49256166929226008</v>
      </c>
    </row>
    <row r="67" spans="59:75" x14ac:dyDescent="0.5">
      <c r="BG67" s="49">
        <v>11</v>
      </c>
      <c r="BH67" s="49">
        <v>43</v>
      </c>
      <c r="BJ67" s="113">
        <v>0</v>
      </c>
      <c r="BK67" s="121">
        <f t="shared" si="25"/>
        <v>-1.8333333333333335</v>
      </c>
      <c r="BL67" s="172">
        <f t="shared" si="26"/>
        <v>-1.8333333333333335</v>
      </c>
      <c r="BM67" s="120">
        <f t="shared" si="27"/>
        <v>4.3333333333333339</v>
      </c>
      <c r="BN67" s="117">
        <f t="shared" si="19"/>
        <v>8.4283333333333346</v>
      </c>
      <c r="BO67" s="168">
        <f t="shared" si="17"/>
        <v>6.5083333333333346</v>
      </c>
      <c r="BP67" s="116">
        <f t="shared" si="20"/>
        <v>1.8333333333333335</v>
      </c>
      <c r="BQ67" s="119">
        <f t="shared" si="18"/>
        <v>7.4858333333333338</v>
      </c>
      <c r="BR67" s="120">
        <f t="shared" si="21"/>
        <v>-0.97749999999999915</v>
      </c>
      <c r="BS67" s="50"/>
      <c r="BT67" s="169">
        <f t="shared" si="22"/>
        <v>1.3060187172785513</v>
      </c>
      <c r="BU67" s="170">
        <f t="shared" si="23"/>
        <v>-2.4426237146529566</v>
      </c>
      <c r="BV67" s="170">
        <f t="shared" si="24"/>
        <v>1.7920833333333319</v>
      </c>
      <c r="BW67" s="50">
        <f t="shared" si="11"/>
        <v>0.65547833595892668</v>
      </c>
    </row>
    <row r="68" spans="59:75" x14ac:dyDescent="0.5">
      <c r="BG68" s="49">
        <v>12</v>
      </c>
      <c r="BH68" s="49">
        <v>44</v>
      </c>
      <c r="BJ68" s="113">
        <v>0</v>
      </c>
      <c r="BK68" s="121">
        <f t="shared" si="25"/>
        <v>-2</v>
      </c>
      <c r="BL68" s="172">
        <f t="shared" si="26"/>
        <v>-2</v>
      </c>
      <c r="BM68" s="120">
        <f t="shared" si="27"/>
        <v>4.5</v>
      </c>
      <c r="BN68" s="117">
        <f t="shared" si="19"/>
        <v>8.7524999999999995</v>
      </c>
      <c r="BO68" s="168">
        <f t="shared" si="17"/>
        <v>6.8324999999999996</v>
      </c>
      <c r="BP68" s="116">
        <f t="shared" si="20"/>
        <v>2</v>
      </c>
      <c r="BQ68" s="119">
        <f t="shared" si="18"/>
        <v>7.8100000000000005</v>
      </c>
      <c r="BR68" s="120">
        <f t="shared" si="21"/>
        <v>-0.97750000000000092</v>
      </c>
      <c r="BS68" s="50"/>
      <c r="BT68" s="169">
        <f t="shared" si="22"/>
        <v>1.3060187172785513</v>
      </c>
      <c r="BU68" s="170">
        <f t="shared" si="23"/>
        <v>-2.4426237146529566</v>
      </c>
      <c r="BV68" s="170">
        <f t="shared" si="24"/>
        <v>1.9550000000000018</v>
      </c>
      <c r="BW68" s="50">
        <f t="shared" si="11"/>
        <v>0.81839500262559661</v>
      </c>
    </row>
    <row r="69" spans="59:75" x14ac:dyDescent="0.5">
      <c r="BG69" s="49">
        <v>13</v>
      </c>
      <c r="BH69" s="49">
        <v>45</v>
      </c>
      <c r="BJ69" s="113">
        <v>0</v>
      </c>
      <c r="BK69" s="121">
        <f t="shared" si="25"/>
        <v>-2.1666666666666665</v>
      </c>
      <c r="BL69" s="172">
        <f t="shared" si="26"/>
        <v>-2.1666666666666665</v>
      </c>
      <c r="BM69" s="120">
        <f t="shared" si="27"/>
        <v>4.6666666666666661</v>
      </c>
      <c r="BN69" s="117">
        <f t="shared" si="19"/>
        <v>9.0766666666666662</v>
      </c>
      <c r="BO69" s="168">
        <f t="shared" si="17"/>
        <v>7.1566666666666663</v>
      </c>
      <c r="BP69" s="116">
        <f t="shared" si="20"/>
        <v>2.1666666666666665</v>
      </c>
      <c r="BQ69" s="119">
        <f t="shared" si="18"/>
        <v>8.1341666666666654</v>
      </c>
      <c r="BR69" s="120">
        <f t="shared" si="21"/>
        <v>-0.97749999999999915</v>
      </c>
      <c r="BS69" s="50"/>
      <c r="BT69" s="169">
        <f t="shared" si="22"/>
        <v>1.3060187172785513</v>
      </c>
      <c r="BU69" s="170">
        <f t="shared" si="23"/>
        <v>-2.4426237146529566</v>
      </c>
      <c r="BV69" s="170">
        <f t="shared" si="24"/>
        <v>2.1179166666666647</v>
      </c>
      <c r="BW69" s="50">
        <f t="shared" si="11"/>
        <v>0.98131166929225944</v>
      </c>
    </row>
    <row r="70" spans="59:75" x14ac:dyDescent="0.5">
      <c r="BG70" s="49">
        <v>14</v>
      </c>
      <c r="BH70" s="49">
        <v>46</v>
      </c>
      <c r="BJ70" s="113">
        <v>0</v>
      </c>
      <c r="BK70" s="121">
        <f t="shared" si="25"/>
        <v>-2.333333333333333</v>
      </c>
      <c r="BL70" s="172">
        <f t="shared" si="26"/>
        <v>-2.333333333333333</v>
      </c>
      <c r="BM70" s="120">
        <f t="shared" si="27"/>
        <v>4.833333333333333</v>
      </c>
      <c r="BN70" s="117">
        <f t="shared" si="19"/>
        <v>9.4008333333333329</v>
      </c>
      <c r="BO70" s="168">
        <f t="shared" si="17"/>
        <v>7.480833333333333</v>
      </c>
      <c r="BP70" s="116">
        <f t="shared" si="20"/>
        <v>2.333333333333333</v>
      </c>
      <c r="BQ70" s="119">
        <f t="shared" si="18"/>
        <v>8.4583333333333321</v>
      </c>
      <c r="BR70" s="120">
        <f t="shared" si="21"/>
        <v>-0.97749999999999915</v>
      </c>
      <c r="BS70" s="50"/>
      <c r="BT70" s="169">
        <f t="shared" si="22"/>
        <v>1.3060187172785513</v>
      </c>
      <c r="BU70" s="170">
        <f t="shared" si="23"/>
        <v>-2.4426237146529566</v>
      </c>
      <c r="BV70" s="170">
        <f t="shared" si="24"/>
        <v>2.280833333333331</v>
      </c>
      <c r="BW70" s="50">
        <f t="shared" si="11"/>
        <v>1.1442283359589258</v>
      </c>
    </row>
    <row r="71" spans="59:75" x14ac:dyDescent="0.5">
      <c r="BG71" s="49">
        <v>15</v>
      </c>
      <c r="BH71" s="49">
        <v>47</v>
      </c>
      <c r="BJ71" s="113">
        <v>0</v>
      </c>
      <c r="BK71" s="121">
        <f t="shared" si="25"/>
        <v>-2.4999999999999996</v>
      </c>
      <c r="BL71" s="172">
        <f t="shared" si="26"/>
        <v>-2.4999999999999996</v>
      </c>
      <c r="BM71" s="120">
        <f t="shared" si="27"/>
        <v>5</v>
      </c>
      <c r="BN71" s="117">
        <f t="shared" si="19"/>
        <v>9.7249999999999996</v>
      </c>
      <c r="BO71" s="168">
        <f t="shared" si="17"/>
        <v>7.8049999999999997</v>
      </c>
      <c r="BP71" s="116">
        <f t="shared" si="20"/>
        <v>2.4999999999999996</v>
      </c>
      <c r="BQ71" s="119">
        <f t="shared" si="18"/>
        <v>8.7824999999999989</v>
      </c>
      <c r="BR71" s="120">
        <f t="shared" si="21"/>
        <v>-0.97749999999999915</v>
      </c>
      <c r="BS71" s="50"/>
      <c r="BT71" s="169">
        <f t="shared" si="22"/>
        <v>1.3060187172785513</v>
      </c>
      <c r="BU71" s="170">
        <f t="shared" si="23"/>
        <v>-2.4426237146529566</v>
      </c>
      <c r="BV71" s="170">
        <f t="shared" si="24"/>
        <v>2.4437499999999974</v>
      </c>
      <c r="BW71" s="50">
        <f t="shared" si="11"/>
        <v>1.3071450026255922</v>
      </c>
    </row>
    <row r="72" spans="59:75" x14ac:dyDescent="0.5">
      <c r="BG72" s="49">
        <v>16</v>
      </c>
      <c r="BH72" s="49">
        <v>48</v>
      </c>
      <c r="BJ72" s="113">
        <v>0</v>
      </c>
      <c r="BK72" s="121">
        <f t="shared" si="25"/>
        <v>-2.6666666666666661</v>
      </c>
      <c r="BL72" s="172">
        <f t="shared" si="26"/>
        <v>-2.6666666666666661</v>
      </c>
      <c r="BM72" s="120">
        <f t="shared" si="27"/>
        <v>5.1666666666666661</v>
      </c>
      <c r="BN72" s="117">
        <f t="shared" si="19"/>
        <v>10.049166666666666</v>
      </c>
      <c r="BO72" s="168">
        <f t="shared" si="17"/>
        <v>8.1291666666666664</v>
      </c>
      <c r="BP72" s="116">
        <f t="shared" si="20"/>
        <v>2.6666666666666661</v>
      </c>
      <c r="BQ72" s="119">
        <f t="shared" si="18"/>
        <v>9.1066666666666656</v>
      </c>
      <c r="BR72" s="120">
        <f t="shared" si="21"/>
        <v>-0.97749999999999915</v>
      </c>
      <c r="BS72" s="50"/>
      <c r="BT72" s="169">
        <f t="shared" si="22"/>
        <v>1.3060187172785513</v>
      </c>
      <c r="BU72" s="170">
        <f t="shared" si="23"/>
        <v>-2.4426237146529566</v>
      </c>
      <c r="BV72" s="170">
        <f t="shared" si="24"/>
        <v>2.6066666666666638</v>
      </c>
      <c r="BW72" s="50">
        <f t="shared" si="11"/>
        <v>1.4700616692922586</v>
      </c>
    </row>
    <row r="73" spans="59:75" x14ac:dyDescent="0.5">
      <c r="BG73" s="49">
        <v>17</v>
      </c>
      <c r="BH73" s="49">
        <v>49</v>
      </c>
      <c r="BJ73" s="113">
        <v>0</v>
      </c>
      <c r="BK73" s="121">
        <f t="shared" si="25"/>
        <v>-2.8333333333333326</v>
      </c>
      <c r="BL73" s="172">
        <f t="shared" si="26"/>
        <v>-2.8333333333333326</v>
      </c>
      <c r="BM73" s="120">
        <f t="shared" si="27"/>
        <v>5.3333333333333321</v>
      </c>
      <c r="BN73" s="117">
        <f t="shared" si="19"/>
        <v>10.373333333333331</v>
      </c>
      <c r="BO73" s="168">
        <f t="shared" si="17"/>
        <v>8.4533333333333314</v>
      </c>
      <c r="BP73" s="116">
        <f t="shared" si="20"/>
        <v>2.8333333333333326</v>
      </c>
      <c r="BQ73" s="119">
        <f t="shared" si="18"/>
        <v>9.4308333333333323</v>
      </c>
      <c r="BR73" s="120">
        <f t="shared" si="21"/>
        <v>-0.97750000000000092</v>
      </c>
      <c r="BS73" s="50"/>
      <c r="BT73" s="169">
        <f t="shared" si="22"/>
        <v>1.3060187172785513</v>
      </c>
      <c r="BU73" s="170">
        <f t="shared" si="23"/>
        <v>-2.4426237146529566</v>
      </c>
      <c r="BV73" s="170">
        <f t="shared" si="24"/>
        <v>2.7695833333333351</v>
      </c>
      <c r="BW73" s="50">
        <f t="shared" si="11"/>
        <v>1.6329783359589298</v>
      </c>
    </row>
    <row r="74" spans="59:75" x14ac:dyDescent="0.5">
      <c r="BG74" s="49">
        <v>18</v>
      </c>
      <c r="BH74" s="49">
        <v>50</v>
      </c>
      <c r="BJ74" s="113">
        <v>0</v>
      </c>
      <c r="BK74" s="121">
        <f t="shared" si="25"/>
        <v>-2.9999999999999991</v>
      </c>
      <c r="BL74" s="172">
        <f t="shared" si="26"/>
        <v>-2.9999999999999991</v>
      </c>
      <c r="BM74" s="120">
        <f t="shared" si="27"/>
        <v>5.4999999999999991</v>
      </c>
      <c r="BN74" s="117">
        <f t="shared" si="19"/>
        <v>10.697499999999998</v>
      </c>
      <c r="BO74" s="168">
        <f t="shared" si="17"/>
        <v>8.7774999999999981</v>
      </c>
      <c r="BP74" s="116">
        <f t="shared" si="20"/>
        <v>2.9999999999999991</v>
      </c>
      <c r="BQ74" s="119">
        <f t="shared" si="18"/>
        <v>9.754999999999999</v>
      </c>
      <c r="BR74" s="120">
        <f t="shared" si="21"/>
        <v>-0.97750000000000092</v>
      </c>
      <c r="BS74" s="50"/>
      <c r="BT74" s="169">
        <f t="shared" si="22"/>
        <v>1.3060187172785513</v>
      </c>
      <c r="BU74" s="170">
        <f t="shared" si="23"/>
        <v>-2.4426237146529566</v>
      </c>
      <c r="BV74" s="170">
        <f t="shared" si="24"/>
        <v>2.9325000000000019</v>
      </c>
      <c r="BW74" s="50">
        <f t="shared" si="11"/>
        <v>1.7958950026255966</v>
      </c>
    </row>
    <row r="75" spans="59:75" x14ac:dyDescent="0.5">
      <c r="BG75" s="49">
        <v>19</v>
      </c>
      <c r="BH75" s="49">
        <v>51</v>
      </c>
      <c r="BJ75" s="113">
        <v>0</v>
      </c>
      <c r="BK75" s="121">
        <f t="shared" si="25"/>
        <v>-3.1666666666666656</v>
      </c>
      <c r="BL75" s="172">
        <f t="shared" si="26"/>
        <v>-3.1666666666666656</v>
      </c>
      <c r="BM75" s="120">
        <f t="shared" si="27"/>
        <v>5.6666666666666661</v>
      </c>
      <c r="BN75" s="117">
        <f t="shared" si="19"/>
        <v>11.021666666666667</v>
      </c>
      <c r="BO75" s="168">
        <f t="shared" si="17"/>
        <v>9.1016666666666666</v>
      </c>
      <c r="BP75" s="116">
        <f t="shared" si="20"/>
        <v>3.1666666666666656</v>
      </c>
      <c r="BQ75" s="119">
        <f t="shared" si="18"/>
        <v>10.079166666666666</v>
      </c>
      <c r="BR75" s="120">
        <f t="shared" si="21"/>
        <v>-0.97749999999999915</v>
      </c>
      <c r="BS75" s="50"/>
      <c r="BT75" s="169">
        <f t="shared" si="22"/>
        <v>1.3060187172785513</v>
      </c>
      <c r="BU75" s="170">
        <f t="shared" si="23"/>
        <v>-2.4426237146529566</v>
      </c>
      <c r="BV75" s="170">
        <f t="shared" si="24"/>
        <v>3.0954166666666629</v>
      </c>
      <c r="BW75" s="50">
        <f t="shared" si="11"/>
        <v>1.9588116692922577</v>
      </c>
    </row>
    <row r="76" spans="59:75" x14ac:dyDescent="0.5">
      <c r="BG76" s="49">
        <v>20</v>
      </c>
      <c r="BH76" s="49">
        <v>52</v>
      </c>
      <c r="BJ76" s="113">
        <v>0</v>
      </c>
      <c r="BK76" s="121">
        <f t="shared" si="25"/>
        <v>-3.3333333333333321</v>
      </c>
      <c r="BL76" s="172">
        <f t="shared" si="26"/>
        <v>-3.3333333333333321</v>
      </c>
      <c r="BM76" s="120">
        <f t="shared" si="27"/>
        <v>5.8333333333333321</v>
      </c>
      <c r="BN76" s="117">
        <f t="shared" si="19"/>
        <v>11.345833333333331</v>
      </c>
      <c r="BO76" s="168">
        <f t="shared" si="17"/>
        <v>9.4258333333333315</v>
      </c>
      <c r="BP76" s="116">
        <f t="shared" si="20"/>
        <v>3.3333333333333321</v>
      </c>
      <c r="BQ76" s="119">
        <f t="shared" si="18"/>
        <v>10.403333333333332</v>
      </c>
      <c r="BR76" s="120">
        <f t="shared" si="21"/>
        <v>-0.97750000000000092</v>
      </c>
      <c r="BS76" s="50"/>
      <c r="BT76" s="169">
        <f t="shared" si="22"/>
        <v>1.3060187172785513</v>
      </c>
      <c r="BU76" s="170">
        <f t="shared" si="23"/>
        <v>-2.4426237146529566</v>
      </c>
      <c r="BV76" s="170">
        <f t="shared" si="24"/>
        <v>3.2583333333333351</v>
      </c>
      <c r="BW76" s="50">
        <f t="shared" si="11"/>
        <v>2.1217283359589301</v>
      </c>
    </row>
    <row r="77" spans="59:75" x14ac:dyDescent="0.5">
      <c r="BG77" s="49">
        <v>21</v>
      </c>
      <c r="BH77" s="49">
        <v>53</v>
      </c>
      <c r="BJ77" s="113">
        <v>0</v>
      </c>
      <c r="BK77" s="121">
        <f t="shared" si="25"/>
        <v>-3.4999999999999987</v>
      </c>
      <c r="BL77" s="172">
        <f t="shared" si="26"/>
        <v>-3.4999999999999987</v>
      </c>
      <c r="BM77" s="120">
        <f t="shared" si="27"/>
        <v>5.9999999999999982</v>
      </c>
      <c r="BN77" s="117">
        <f t="shared" si="19"/>
        <v>11.669999999999996</v>
      </c>
      <c r="BO77" s="168">
        <f t="shared" si="17"/>
        <v>9.7499999999999964</v>
      </c>
      <c r="BP77" s="116">
        <f t="shared" si="20"/>
        <v>3.4999999999999987</v>
      </c>
      <c r="BQ77" s="119">
        <f t="shared" si="18"/>
        <v>10.727499999999997</v>
      </c>
      <c r="BR77" s="120">
        <f t="shared" si="21"/>
        <v>-0.97750000000000092</v>
      </c>
      <c r="BS77" s="50"/>
      <c r="BT77" s="169">
        <f t="shared" si="22"/>
        <v>1.3060187172785513</v>
      </c>
      <c r="BU77" s="170">
        <f t="shared" si="23"/>
        <v>-2.4426237146529566</v>
      </c>
      <c r="BV77" s="170">
        <f t="shared" si="24"/>
        <v>3.4212500000000019</v>
      </c>
      <c r="BW77" s="50">
        <f t="shared" si="11"/>
        <v>2.2846450026255969</v>
      </c>
    </row>
    <row r="78" spans="59:75" x14ac:dyDescent="0.5">
      <c r="BG78" s="49">
        <v>22</v>
      </c>
      <c r="BH78" s="49">
        <v>54</v>
      </c>
      <c r="BJ78" s="113">
        <v>0</v>
      </c>
      <c r="BK78" s="121">
        <f t="shared" si="25"/>
        <v>-3.6666666666666652</v>
      </c>
      <c r="BL78" s="172">
        <f t="shared" si="26"/>
        <v>-3.6666666666666652</v>
      </c>
      <c r="BM78" s="120">
        <f t="shared" si="27"/>
        <v>6.1666666666666652</v>
      </c>
      <c r="BN78" s="117">
        <f t="shared" si="19"/>
        <v>11.994166666666665</v>
      </c>
      <c r="BO78" s="168">
        <f t="shared" si="17"/>
        <v>10.074166666666665</v>
      </c>
      <c r="BP78" s="116">
        <f t="shared" si="20"/>
        <v>3.6666666666666652</v>
      </c>
      <c r="BQ78" s="119">
        <f t="shared" si="18"/>
        <v>11.051666666666664</v>
      </c>
      <c r="BR78" s="120">
        <f t="shared" si="21"/>
        <v>-0.97749999999999915</v>
      </c>
      <c r="BS78" s="50"/>
      <c r="BT78" s="169">
        <f t="shared" si="22"/>
        <v>1.3060187172785513</v>
      </c>
      <c r="BU78" s="170">
        <f t="shared" si="23"/>
        <v>-2.4426237146529566</v>
      </c>
      <c r="BV78" s="170">
        <f t="shared" si="24"/>
        <v>3.5841666666666621</v>
      </c>
      <c r="BW78" s="50">
        <f t="shared" si="11"/>
        <v>2.4475616692922566</v>
      </c>
    </row>
    <row r="79" spans="59:75" x14ac:dyDescent="0.5">
      <c r="BG79" s="49">
        <v>23</v>
      </c>
      <c r="BH79" s="49">
        <v>55</v>
      </c>
      <c r="BJ79" s="113">
        <v>0</v>
      </c>
      <c r="BK79" s="121">
        <f t="shared" si="25"/>
        <v>-3.8333333333333317</v>
      </c>
      <c r="BL79" s="172">
        <f t="shared" si="26"/>
        <v>-3.8333333333333317</v>
      </c>
      <c r="BM79" s="120">
        <f t="shared" si="27"/>
        <v>6.3333333333333321</v>
      </c>
      <c r="BN79" s="117">
        <f t="shared" si="19"/>
        <v>12.318333333333332</v>
      </c>
      <c r="BO79" s="168">
        <f t="shared" si="17"/>
        <v>10.398333333333332</v>
      </c>
      <c r="BP79" s="116">
        <f t="shared" si="20"/>
        <v>3.8333333333333317</v>
      </c>
      <c r="BQ79" s="119">
        <f t="shared" si="18"/>
        <v>11.375833333333329</v>
      </c>
      <c r="BR79" s="120">
        <f t="shared" si="21"/>
        <v>-0.97749999999999737</v>
      </c>
      <c r="BS79" s="50"/>
      <c r="BT79" s="169">
        <f t="shared" si="22"/>
        <v>1.3060187172785513</v>
      </c>
      <c r="BU79" s="170">
        <f t="shared" si="23"/>
        <v>-2.4426237146529566</v>
      </c>
      <c r="BV79" s="170">
        <f t="shared" si="24"/>
        <v>3.7470833333333218</v>
      </c>
      <c r="BW79" s="50">
        <f t="shared" si="11"/>
        <v>2.6104783359589163</v>
      </c>
    </row>
    <row r="80" spans="59:75" x14ac:dyDescent="0.5">
      <c r="BG80" s="49">
        <v>24</v>
      </c>
      <c r="BH80" s="49">
        <v>56</v>
      </c>
      <c r="BJ80" s="113">
        <v>0</v>
      </c>
      <c r="BK80" s="121">
        <f t="shared" si="25"/>
        <v>-3.9999999999999982</v>
      </c>
      <c r="BL80" s="172">
        <f t="shared" si="26"/>
        <v>-3.9999999999999982</v>
      </c>
      <c r="BM80" s="120">
        <f t="shared" si="27"/>
        <v>6.4999999999999982</v>
      </c>
      <c r="BN80" s="117">
        <f t="shared" si="19"/>
        <v>12.642499999999997</v>
      </c>
      <c r="BO80" s="168">
        <f t="shared" si="17"/>
        <v>10.722499999999997</v>
      </c>
      <c r="BP80" s="116">
        <f t="shared" si="20"/>
        <v>3.9999999999999982</v>
      </c>
      <c r="BQ80" s="119">
        <f t="shared" si="18"/>
        <v>11.699999999999996</v>
      </c>
      <c r="BR80" s="120">
        <f t="shared" si="21"/>
        <v>-0.97749999999999915</v>
      </c>
      <c r="BS80" s="50"/>
      <c r="BT80" s="169">
        <f t="shared" si="22"/>
        <v>1.3060187172785513</v>
      </c>
      <c r="BU80" s="170">
        <f t="shared" si="23"/>
        <v>-2.4426237146529566</v>
      </c>
      <c r="BV80" s="170">
        <f t="shared" si="24"/>
        <v>3.9099999999999948</v>
      </c>
      <c r="BW80" s="50">
        <f t="shared" si="11"/>
        <v>2.7733950026255894</v>
      </c>
    </row>
    <row r="81" spans="59:75" x14ac:dyDescent="0.5">
      <c r="BG81" s="49">
        <v>25</v>
      </c>
      <c r="BH81" s="49">
        <v>57</v>
      </c>
      <c r="BJ81" s="113">
        <v>0</v>
      </c>
      <c r="BK81" s="121">
        <f t="shared" si="25"/>
        <v>-4.1666666666666652</v>
      </c>
      <c r="BL81" s="172">
        <f t="shared" si="26"/>
        <v>-4.1666666666666652</v>
      </c>
      <c r="BM81" s="120">
        <f t="shared" si="27"/>
        <v>6.6666666666666652</v>
      </c>
      <c r="BN81" s="117">
        <f t="shared" si="19"/>
        <v>12.966666666666665</v>
      </c>
      <c r="BO81" s="168">
        <f t="shared" si="17"/>
        <v>11.046666666666665</v>
      </c>
      <c r="BP81" s="116">
        <f t="shared" si="20"/>
        <v>4.1666666666666652</v>
      </c>
      <c r="BQ81" s="119">
        <f t="shared" si="18"/>
        <v>12.024166666666664</v>
      </c>
      <c r="BR81" s="120">
        <f t="shared" si="21"/>
        <v>-0.97749999999999915</v>
      </c>
      <c r="BS81" s="50"/>
      <c r="BT81" s="169">
        <f t="shared" si="22"/>
        <v>1.3060187172785513</v>
      </c>
      <c r="BU81" s="170">
        <f t="shared" si="23"/>
        <v>-2.4426237146529566</v>
      </c>
      <c r="BV81" s="170">
        <f t="shared" si="24"/>
        <v>4.0729166666666616</v>
      </c>
      <c r="BW81" s="50">
        <f t="shared" si="11"/>
        <v>2.9363116692922562</v>
      </c>
    </row>
    <row r="82" spans="59:75" x14ac:dyDescent="0.5">
      <c r="BG82" s="49">
        <v>26</v>
      </c>
      <c r="BH82" s="49">
        <v>58</v>
      </c>
      <c r="BJ82" s="113">
        <v>0</v>
      </c>
      <c r="BK82" s="121">
        <f t="shared" si="25"/>
        <v>-4.3333333333333321</v>
      </c>
      <c r="BL82" s="172">
        <f t="shared" si="26"/>
        <v>-4.3333333333333321</v>
      </c>
      <c r="BM82" s="120">
        <f t="shared" si="27"/>
        <v>6.8333333333333321</v>
      </c>
      <c r="BN82" s="117">
        <f t="shared" si="19"/>
        <v>13.290833333333332</v>
      </c>
      <c r="BO82" s="168">
        <f t="shared" si="17"/>
        <v>11.370833333333332</v>
      </c>
      <c r="BP82" s="116">
        <f t="shared" si="20"/>
        <v>4.3333333333333321</v>
      </c>
      <c r="BQ82" s="119">
        <f t="shared" si="18"/>
        <v>12.348333333333331</v>
      </c>
      <c r="BR82" s="120">
        <f t="shared" si="21"/>
        <v>-0.97749999999999915</v>
      </c>
      <c r="BS82" s="50"/>
      <c r="BT82" s="169">
        <f t="shared" si="22"/>
        <v>1.3060187172785513</v>
      </c>
      <c r="BU82" s="170">
        <f t="shared" si="23"/>
        <v>-2.4426237146529566</v>
      </c>
      <c r="BV82" s="170">
        <f t="shared" si="24"/>
        <v>4.2358333333333285</v>
      </c>
      <c r="BW82" s="50">
        <f t="shared" si="11"/>
        <v>3.099228335958923</v>
      </c>
    </row>
    <row r="83" spans="59:75" x14ac:dyDescent="0.5">
      <c r="BG83" s="49">
        <v>27</v>
      </c>
      <c r="BH83" s="49">
        <v>59</v>
      </c>
      <c r="BJ83" s="113">
        <v>0</v>
      </c>
      <c r="BK83" s="121">
        <f t="shared" si="25"/>
        <v>-4.4999999999999991</v>
      </c>
      <c r="BL83" s="172">
        <f t="shared" si="26"/>
        <v>-4.4999999999999991</v>
      </c>
      <c r="BM83" s="120">
        <f t="shared" si="27"/>
        <v>6.9999999999999991</v>
      </c>
      <c r="BN83" s="117">
        <f t="shared" si="19"/>
        <v>13.614999999999998</v>
      </c>
      <c r="BO83" s="168">
        <f t="shared" si="17"/>
        <v>11.694999999999999</v>
      </c>
      <c r="BP83" s="116">
        <f t="shared" si="20"/>
        <v>4.4999999999999991</v>
      </c>
      <c r="BQ83" s="119">
        <f t="shared" si="18"/>
        <v>12.672499999999998</v>
      </c>
      <c r="BR83" s="120">
        <f t="shared" si="21"/>
        <v>-0.97749999999999915</v>
      </c>
      <c r="BS83" s="50"/>
      <c r="BT83" s="169">
        <f t="shared" si="22"/>
        <v>1.3060187172785513</v>
      </c>
      <c r="BU83" s="170">
        <f t="shared" si="23"/>
        <v>-2.4426237146529566</v>
      </c>
      <c r="BV83" s="170">
        <f t="shared" si="24"/>
        <v>4.3987499999999953</v>
      </c>
      <c r="BW83" s="50">
        <f t="shared" si="11"/>
        <v>3.2621450026255898</v>
      </c>
    </row>
    <row r="84" spans="59:75" x14ac:dyDescent="0.5">
      <c r="BG84" s="49">
        <v>28</v>
      </c>
      <c r="BH84" s="49">
        <v>60</v>
      </c>
      <c r="BJ84" s="113">
        <v>0</v>
      </c>
      <c r="BK84" s="121">
        <f t="shared" si="25"/>
        <v>-4.6666666666666661</v>
      </c>
      <c r="BL84" s="172">
        <f t="shared" si="26"/>
        <v>-4.6666666666666661</v>
      </c>
      <c r="BM84" s="120">
        <f t="shared" si="27"/>
        <v>7.1666666666666661</v>
      </c>
      <c r="BN84" s="117">
        <f t="shared" si="19"/>
        <v>13.939166666666665</v>
      </c>
      <c r="BO84" s="168">
        <f t="shared" si="17"/>
        <v>12.019166666666665</v>
      </c>
      <c r="BP84" s="116">
        <f t="shared" si="20"/>
        <v>4.6666666666666661</v>
      </c>
      <c r="BQ84" s="119">
        <f t="shared" si="18"/>
        <v>12.996666666666666</v>
      </c>
      <c r="BR84" s="120">
        <f t="shared" si="21"/>
        <v>-0.97750000000000092</v>
      </c>
      <c r="BS84" s="50"/>
      <c r="BT84" s="169">
        <f t="shared" si="22"/>
        <v>1.3060187172785513</v>
      </c>
      <c r="BU84" s="170">
        <f t="shared" si="23"/>
        <v>-2.4426237146529566</v>
      </c>
      <c r="BV84" s="170">
        <f t="shared" si="24"/>
        <v>4.5616666666666701</v>
      </c>
      <c r="BW84" s="50">
        <f t="shared" si="11"/>
        <v>3.4250616692922646</v>
      </c>
    </row>
    <row r="85" spans="59:75" x14ac:dyDescent="0.5">
      <c r="BG85" s="49">
        <v>29</v>
      </c>
      <c r="BH85" s="49">
        <v>61</v>
      </c>
      <c r="BJ85" s="113">
        <v>0</v>
      </c>
      <c r="BK85" s="121">
        <f t="shared" si="25"/>
        <v>-4.833333333333333</v>
      </c>
      <c r="BL85" s="172">
        <f t="shared" si="26"/>
        <v>-4.833333333333333</v>
      </c>
      <c r="BM85" s="120">
        <f t="shared" si="27"/>
        <v>7.333333333333333</v>
      </c>
      <c r="BN85" s="117">
        <f t="shared" si="19"/>
        <v>14.263333333333334</v>
      </c>
      <c r="BO85" s="168">
        <f t="shared" si="17"/>
        <v>12.343333333333335</v>
      </c>
      <c r="BP85" s="116">
        <f t="shared" si="20"/>
        <v>4.833333333333333</v>
      </c>
      <c r="BQ85" s="119">
        <f t="shared" si="18"/>
        <v>13.320833333333333</v>
      </c>
      <c r="BR85" s="120">
        <f t="shared" si="21"/>
        <v>-0.97749999999999737</v>
      </c>
      <c r="BS85" s="50"/>
      <c r="BT85" s="169">
        <f t="shared" si="22"/>
        <v>1.3060187172785513</v>
      </c>
      <c r="BU85" s="170">
        <f t="shared" si="23"/>
        <v>-2.4426237146529566</v>
      </c>
      <c r="BV85" s="170">
        <f t="shared" si="24"/>
        <v>4.72458333333332</v>
      </c>
      <c r="BW85" s="50">
        <f t="shared" si="11"/>
        <v>3.5879783359589146</v>
      </c>
    </row>
    <row r="86" spans="59:75" x14ac:dyDescent="0.5">
      <c r="BG86" s="49">
        <v>30</v>
      </c>
      <c r="BH86" s="49">
        <v>62</v>
      </c>
      <c r="BJ86" s="113">
        <v>0</v>
      </c>
      <c r="BK86" s="121">
        <f t="shared" si="25"/>
        <v>-5</v>
      </c>
      <c r="BL86" s="172">
        <f t="shared" si="26"/>
        <v>-5</v>
      </c>
      <c r="BM86" s="120">
        <f t="shared" si="27"/>
        <v>7.5</v>
      </c>
      <c r="BN86" s="117">
        <f t="shared" si="19"/>
        <v>14.5875</v>
      </c>
      <c r="BO86" s="168">
        <f t="shared" si="17"/>
        <v>12.667499999999999</v>
      </c>
      <c r="BP86" s="116">
        <f t="shared" si="20"/>
        <v>5</v>
      </c>
      <c r="BQ86" s="119">
        <f t="shared" si="18"/>
        <v>13.645</v>
      </c>
      <c r="BR86" s="120">
        <f t="shared" si="21"/>
        <v>-0.97750000000000092</v>
      </c>
      <c r="BS86" s="50"/>
      <c r="BT86" s="169">
        <f t="shared" si="22"/>
        <v>1.3060187172785513</v>
      </c>
      <c r="BU86" s="170">
        <f t="shared" si="23"/>
        <v>-2.4426237146529566</v>
      </c>
      <c r="BV86" s="170">
        <f t="shared" si="24"/>
        <v>4.8875000000000046</v>
      </c>
      <c r="BW86" s="50">
        <f t="shared" si="11"/>
        <v>3.7508950026255992</v>
      </c>
    </row>
    <row r="87" spans="59:75" x14ac:dyDescent="0.5">
      <c r="BK87" s="50"/>
      <c r="BL87" s="173"/>
      <c r="BM87" s="173"/>
      <c r="BN87" s="173"/>
      <c r="BO87" s="173"/>
      <c r="BP87" s="173"/>
      <c r="BQ87" s="174"/>
      <c r="BR87" s="173"/>
      <c r="BS87" s="50"/>
      <c r="BT87" s="175"/>
    </row>
    <row r="88" spans="59:75" x14ac:dyDescent="0.5">
      <c r="BH88" s="50"/>
      <c r="BK88" s="50"/>
      <c r="BL88" s="173"/>
      <c r="BM88" s="173"/>
      <c r="BN88" s="173"/>
      <c r="BO88" s="173"/>
      <c r="BP88" s="173"/>
      <c r="BQ88" s="174"/>
      <c r="BR88" s="173"/>
      <c r="BS88" s="50"/>
      <c r="BT88" s="175"/>
    </row>
    <row r="89" spans="59:75" x14ac:dyDescent="0.5">
      <c r="BK89" s="50"/>
      <c r="BL89" s="173"/>
      <c r="BM89" s="173"/>
      <c r="BN89" s="173"/>
      <c r="BO89" s="173"/>
      <c r="BP89" s="173"/>
      <c r="BQ89" s="174"/>
      <c r="BR89" s="173"/>
      <c r="BS89" s="50"/>
      <c r="BT89" s="175"/>
    </row>
    <row r="90" spans="59:75" x14ac:dyDescent="0.5">
      <c r="BK90" s="50"/>
      <c r="BL90" s="173"/>
      <c r="BM90" s="173"/>
      <c r="BN90" s="173"/>
      <c r="BO90" s="173"/>
      <c r="BP90" s="173"/>
      <c r="BQ90" s="174"/>
      <c r="BR90" s="173"/>
      <c r="BS90" s="50">
        <f>1.47*5</f>
        <v>7.35</v>
      </c>
      <c r="BT90" s="175"/>
    </row>
    <row r="91" spans="59:75" x14ac:dyDescent="0.5">
      <c r="BH91" s="50"/>
      <c r="BK91" s="50"/>
      <c r="BL91" s="173"/>
      <c r="BM91" s="173"/>
      <c r="BN91" s="173"/>
      <c r="BO91" s="173"/>
      <c r="BP91" s="173"/>
      <c r="BQ91" s="174"/>
      <c r="BR91" s="173"/>
      <c r="BS91" s="50"/>
      <c r="BT91" s="175"/>
    </row>
    <row r="92" spans="59:75" x14ac:dyDescent="0.5">
      <c r="BK92" s="50"/>
      <c r="BL92" s="173"/>
      <c r="BM92" s="173"/>
      <c r="BN92" s="173"/>
      <c r="BO92" s="173"/>
      <c r="BP92" s="173"/>
      <c r="BQ92" s="174"/>
      <c r="BR92" s="173"/>
      <c r="BS92" s="50"/>
      <c r="BT92" s="175"/>
    </row>
    <row r="93" spans="59:75" x14ac:dyDescent="0.5">
      <c r="BK93" s="50"/>
      <c r="BL93" s="173"/>
      <c r="BM93" s="173"/>
      <c r="BN93" s="173"/>
      <c r="BO93" s="173"/>
      <c r="BP93" s="173"/>
      <c r="BQ93" s="174"/>
      <c r="BR93" s="173"/>
      <c r="BS93" s="50"/>
      <c r="BT93" s="175"/>
    </row>
    <row r="94" spans="59:75" x14ac:dyDescent="0.5">
      <c r="BH94" s="50"/>
      <c r="BK94" s="50"/>
      <c r="BL94" s="173"/>
      <c r="BM94" s="173"/>
      <c r="BN94" s="173"/>
      <c r="BO94" s="173"/>
      <c r="BP94" s="173"/>
      <c r="BQ94" s="174"/>
      <c r="BR94" s="173"/>
      <c r="BS94" s="50"/>
      <c r="BT94" s="175"/>
    </row>
    <row r="95" spans="59:75" x14ac:dyDescent="0.5">
      <c r="BK95" s="50"/>
      <c r="BL95" s="173"/>
      <c r="BM95" s="173"/>
      <c r="BN95" s="173"/>
      <c r="BO95" s="173"/>
      <c r="BP95" s="173"/>
      <c r="BQ95" s="174"/>
      <c r="BR95" s="173"/>
      <c r="BS95" s="50"/>
      <c r="BT95" s="175"/>
    </row>
    <row r="96" spans="59:75" x14ac:dyDescent="0.5">
      <c r="BK96" s="50"/>
      <c r="BL96" s="173"/>
      <c r="BM96" s="173"/>
      <c r="BN96" s="173"/>
      <c r="BO96" s="173"/>
      <c r="BP96" s="173"/>
      <c r="BQ96" s="174"/>
      <c r="BR96" s="173"/>
      <c r="BS96" s="50"/>
      <c r="BT96" s="175"/>
    </row>
    <row r="97" spans="60:72" x14ac:dyDescent="0.5">
      <c r="BH97" s="50"/>
      <c r="BK97" s="50"/>
      <c r="BL97" s="173"/>
      <c r="BM97" s="173"/>
      <c r="BN97" s="173"/>
      <c r="BO97" s="173"/>
      <c r="BP97" s="173"/>
      <c r="BQ97" s="174"/>
      <c r="BR97" s="173"/>
      <c r="BS97" s="50"/>
      <c r="BT97" s="175"/>
    </row>
    <row r="98" spans="60:72" x14ac:dyDescent="0.5">
      <c r="BK98" s="50"/>
      <c r="BL98" s="173"/>
      <c r="BM98" s="173"/>
      <c r="BN98" s="173"/>
      <c r="BO98" s="173"/>
      <c r="BP98" s="173"/>
      <c r="BQ98" s="174"/>
      <c r="BR98" s="173"/>
      <c r="BS98" s="50"/>
      <c r="BT98" s="175"/>
    </row>
    <row r="99" spans="60:72" x14ac:dyDescent="0.5">
      <c r="BK99" s="50"/>
      <c r="BL99" s="173"/>
      <c r="BM99" s="173"/>
      <c r="BN99" s="173"/>
      <c r="BO99" s="173"/>
      <c r="BP99" s="173"/>
      <c r="BQ99" s="174"/>
      <c r="BR99" s="173"/>
      <c r="BS99" s="50"/>
      <c r="BT99" s="175"/>
    </row>
    <row r="100" spans="60:72" x14ac:dyDescent="0.5">
      <c r="BH100" s="50"/>
      <c r="BK100" s="50"/>
      <c r="BL100" s="173"/>
      <c r="BM100" s="173"/>
      <c r="BN100" s="173"/>
      <c r="BO100" s="173"/>
      <c r="BP100" s="173"/>
      <c r="BQ100" s="174"/>
      <c r="BR100" s="173"/>
      <c r="BS100" s="50"/>
      <c r="BT100" s="175"/>
    </row>
    <row r="101" spans="60:72" x14ac:dyDescent="0.5">
      <c r="BK101" s="50"/>
      <c r="BL101" s="173"/>
      <c r="BM101" s="173"/>
      <c r="BN101" s="173"/>
      <c r="BO101" s="173"/>
      <c r="BP101" s="173"/>
      <c r="BQ101" s="174"/>
      <c r="BR101" s="173"/>
      <c r="BS101" s="50"/>
      <c r="BT101" s="175"/>
    </row>
    <row r="102" spans="60:72" x14ac:dyDescent="0.5">
      <c r="BK102" s="50"/>
      <c r="BL102" s="173"/>
      <c r="BM102" s="173"/>
      <c r="BN102" s="173"/>
      <c r="BO102" s="173"/>
      <c r="BP102" s="173"/>
      <c r="BQ102" s="174"/>
      <c r="BR102" s="173"/>
      <c r="BS102" s="50"/>
      <c r="BT102" s="175"/>
    </row>
    <row r="103" spans="60:72" x14ac:dyDescent="0.5">
      <c r="BH103" s="50"/>
      <c r="BK103" s="50"/>
      <c r="BL103" s="173"/>
      <c r="BM103" s="173"/>
      <c r="BN103" s="173"/>
      <c r="BO103" s="173"/>
      <c r="BP103" s="173"/>
      <c r="BQ103" s="174"/>
      <c r="BR103" s="173"/>
      <c r="BS103" s="50"/>
      <c r="BT103" s="175"/>
    </row>
    <row r="104" spans="60:72" x14ac:dyDescent="0.5">
      <c r="BK104" s="50"/>
      <c r="BL104" s="173"/>
      <c r="BM104" s="173"/>
      <c r="BN104" s="173"/>
      <c r="BO104" s="173"/>
      <c r="BP104" s="173"/>
      <c r="BQ104" s="174"/>
      <c r="BR104" s="173"/>
      <c r="BS104" s="50"/>
      <c r="BT104" s="175"/>
    </row>
    <row r="105" spans="60:72" x14ac:dyDescent="0.5">
      <c r="BK105" s="50"/>
      <c r="BL105" s="173"/>
      <c r="BM105" s="173"/>
      <c r="BN105" s="173"/>
      <c r="BO105" s="173"/>
      <c r="BP105" s="173"/>
      <c r="BQ105" s="174"/>
      <c r="BR105" s="173"/>
      <c r="BS105" s="50"/>
      <c r="BT105" s="175"/>
    </row>
    <row r="106" spans="60:72" x14ac:dyDescent="0.5">
      <c r="BH106" s="50"/>
      <c r="BK106" s="50"/>
      <c r="BL106" s="173"/>
      <c r="BM106" s="173"/>
      <c r="BN106" s="173"/>
      <c r="BO106" s="173"/>
      <c r="BP106" s="173"/>
      <c r="BQ106" s="174"/>
      <c r="BR106" s="173"/>
      <c r="BS106" s="50"/>
      <c r="BT106" s="175"/>
    </row>
    <row r="107" spans="60:72" x14ac:dyDescent="0.5">
      <c r="BK107" s="50"/>
      <c r="BL107" s="173"/>
      <c r="BM107" s="173"/>
      <c r="BN107" s="173"/>
      <c r="BO107" s="173"/>
      <c r="BP107" s="173"/>
      <c r="BQ107" s="174"/>
      <c r="BR107" s="173"/>
      <c r="BS107" s="50"/>
      <c r="BT107" s="175"/>
    </row>
    <row r="108" spans="60:72" x14ac:dyDescent="0.5">
      <c r="BK108" s="50"/>
      <c r="BL108" s="173"/>
      <c r="BM108" s="173"/>
      <c r="BN108" s="173"/>
      <c r="BO108" s="173"/>
      <c r="BP108" s="173"/>
      <c r="BQ108" s="174"/>
      <c r="BR108" s="173"/>
      <c r="BS108" s="50"/>
      <c r="BT108" s="175"/>
    </row>
    <row r="109" spans="60:72" x14ac:dyDescent="0.5">
      <c r="BH109" s="50"/>
      <c r="BK109" s="50"/>
      <c r="BL109" s="173"/>
      <c r="BM109" s="173"/>
      <c r="BN109" s="173"/>
      <c r="BO109" s="173"/>
      <c r="BP109" s="173"/>
      <c r="BQ109" s="174"/>
      <c r="BR109" s="173"/>
      <c r="BS109" s="50"/>
      <c r="BT109" s="175"/>
    </row>
    <row r="110" spans="60:72" x14ac:dyDescent="0.5">
      <c r="BK110" s="50"/>
      <c r="BL110" s="173"/>
      <c r="BM110" s="173"/>
      <c r="BN110" s="173"/>
      <c r="BO110" s="173"/>
      <c r="BP110" s="173"/>
      <c r="BQ110" s="174"/>
      <c r="BR110" s="173"/>
      <c r="BS110" s="50"/>
      <c r="BT110" s="175"/>
    </row>
    <row r="111" spans="60:72" x14ac:dyDescent="0.5">
      <c r="BK111" s="50"/>
      <c r="BL111" s="173"/>
      <c r="BM111" s="173"/>
      <c r="BN111" s="173"/>
      <c r="BO111" s="173"/>
      <c r="BP111" s="173"/>
      <c r="BQ111" s="174"/>
      <c r="BR111" s="173"/>
      <c r="BS111" s="50"/>
      <c r="BT111" s="175"/>
    </row>
    <row r="112" spans="60:72" x14ac:dyDescent="0.5">
      <c r="BH112" s="50"/>
      <c r="BK112" s="50"/>
      <c r="BL112" s="173"/>
      <c r="BM112" s="173"/>
      <c r="BN112" s="173"/>
      <c r="BO112" s="173"/>
      <c r="BP112" s="173"/>
      <c r="BQ112" s="174"/>
      <c r="BR112" s="173"/>
      <c r="BS112" s="50"/>
      <c r="BT112" s="175"/>
    </row>
    <row r="113" spans="60:72" x14ac:dyDescent="0.5">
      <c r="BK113" s="50"/>
      <c r="BL113" s="173"/>
      <c r="BM113" s="173"/>
      <c r="BN113" s="173"/>
      <c r="BO113" s="173"/>
      <c r="BP113" s="173"/>
      <c r="BQ113" s="174"/>
      <c r="BR113" s="173"/>
      <c r="BS113" s="50"/>
      <c r="BT113" s="175"/>
    </row>
    <row r="114" spans="60:72" x14ac:dyDescent="0.5">
      <c r="BK114" s="50"/>
      <c r="BL114" s="173"/>
      <c r="BM114" s="173"/>
      <c r="BN114" s="173"/>
      <c r="BO114" s="173"/>
      <c r="BP114" s="173"/>
      <c r="BQ114" s="174"/>
      <c r="BR114" s="173"/>
      <c r="BS114" s="50"/>
      <c r="BT114" s="175"/>
    </row>
    <row r="115" spans="60:72" x14ac:dyDescent="0.5">
      <c r="BH115" s="50"/>
      <c r="BK115" s="50"/>
      <c r="BL115" s="173"/>
      <c r="BM115" s="173"/>
      <c r="BN115" s="173"/>
      <c r="BO115" s="173"/>
      <c r="BP115" s="173"/>
      <c r="BQ115" s="174"/>
      <c r="BR115" s="173"/>
      <c r="BS115" s="50"/>
      <c r="BT115" s="175"/>
    </row>
    <row r="116" spans="60:72" x14ac:dyDescent="0.5">
      <c r="BK116" s="50"/>
      <c r="BL116" s="173"/>
      <c r="BM116" s="173"/>
      <c r="BN116" s="173"/>
      <c r="BO116" s="173"/>
      <c r="BP116" s="173"/>
      <c r="BQ116" s="174"/>
      <c r="BR116" s="173"/>
      <c r="BS116" s="50"/>
      <c r="BT116" s="175"/>
    </row>
    <row r="117" spans="60:72" x14ac:dyDescent="0.5">
      <c r="BK117" s="50"/>
      <c r="BL117" s="173"/>
      <c r="BM117" s="173"/>
      <c r="BN117" s="173"/>
      <c r="BO117" s="173"/>
      <c r="BP117" s="173"/>
      <c r="BQ117" s="174"/>
      <c r="BR117" s="173"/>
      <c r="BS117" s="50"/>
      <c r="BT117" s="175"/>
    </row>
    <row r="118" spans="60:72" x14ac:dyDescent="0.5">
      <c r="BH118" s="50"/>
      <c r="BK118" s="50"/>
      <c r="BL118" s="173"/>
      <c r="BM118" s="173"/>
      <c r="BN118" s="173"/>
      <c r="BO118" s="173"/>
      <c r="BP118" s="173"/>
      <c r="BQ118" s="174"/>
      <c r="BR118" s="173"/>
      <c r="BS118" s="50"/>
      <c r="BT118" s="175"/>
    </row>
    <row r="119" spans="60:72" x14ac:dyDescent="0.5">
      <c r="BK119" s="50"/>
      <c r="BL119" s="173"/>
      <c r="BM119" s="173"/>
      <c r="BN119" s="173"/>
      <c r="BO119" s="173"/>
      <c r="BP119" s="173"/>
      <c r="BQ119" s="174"/>
      <c r="BR119" s="173"/>
      <c r="BS119" s="50"/>
      <c r="BT119" s="175"/>
    </row>
    <row r="120" spans="60:72" x14ac:dyDescent="0.5">
      <c r="BK120" s="50"/>
      <c r="BL120" s="173"/>
      <c r="BM120" s="173"/>
      <c r="BN120" s="173"/>
      <c r="BO120" s="173"/>
      <c r="BP120" s="173"/>
      <c r="BQ120" s="174"/>
      <c r="BR120" s="173"/>
      <c r="BS120" s="50"/>
      <c r="BT120" s="175"/>
    </row>
    <row r="121" spans="60:72" x14ac:dyDescent="0.5">
      <c r="BH121" s="50"/>
      <c r="BK121" s="50"/>
      <c r="BL121" s="173"/>
      <c r="BM121" s="173"/>
      <c r="BN121" s="173"/>
      <c r="BO121" s="173"/>
      <c r="BP121" s="173"/>
      <c r="BQ121" s="174"/>
      <c r="BR121" s="173"/>
      <c r="BS121" s="50"/>
      <c r="BT121" s="175"/>
    </row>
    <row r="122" spans="60:72" x14ac:dyDescent="0.5">
      <c r="BK122" s="50"/>
      <c r="BL122" s="173"/>
      <c r="BM122" s="173"/>
      <c r="BN122" s="173"/>
      <c r="BO122" s="173"/>
      <c r="BP122" s="173"/>
      <c r="BQ122" s="174"/>
      <c r="BR122" s="173"/>
      <c r="BS122" s="50"/>
      <c r="BT122" s="175"/>
    </row>
    <row r="123" spans="60:72" x14ac:dyDescent="0.5">
      <c r="BK123" s="50"/>
      <c r="BL123" s="173"/>
      <c r="BM123" s="173"/>
      <c r="BN123" s="173"/>
      <c r="BO123" s="173"/>
      <c r="BP123" s="173"/>
      <c r="BQ123" s="174"/>
      <c r="BR123" s="173"/>
      <c r="BS123" s="50"/>
      <c r="BT123" s="175"/>
    </row>
    <row r="124" spans="60:72" x14ac:dyDescent="0.5">
      <c r="BH124" s="50"/>
      <c r="BK124" s="50"/>
      <c r="BL124" s="173"/>
      <c r="BM124" s="173"/>
      <c r="BN124" s="173"/>
      <c r="BO124" s="173"/>
      <c r="BP124" s="173"/>
      <c r="BQ124" s="174"/>
      <c r="BR124" s="173"/>
      <c r="BS124" s="50"/>
      <c r="BT124" s="175"/>
    </row>
    <row r="125" spans="60:72" x14ac:dyDescent="0.5">
      <c r="BK125" s="50"/>
      <c r="BL125" s="173"/>
      <c r="BM125" s="173"/>
      <c r="BN125" s="173"/>
      <c r="BO125" s="173"/>
      <c r="BP125" s="173"/>
      <c r="BQ125" s="174"/>
      <c r="BR125" s="173"/>
      <c r="BS125" s="50"/>
      <c r="BT125" s="175"/>
    </row>
    <row r="126" spans="60:72" x14ac:dyDescent="0.5">
      <c r="BK126" s="50"/>
      <c r="BL126" s="173"/>
      <c r="BM126" s="173"/>
      <c r="BN126" s="173"/>
      <c r="BO126" s="173"/>
      <c r="BP126" s="173"/>
      <c r="BQ126" s="174"/>
      <c r="BR126" s="173"/>
      <c r="BS126" s="50"/>
      <c r="BT126" s="175"/>
    </row>
    <row r="127" spans="60:72" x14ac:dyDescent="0.5">
      <c r="BH127" s="50"/>
      <c r="BK127" s="50"/>
      <c r="BL127" s="173"/>
      <c r="BM127" s="173"/>
      <c r="BN127" s="173"/>
      <c r="BO127" s="173"/>
      <c r="BP127" s="173"/>
      <c r="BQ127" s="174"/>
      <c r="BR127" s="173"/>
      <c r="BS127" s="50"/>
      <c r="BT127" s="175"/>
    </row>
    <row r="128" spans="60:72" x14ac:dyDescent="0.5">
      <c r="BK128" s="50"/>
      <c r="BL128" s="173"/>
      <c r="BM128" s="173"/>
      <c r="BN128" s="173"/>
      <c r="BO128" s="173"/>
      <c r="BP128" s="173"/>
      <c r="BQ128" s="174"/>
      <c r="BR128" s="173"/>
      <c r="BS128" s="50"/>
      <c r="BT128" s="175"/>
    </row>
    <row r="129" spans="60:72" x14ac:dyDescent="0.5">
      <c r="BK129" s="50"/>
      <c r="BL129" s="173"/>
      <c r="BM129" s="173"/>
      <c r="BN129" s="173"/>
      <c r="BO129" s="173"/>
      <c r="BP129" s="173"/>
      <c r="BQ129" s="174"/>
      <c r="BR129" s="173"/>
      <c r="BS129" s="50"/>
      <c r="BT129" s="175"/>
    </row>
    <row r="130" spans="60:72" x14ac:dyDescent="0.5">
      <c r="BH130" s="50"/>
      <c r="BK130" s="50"/>
      <c r="BL130" s="173"/>
      <c r="BM130" s="173"/>
      <c r="BN130" s="173"/>
      <c r="BO130" s="173"/>
      <c r="BP130" s="173"/>
      <c r="BQ130" s="174"/>
      <c r="BR130" s="173"/>
      <c r="BS130" s="50"/>
      <c r="BT130" s="175"/>
    </row>
    <row r="131" spans="60:72" x14ac:dyDescent="0.5">
      <c r="BK131" s="50"/>
      <c r="BL131" s="173"/>
      <c r="BM131" s="173"/>
      <c r="BN131" s="173"/>
      <c r="BO131" s="173"/>
      <c r="BP131" s="173"/>
      <c r="BQ131" s="174"/>
      <c r="BR131" s="173"/>
      <c r="BS131" s="50"/>
      <c r="BT131" s="175"/>
    </row>
    <row r="132" spans="60:72" x14ac:dyDescent="0.5">
      <c r="BK132" s="50"/>
      <c r="BL132" s="173"/>
      <c r="BM132" s="173"/>
      <c r="BN132" s="173"/>
      <c r="BO132" s="173"/>
      <c r="BP132" s="173"/>
      <c r="BQ132" s="174"/>
      <c r="BR132" s="173"/>
      <c r="BS132" s="50"/>
      <c r="BT132" s="175"/>
    </row>
    <row r="133" spans="60:72" x14ac:dyDescent="0.5">
      <c r="BH133" s="50"/>
      <c r="BK133" s="50"/>
      <c r="BL133" s="173"/>
      <c r="BM133" s="173"/>
      <c r="BN133" s="173"/>
      <c r="BO133" s="173"/>
      <c r="BP133" s="173"/>
      <c r="BQ133" s="174"/>
      <c r="BR133" s="173"/>
      <c r="BS133" s="50"/>
      <c r="BT133" s="175"/>
    </row>
    <row r="134" spans="60:72" x14ac:dyDescent="0.5">
      <c r="BK134" s="50"/>
      <c r="BL134" s="173"/>
      <c r="BM134" s="173"/>
      <c r="BN134" s="173"/>
      <c r="BO134" s="173"/>
      <c r="BP134" s="173"/>
      <c r="BQ134" s="174"/>
      <c r="BR134" s="173"/>
      <c r="BS134" s="50"/>
      <c r="BT134" s="175"/>
    </row>
    <row r="135" spans="60:72" x14ac:dyDescent="0.5">
      <c r="BK135" s="50"/>
      <c r="BL135" s="173"/>
      <c r="BM135" s="173"/>
      <c r="BN135" s="173"/>
      <c r="BO135" s="173"/>
      <c r="BP135" s="173"/>
      <c r="BQ135" s="174"/>
      <c r="BR135" s="173"/>
      <c r="BS135" s="50"/>
      <c r="BT135" s="175"/>
    </row>
    <row r="136" spans="60:72" x14ac:dyDescent="0.5">
      <c r="BK136" s="176"/>
      <c r="BL136" s="176"/>
      <c r="BM136" s="176"/>
      <c r="BN136" s="176"/>
      <c r="BO136" s="176"/>
      <c r="BP136" s="176"/>
    </row>
    <row r="137" spans="60:72" x14ac:dyDescent="0.5">
      <c r="BK137" s="176"/>
      <c r="BL137" s="176"/>
      <c r="BM137" s="176"/>
      <c r="BN137" s="176"/>
      <c r="BO137" s="176"/>
      <c r="BP137" s="176"/>
    </row>
    <row r="138" spans="60:72" x14ac:dyDescent="0.5">
      <c r="BK138" s="176"/>
      <c r="BL138" s="176"/>
      <c r="BM138" s="176"/>
      <c r="BN138" s="176"/>
      <c r="BO138" s="176"/>
      <c r="BP138" s="176"/>
    </row>
    <row r="139" spans="60:72" x14ac:dyDescent="0.5">
      <c r="BK139" s="176"/>
      <c r="BL139" s="176"/>
      <c r="BM139" s="176"/>
      <c r="BN139" s="176"/>
      <c r="BO139" s="176"/>
      <c r="BP139" s="176"/>
    </row>
    <row r="140" spans="60:72" x14ac:dyDescent="0.5">
      <c r="BK140" s="176"/>
      <c r="BL140" s="176"/>
      <c r="BM140" s="176"/>
      <c r="BN140" s="176"/>
      <c r="BO140" s="176"/>
      <c r="BP140" s="176"/>
    </row>
    <row r="141" spans="60:72" x14ac:dyDescent="0.5">
      <c r="BK141" s="176"/>
      <c r="BL141" s="176"/>
      <c r="BM141" s="176"/>
      <c r="BN141" s="176"/>
      <c r="BO141" s="176"/>
      <c r="BP141" s="176"/>
    </row>
    <row r="142" spans="60:72" x14ac:dyDescent="0.5">
      <c r="BK142" s="176"/>
      <c r="BL142" s="176"/>
      <c r="BM142" s="176"/>
      <c r="BN142" s="176"/>
      <c r="BO142" s="176"/>
      <c r="BP142" s="176"/>
    </row>
    <row r="143" spans="60:72" x14ac:dyDescent="0.5">
      <c r="BK143" s="176"/>
      <c r="BL143" s="176"/>
      <c r="BM143" s="176"/>
      <c r="BN143" s="176"/>
      <c r="BO143" s="176"/>
      <c r="BP143" s="176"/>
    </row>
    <row r="144" spans="60:72" x14ac:dyDescent="0.5">
      <c r="BK144" s="176"/>
      <c r="BL144" s="176"/>
      <c r="BM144" s="176"/>
      <c r="BN144" s="176"/>
      <c r="BO144" s="176"/>
      <c r="BP144" s="176"/>
    </row>
    <row r="145" spans="63:68" x14ac:dyDescent="0.5">
      <c r="BK145" s="176"/>
      <c r="BL145" s="176"/>
      <c r="BM145" s="176"/>
      <c r="BN145" s="176"/>
      <c r="BO145" s="176"/>
      <c r="BP145" s="176"/>
    </row>
    <row r="146" spans="63:68" x14ac:dyDescent="0.5">
      <c r="BK146" s="176"/>
      <c r="BL146" s="176"/>
      <c r="BM146" s="176"/>
      <c r="BN146" s="176"/>
      <c r="BO146" s="176"/>
      <c r="BP146" s="176"/>
    </row>
    <row r="147" spans="63:68" x14ac:dyDescent="0.5">
      <c r="BK147" s="176"/>
      <c r="BL147" s="176"/>
      <c r="BM147" s="176"/>
      <c r="BN147" s="176"/>
      <c r="BO147" s="176"/>
      <c r="BP147" s="176"/>
    </row>
    <row r="148" spans="63:68" x14ac:dyDescent="0.5">
      <c r="BK148" s="176"/>
      <c r="BL148" s="176"/>
      <c r="BM148" s="176"/>
      <c r="BN148" s="176"/>
      <c r="BO148" s="176"/>
      <c r="BP148" s="176"/>
    </row>
    <row r="149" spans="63:68" x14ac:dyDescent="0.5">
      <c r="BK149" s="176"/>
      <c r="BL149" s="176"/>
      <c r="BM149" s="176"/>
      <c r="BN149" s="176"/>
      <c r="BO149" s="176"/>
      <c r="BP149" s="176"/>
    </row>
    <row r="150" spans="63:68" x14ac:dyDescent="0.5">
      <c r="BK150" s="176"/>
      <c r="BL150" s="176"/>
      <c r="BM150" s="176"/>
      <c r="BN150" s="176"/>
      <c r="BO150" s="176"/>
      <c r="BP150" s="176"/>
    </row>
    <row r="151" spans="63:68" x14ac:dyDescent="0.5">
      <c r="BK151" s="176"/>
      <c r="BL151" s="176"/>
      <c r="BM151" s="176"/>
      <c r="BN151" s="176"/>
      <c r="BO151" s="176"/>
      <c r="BP151" s="176"/>
    </row>
    <row r="152" spans="63:68" x14ac:dyDescent="0.5">
      <c r="BK152" s="176"/>
      <c r="BL152" s="176"/>
      <c r="BM152" s="176"/>
      <c r="BN152" s="176"/>
      <c r="BO152" s="176"/>
      <c r="BP152" s="176"/>
    </row>
    <row r="153" spans="63:68" x14ac:dyDescent="0.5">
      <c r="BK153" s="176"/>
      <c r="BL153" s="176"/>
      <c r="BM153" s="176"/>
      <c r="BN153" s="176"/>
      <c r="BO153" s="176"/>
      <c r="BP153" s="176"/>
    </row>
    <row r="154" spans="63:68" x14ac:dyDescent="0.5">
      <c r="BK154" s="176"/>
      <c r="BL154" s="176"/>
      <c r="BM154" s="176"/>
      <c r="BN154" s="176"/>
      <c r="BO154" s="176"/>
      <c r="BP154" s="176"/>
    </row>
    <row r="155" spans="63:68" x14ac:dyDescent="0.5">
      <c r="BK155" s="176"/>
      <c r="BL155" s="176"/>
      <c r="BM155" s="176"/>
      <c r="BN155" s="176"/>
      <c r="BO155" s="176"/>
      <c r="BP155" s="176"/>
    </row>
    <row r="156" spans="63:68" x14ac:dyDescent="0.5">
      <c r="BK156" s="176"/>
      <c r="BL156" s="176"/>
      <c r="BM156" s="176"/>
      <c r="BN156" s="176"/>
      <c r="BO156" s="176"/>
      <c r="BP156" s="176"/>
    </row>
    <row r="157" spans="63:68" x14ac:dyDescent="0.5">
      <c r="BK157" s="176"/>
      <c r="BL157" s="176"/>
    </row>
    <row r="158" spans="63:68" x14ac:dyDescent="0.5">
      <c r="BK158" s="176"/>
      <c r="BL158" s="176"/>
    </row>
    <row r="159" spans="63:68" x14ac:dyDescent="0.5">
      <c r="BK159" s="176"/>
      <c r="BL159" s="176"/>
    </row>
    <row r="160" spans="63:68" x14ac:dyDescent="0.5">
      <c r="BK160" s="176"/>
      <c r="BL160" s="176"/>
    </row>
    <row r="161" spans="63:64" x14ac:dyDescent="0.5">
      <c r="BK161" s="176"/>
      <c r="BL161" s="176"/>
    </row>
    <row r="162" spans="63:64" x14ac:dyDescent="0.5">
      <c r="BK162" s="176"/>
      <c r="BL162" s="176"/>
    </row>
    <row r="163" spans="63:64" x14ac:dyDescent="0.5">
      <c r="BK163" s="176"/>
      <c r="BL163" s="176"/>
    </row>
    <row r="164" spans="63:64" x14ac:dyDescent="0.5">
      <c r="BK164" s="176"/>
      <c r="BL164" s="176"/>
    </row>
    <row r="165" spans="63:64" x14ac:dyDescent="0.5">
      <c r="BK165" s="176"/>
      <c r="BL165" s="176"/>
    </row>
    <row r="166" spans="63:64" x14ac:dyDescent="0.5">
      <c r="BK166" s="176"/>
      <c r="BL166" s="176"/>
    </row>
    <row r="167" spans="63:64" x14ac:dyDescent="0.5">
      <c r="BK167" s="176"/>
      <c r="BL167" s="176"/>
    </row>
    <row r="168" spans="63:64" x14ac:dyDescent="0.5">
      <c r="BK168" s="176"/>
      <c r="BL168" s="176"/>
    </row>
    <row r="169" spans="63:64" x14ac:dyDescent="0.5">
      <c r="BK169" s="176"/>
      <c r="BL169" s="176"/>
    </row>
    <row r="170" spans="63:64" x14ac:dyDescent="0.5">
      <c r="BK170" s="176"/>
      <c r="BL170" s="176"/>
    </row>
  </sheetData>
  <sheetProtection algorithmName="SHA-512" hashValue="0NLE4gD0vbe6ID0KJ6PQfpL4b72rWaUA0llfLJKqxOVx1qH/jnF+qC9x0Fm9rPCkzgct9BITtuTG26wOfiPnxQ==" saltValue="g8nS6RZbUgCXwEQrgXBRJg==" spinCount="100000" sheet="1" objects="1" scenarios="1"/>
  <mergeCells count="32">
    <mergeCell ref="G44:I44"/>
    <mergeCell ref="J42:K42"/>
    <mergeCell ref="G42:H42"/>
    <mergeCell ref="G38:I38"/>
    <mergeCell ref="G2:H2"/>
    <mergeCell ref="G41:I41"/>
    <mergeCell ref="AQ39:AQ40"/>
    <mergeCell ref="A35:C35"/>
    <mergeCell ref="A36:C36"/>
    <mergeCell ref="BK23:BK24"/>
    <mergeCell ref="BM23:BO23"/>
    <mergeCell ref="G40:I40"/>
    <mergeCell ref="G39:I39"/>
    <mergeCell ref="AQ23:AQ24"/>
    <mergeCell ref="G37:I37"/>
    <mergeCell ref="G35:K36"/>
    <mergeCell ref="AH1:AJ2"/>
    <mergeCell ref="AK1:AN1"/>
    <mergeCell ref="BP23:BQ23"/>
    <mergeCell ref="A38:B38"/>
    <mergeCell ref="C38:D38"/>
    <mergeCell ref="E38:F38"/>
    <mergeCell ref="G1:H1"/>
    <mergeCell ref="I2:K2"/>
    <mergeCell ref="I1:K1"/>
    <mergeCell ref="I3:K3"/>
    <mergeCell ref="J7:K7"/>
    <mergeCell ref="J14:K14"/>
    <mergeCell ref="P20:S20"/>
    <mergeCell ref="P21:S21"/>
    <mergeCell ref="P22:S22"/>
    <mergeCell ref="M3:V5"/>
  </mergeCells>
  <phoneticPr fontId="5" type="noConversion"/>
  <conditionalFormatting sqref="BK25:BL135">
    <cfRule type="cellIs" dxfId="0" priority="1" operator="lessThan">
      <formula>0</formula>
    </cfRule>
  </conditionalFormatting>
  <printOptions horizontalCentered="1"/>
  <pageMargins left="0.5" right="0" top="0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 msc</dc:creator>
  <cp:lastModifiedBy>msc msc</cp:lastModifiedBy>
  <cp:lastPrinted>2024-01-28T22:47:51Z</cp:lastPrinted>
  <dcterms:created xsi:type="dcterms:W3CDTF">2024-01-27T02:53:03Z</dcterms:created>
  <dcterms:modified xsi:type="dcterms:W3CDTF">2024-02-05T14:44:27Z</dcterms:modified>
</cp:coreProperties>
</file>