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งานระบบไฟฟ้า!$A$1:$M$69</definedName>
    <definedName name="_xlnm.Print_Area" localSheetId="4">งานระบบประปา!$A$1:$M$93</definedName>
    <definedName name="_xlnm.Print_Area" localSheetId="2">'งานสถาปัตยกรรม '!$A$1:$M$174</definedName>
    <definedName name="_xlnm.Print_Area" localSheetId="1">หมวดงานโครงสร้าง!$A$1:$M$57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  <c r="K55" i="7"/>
  <c r="I55" i="7"/>
  <c r="L55" i="7" s="1"/>
  <c r="K54" i="7"/>
  <c r="I54" i="7"/>
  <c r="L54" i="7" s="1"/>
  <c r="K53" i="7"/>
  <c r="L53" i="7" s="1"/>
  <c r="I53" i="7"/>
  <c r="E53" i="7"/>
  <c r="K52" i="7"/>
  <c r="L52" i="7" s="1"/>
  <c r="I52" i="7"/>
  <c r="L47" i="7"/>
  <c r="K47" i="7"/>
  <c r="I47" i="7"/>
  <c r="K46" i="7"/>
  <c r="I46" i="7"/>
  <c r="L46" i="7" s="1"/>
  <c r="K45" i="7"/>
  <c r="I45" i="7"/>
  <c r="L45" i="7" s="1"/>
  <c r="K44" i="7"/>
  <c r="L44" i="7" s="1"/>
  <c r="I44" i="7"/>
  <c r="E44" i="7"/>
  <c r="K43" i="7"/>
  <c r="L43" i="7" s="1"/>
  <c r="I43" i="7"/>
  <c r="L41" i="7"/>
  <c r="K41" i="7"/>
  <c r="I41" i="7"/>
  <c r="K40" i="7"/>
  <c r="I40" i="7"/>
  <c r="L40" i="7" s="1"/>
  <c r="K39" i="7"/>
  <c r="I39" i="7"/>
  <c r="L39" i="7" s="1"/>
  <c r="K38" i="7"/>
  <c r="I38" i="7"/>
  <c r="L38" i="7" s="1"/>
  <c r="L37" i="7"/>
  <c r="K37" i="7"/>
  <c r="I37" i="7"/>
  <c r="K35" i="7"/>
  <c r="G35" i="7"/>
  <c r="I35" i="7" s="1"/>
  <c r="L35" i="7" s="1"/>
  <c r="K34" i="7"/>
  <c r="I34" i="7"/>
  <c r="L34" i="7" s="1"/>
  <c r="K33" i="7"/>
  <c r="I33" i="7"/>
  <c r="L33" i="7" s="1"/>
  <c r="K32" i="7"/>
  <c r="I32" i="7"/>
  <c r="L32" i="7" s="1"/>
  <c r="L31" i="7"/>
  <c r="K31" i="7"/>
  <c r="I31" i="7"/>
  <c r="K30" i="7"/>
  <c r="I30" i="7"/>
  <c r="L30" i="7" s="1"/>
  <c r="K29" i="7"/>
  <c r="I29" i="7"/>
  <c r="L29" i="7" s="1"/>
  <c r="K28" i="7"/>
  <c r="I28" i="7"/>
  <c r="L28" i="7" s="1"/>
  <c r="L24" i="7"/>
  <c r="K24" i="7"/>
  <c r="I24" i="7"/>
  <c r="K23" i="7"/>
  <c r="I23" i="7"/>
  <c r="L23" i="7" s="1"/>
  <c r="K22" i="7"/>
  <c r="I22" i="7"/>
  <c r="L22" i="7" s="1"/>
  <c r="G20" i="7"/>
  <c r="K20" i="7" s="1"/>
  <c r="K19" i="7"/>
  <c r="I19" i="7"/>
  <c r="L19" i="7" s="1"/>
  <c r="L18" i="7"/>
  <c r="K18" i="7"/>
  <c r="I18" i="7"/>
  <c r="K17" i="7"/>
  <c r="I17" i="7"/>
  <c r="L17" i="7" s="1"/>
  <c r="K16" i="7"/>
  <c r="I16" i="7"/>
  <c r="L16" i="7" s="1"/>
  <c r="K15" i="7"/>
  <c r="I15" i="7"/>
  <c r="L15" i="7" s="1"/>
  <c r="L14" i="7"/>
  <c r="K14" i="7"/>
  <c r="I14" i="7"/>
  <c r="K13" i="7"/>
  <c r="I13" i="7"/>
  <c r="L13" i="7" s="1"/>
  <c r="K12" i="7"/>
  <c r="I12" i="7"/>
  <c r="L12" i="7" s="1"/>
  <c r="K11" i="7"/>
  <c r="I11" i="7"/>
  <c r="L11" i="7" s="1"/>
  <c r="L10" i="7"/>
  <c r="K10" i="7"/>
  <c r="K57" i="7" s="1"/>
  <c r="I10" i="7"/>
  <c r="D14" i="1"/>
  <c r="D12" i="1"/>
  <c r="K84" i="6"/>
  <c r="I84" i="6"/>
  <c r="L84" i="6" s="1"/>
  <c r="H84" i="6"/>
  <c r="K83" i="6"/>
  <c r="I83" i="6"/>
  <c r="L83" i="6" s="1"/>
  <c r="K82" i="6"/>
  <c r="L82" i="6" s="1"/>
  <c r="I82" i="6"/>
  <c r="L81" i="6"/>
  <c r="K81" i="6"/>
  <c r="I81" i="6"/>
  <c r="K80" i="6"/>
  <c r="L80" i="6" s="1"/>
  <c r="H80" i="6"/>
  <c r="I80" i="6" s="1"/>
  <c r="K79" i="6"/>
  <c r="L79" i="6" s="1"/>
  <c r="H79" i="6"/>
  <c r="I79" i="6" s="1"/>
  <c r="C78" i="6"/>
  <c r="K78" i="6" s="1"/>
  <c r="J73" i="6"/>
  <c r="K73" i="6" s="1"/>
  <c r="L73" i="6" s="1"/>
  <c r="I73" i="6"/>
  <c r="I72" i="6"/>
  <c r="I76" i="6" s="1"/>
  <c r="I12" i="6" s="1"/>
  <c r="C72" i="6"/>
  <c r="K72" i="6" s="1"/>
  <c r="I60" i="6"/>
  <c r="C60" i="6"/>
  <c r="K60" i="6" s="1"/>
  <c r="C56" i="6"/>
  <c r="K56" i="6" s="1"/>
  <c r="C55" i="6"/>
  <c r="K55" i="6" s="1"/>
  <c r="C54" i="6"/>
  <c r="K54" i="6" s="1"/>
  <c r="C53" i="6"/>
  <c r="K53" i="6" s="1"/>
  <c r="K52" i="6"/>
  <c r="L52" i="6" s="1"/>
  <c r="C52" i="6"/>
  <c r="L51" i="6"/>
  <c r="K51" i="6"/>
  <c r="I51" i="6"/>
  <c r="K50" i="6"/>
  <c r="H50" i="6"/>
  <c r="I50" i="6" s="1"/>
  <c r="L50" i="6" s="1"/>
  <c r="K48" i="6"/>
  <c r="L48" i="6" s="1"/>
  <c r="C48" i="6"/>
  <c r="I48" i="6" s="1"/>
  <c r="K47" i="6"/>
  <c r="L47" i="6" s="1"/>
  <c r="J47" i="6"/>
  <c r="I47" i="6"/>
  <c r="H45" i="6"/>
  <c r="C45" i="6"/>
  <c r="K45" i="6" s="1"/>
  <c r="K44" i="6"/>
  <c r="H44" i="6"/>
  <c r="C44" i="6"/>
  <c r="I44" i="6" s="1"/>
  <c r="C38" i="6"/>
  <c r="K38" i="6" s="1"/>
  <c r="C37" i="6"/>
  <c r="K37" i="6" s="1"/>
  <c r="C36" i="6"/>
  <c r="K36" i="6" s="1"/>
  <c r="C35" i="6"/>
  <c r="K35" i="6" s="1"/>
  <c r="K34" i="6"/>
  <c r="I34" i="6"/>
  <c r="L34" i="6" s="1"/>
  <c r="K33" i="6"/>
  <c r="I33" i="6"/>
  <c r="L33" i="6" s="1"/>
  <c r="H33" i="6"/>
  <c r="K32" i="6"/>
  <c r="I32" i="6"/>
  <c r="L32" i="6" s="1"/>
  <c r="J30" i="6"/>
  <c r="K30" i="6" s="1"/>
  <c r="L30" i="6" s="1"/>
  <c r="I30" i="6"/>
  <c r="J29" i="6"/>
  <c r="K29" i="6" s="1"/>
  <c r="L29" i="6" s="1"/>
  <c r="I29" i="6"/>
  <c r="I28" i="6"/>
  <c r="C28" i="6"/>
  <c r="K28" i="6" s="1"/>
  <c r="I27" i="6"/>
  <c r="C27" i="6"/>
  <c r="K27" i="6" s="1"/>
  <c r="K26" i="6"/>
  <c r="I26" i="6"/>
  <c r="L26" i="6" s="1"/>
  <c r="C25" i="6"/>
  <c r="K25" i="6" s="1"/>
  <c r="I22" i="6"/>
  <c r="H22" i="6"/>
  <c r="C22" i="6"/>
  <c r="K22" i="6" s="1"/>
  <c r="K21" i="6"/>
  <c r="H21" i="6"/>
  <c r="C21" i="6"/>
  <c r="I21" i="6" s="1"/>
  <c r="L21" i="6" s="1"/>
  <c r="H20" i="6"/>
  <c r="C20" i="6"/>
  <c r="I20" i="6" s="1"/>
  <c r="B13" i="6"/>
  <c r="A13" i="6"/>
  <c r="B12" i="6"/>
  <c r="A12" i="6"/>
  <c r="B11" i="6"/>
  <c r="A11" i="6"/>
  <c r="B10" i="6"/>
  <c r="A10" i="6"/>
  <c r="B9" i="6"/>
  <c r="A9" i="6"/>
  <c r="D10" i="1"/>
  <c r="P12" i="7"/>
  <c r="P11" i="7"/>
  <c r="A5" i="7"/>
  <c r="A4" i="7"/>
  <c r="M3" i="7"/>
  <c r="A3" i="7"/>
  <c r="I20" i="7" l="1"/>
  <c r="L20" i="7" s="1"/>
  <c r="L57" i="7" s="1"/>
  <c r="D8" i="1" s="1"/>
  <c r="F8" i="1" s="1"/>
  <c r="L22" i="6"/>
  <c r="L60" i="6"/>
  <c r="L20" i="6"/>
  <c r="H23" i="6"/>
  <c r="L27" i="6"/>
  <c r="L44" i="6"/>
  <c r="K76" i="6"/>
  <c r="K12" i="6" s="1"/>
  <c r="L72" i="6"/>
  <c r="L76" i="6" s="1"/>
  <c r="L12" i="6" s="1"/>
  <c r="K92" i="6"/>
  <c r="L28" i="6"/>
  <c r="H46" i="6"/>
  <c r="K20" i="6"/>
  <c r="I35" i="6"/>
  <c r="L35" i="6" s="1"/>
  <c r="I36" i="6"/>
  <c r="L36" i="6" s="1"/>
  <c r="I37" i="6"/>
  <c r="L37" i="6" s="1"/>
  <c r="I38" i="6"/>
  <c r="L38" i="6" s="1"/>
  <c r="I53" i="6"/>
  <c r="L53" i="6" s="1"/>
  <c r="I54" i="6"/>
  <c r="L54" i="6" s="1"/>
  <c r="I55" i="6"/>
  <c r="L55" i="6" s="1"/>
  <c r="I56" i="6"/>
  <c r="L56" i="6" s="1"/>
  <c r="I45" i="6"/>
  <c r="L45" i="6" s="1"/>
  <c r="I25" i="6"/>
  <c r="H61" i="6"/>
  <c r="I78" i="6"/>
  <c r="I92" i="6" s="1"/>
  <c r="U77" i="3"/>
  <c r="R77" i="3"/>
  <c r="O75" i="3"/>
  <c r="T75" i="3"/>
  <c r="Q75" i="3"/>
  <c r="T73" i="3"/>
  <c r="S73" i="3"/>
  <c r="Q73" i="3"/>
  <c r="P73" i="3"/>
  <c r="O73" i="3"/>
  <c r="O72" i="3"/>
  <c r="S72" i="3" s="1"/>
  <c r="T72" i="3" s="1"/>
  <c r="P71" i="3"/>
  <c r="Q71" i="3" s="1"/>
  <c r="O71" i="3"/>
  <c r="S71" i="3" s="1"/>
  <c r="T71" i="3" s="1"/>
  <c r="O65" i="3"/>
  <c r="S65" i="3" s="1"/>
  <c r="T65" i="3" s="1"/>
  <c r="S64" i="3"/>
  <c r="T64" i="3" s="1"/>
  <c r="P64" i="3"/>
  <c r="Q64" i="3" s="1"/>
  <c r="O64" i="3"/>
  <c r="N42" i="3"/>
  <c r="U23" i="3"/>
  <c r="T23" i="3"/>
  <c r="Q23" i="3"/>
  <c r="P23" i="3"/>
  <c r="N23" i="3"/>
  <c r="N22" i="3"/>
  <c r="O69" i="3"/>
  <c r="P69" i="3" s="1"/>
  <c r="Q69" i="3" s="1"/>
  <c r="S68" i="3"/>
  <c r="T68" i="3" s="1"/>
  <c r="P68" i="3"/>
  <c r="Q68" i="3" s="1"/>
  <c r="O68" i="3"/>
  <c r="S57" i="3"/>
  <c r="T57" i="3" s="1"/>
  <c r="P57" i="3"/>
  <c r="Q57" i="3" s="1"/>
  <c r="O57" i="3"/>
  <c r="O56" i="3"/>
  <c r="S56" i="3" s="1"/>
  <c r="T56" i="3" s="1"/>
  <c r="S38" i="3"/>
  <c r="T38" i="3" s="1"/>
  <c r="O38" i="3"/>
  <c r="P38" i="3" s="1"/>
  <c r="S37" i="3"/>
  <c r="T37" i="3" s="1"/>
  <c r="O37" i="3"/>
  <c r="P37" i="3" s="1"/>
  <c r="S36" i="3"/>
  <c r="T36" i="3" s="1"/>
  <c r="T42" i="3" s="1"/>
  <c r="O36" i="3"/>
  <c r="P36" i="3" s="1"/>
  <c r="I41" i="3"/>
  <c r="L41" i="3" s="1"/>
  <c r="I40" i="3"/>
  <c r="L40" i="3" s="1"/>
  <c r="I39" i="3"/>
  <c r="L39" i="3" s="1"/>
  <c r="I38" i="3"/>
  <c r="L38" i="3" s="1"/>
  <c r="I37" i="3"/>
  <c r="L37" i="3" s="1"/>
  <c r="L36" i="3"/>
  <c r="L42" i="3" s="1"/>
  <c r="I36" i="3"/>
  <c r="I42" i="3" s="1"/>
  <c r="F35" i="3"/>
  <c r="E35" i="3"/>
  <c r="I44" i="3"/>
  <c r="L44" i="3" s="1"/>
  <c r="K44" i="3"/>
  <c r="I45" i="3"/>
  <c r="K45" i="3"/>
  <c r="E46" i="3"/>
  <c r="I46" i="3"/>
  <c r="K46" i="3"/>
  <c r="E47" i="3"/>
  <c r="I47" i="3"/>
  <c r="L47" i="3" s="1"/>
  <c r="K47" i="3"/>
  <c r="E48" i="3"/>
  <c r="I48" i="3"/>
  <c r="K48" i="3"/>
  <c r="I57" i="7" l="1"/>
  <c r="H31" i="6"/>
  <c r="L25" i="6"/>
  <c r="J46" i="6"/>
  <c r="K46" i="6" s="1"/>
  <c r="I46" i="6"/>
  <c r="K13" i="6"/>
  <c r="I57" i="6"/>
  <c r="I10" i="6" s="1"/>
  <c r="I13" i="6"/>
  <c r="I61" i="6"/>
  <c r="J61" i="6"/>
  <c r="K61" i="6" s="1"/>
  <c r="K69" i="6" s="1"/>
  <c r="K11" i="6" s="1"/>
  <c r="L78" i="6"/>
  <c r="L92" i="6" s="1"/>
  <c r="J23" i="6"/>
  <c r="K23" i="6" s="1"/>
  <c r="I23" i="6"/>
  <c r="P72" i="3"/>
  <c r="Q72" i="3" s="1"/>
  <c r="R75" i="3" s="1"/>
  <c r="R78" i="3" s="1"/>
  <c r="R79" i="3" s="1"/>
  <c r="R80" i="3" s="1"/>
  <c r="U75" i="3"/>
  <c r="U78" i="3" s="1"/>
  <c r="U79" i="3" s="1"/>
  <c r="U80" i="3" s="1"/>
  <c r="P65" i="3"/>
  <c r="Q65" i="3" s="1"/>
  <c r="U42" i="3"/>
  <c r="P42" i="3"/>
  <c r="Q42" i="3" s="1"/>
  <c r="P56" i="3"/>
  <c r="Q56" i="3" s="1"/>
  <c r="S69" i="3"/>
  <c r="T69" i="3" s="1"/>
  <c r="L45" i="3"/>
  <c r="L48" i="3"/>
  <c r="L46" i="3"/>
  <c r="K31" i="3"/>
  <c r="I31" i="3"/>
  <c r="L23" i="6" l="1"/>
  <c r="I41" i="6"/>
  <c r="I9" i="6" s="1"/>
  <c r="J31" i="6"/>
  <c r="K31" i="6" s="1"/>
  <c r="K41" i="6" s="1"/>
  <c r="K9" i="6" s="1"/>
  <c r="K17" i="6" s="1"/>
  <c r="I31" i="6"/>
  <c r="L61" i="6"/>
  <c r="L69" i="6" s="1"/>
  <c r="L11" i="6" s="1"/>
  <c r="I69" i="6"/>
  <c r="L13" i="6"/>
  <c r="L46" i="6"/>
  <c r="L57" i="6" s="1"/>
  <c r="L10" i="6" s="1"/>
  <c r="K57" i="6"/>
  <c r="K10" i="6" s="1"/>
  <c r="L76" i="3"/>
  <c r="L77" i="3"/>
  <c r="L92" i="3"/>
  <c r="L93" i="3"/>
  <c r="L97" i="3"/>
  <c r="L98" i="3"/>
  <c r="L111" i="3"/>
  <c r="L112" i="3"/>
  <c r="L113" i="3"/>
  <c r="L128" i="3"/>
  <c r="L130" i="3"/>
  <c r="L131" i="3"/>
  <c r="L132" i="3"/>
  <c r="L134" i="3"/>
  <c r="L136" i="3"/>
  <c r="L137" i="3"/>
  <c r="L140" i="3"/>
  <c r="L141" i="3"/>
  <c r="L145" i="3"/>
  <c r="L149" i="3"/>
  <c r="L151" i="3"/>
  <c r="L152" i="3"/>
  <c r="L166" i="3"/>
  <c r="L167" i="3"/>
  <c r="A4" i="6"/>
  <c r="M3" i="6"/>
  <c r="A3" i="6"/>
  <c r="A4" i="5"/>
  <c r="M3" i="5"/>
  <c r="A3" i="5"/>
  <c r="A4" i="3"/>
  <c r="M3" i="3"/>
  <c r="A3" i="3"/>
  <c r="I171" i="3"/>
  <c r="L171" i="3" s="1"/>
  <c r="I170" i="3"/>
  <c r="L170" i="3" s="1"/>
  <c r="I169" i="3"/>
  <c r="L169" i="3" s="1"/>
  <c r="I168" i="3"/>
  <c r="L168" i="3" s="1"/>
  <c r="I165" i="3"/>
  <c r="L165" i="3" s="1"/>
  <c r="I164" i="3"/>
  <c r="L164" i="3" s="1"/>
  <c r="I163" i="3"/>
  <c r="L163" i="3" s="1"/>
  <c r="I162" i="3"/>
  <c r="L162" i="3" s="1"/>
  <c r="I161" i="3"/>
  <c r="L161" i="3" s="1"/>
  <c r="I160" i="3"/>
  <c r="L160" i="3" s="1"/>
  <c r="I159" i="3"/>
  <c r="L159" i="3" s="1"/>
  <c r="I158" i="3"/>
  <c r="L158" i="3" s="1"/>
  <c r="I157" i="3"/>
  <c r="L157" i="3" s="1"/>
  <c r="I156" i="3"/>
  <c r="L156" i="3" s="1"/>
  <c r="E156" i="3"/>
  <c r="I155" i="3"/>
  <c r="L155" i="3" s="1"/>
  <c r="I154" i="3"/>
  <c r="L154" i="3" s="1"/>
  <c r="I153" i="3"/>
  <c r="I148" i="3"/>
  <c r="L148" i="3" s="1"/>
  <c r="E148" i="3"/>
  <c r="I147" i="3"/>
  <c r="L147" i="3" s="1"/>
  <c r="I146" i="3"/>
  <c r="L146" i="3" s="1"/>
  <c r="I144" i="3"/>
  <c r="L144" i="3" s="1"/>
  <c r="E144" i="3"/>
  <c r="I143" i="3"/>
  <c r="E143" i="3"/>
  <c r="I142" i="3"/>
  <c r="L142" i="3" s="1"/>
  <c r="E142" i="3"/>
  <c r="I138" i="3"/>
  <c r="L138" i="3" s="1"/>
  <c r="I135" i="3"/>
  <c r="L135" i="3" s="1"/>
  <c r="I133" i="3"/>
  <c r="I127" i="3"/>
  <c r="L127" i="3" s="1"/>
  <c r="I126" i="3"/>
  <c r="L126" i="3" s="1"/>
  <c r="I125" i="3"/>
  <c r="L125" i="3" s="1"/>
  <c r="I124" i="3"/>
  <c r="L124" i="3" s="1"/>
  <c r="I123" i="3"/>
  <c r="L123" i="3" s="1"/>
  <c r="I122" i="3"/>
  <c r="L122" i="3" s="1"/>
  <c r="I121" i="3"/>
  <c r="L121" i="3" s="1"/>
  <c r="I120" i="3"/>
  <c r="L120" i="3" s="1"/>
  <c r="I119" i="3"/>
  <c r="L119" i="3" s="1"/>
  <c r="I118" i="3"/>
  <c r="L118" i="3" s="1"/>
  <c r="I117" i="3"/>
  <c r="L117" i="3" s="1"/>
  <c r="I116" i="3"/>
  <c r="L116" i="3" s="1"/>
  <c r="I115" i="3"/>
  <c r="L115" i="3" s="1"/>
  <c r="I114" i="3"/>
  <c r="L114" i="3" s="1"/>
  <c r="I110" i="3"/>
  <c r="L110" i="3" s="1"/>
  <c r="I109" i="3"/>
  <c r="L109" i="3" s="1"/>
  <c r="I108" i="3"/>
  <c r="L108" i="3" s="1"/>
  <c r="I107" i="3"/>
  <c r="L107" i="3" s="1"/>
  <c r="I106" i="3"/>
  <c r="L106" i="3" s="1"/>
  <c r="I105" i="3"/>
  <c r="L105" i="3" s="1"/>
  <c r="I104" i="3"/>
  <c r="L104" i="3" s="1"/>
  <c r="I103" i="3"/>
  <c r="L103" i="3" s="1"/>
  <c r="I102" i="3"/>
  <c r="L102" i="3" s="1"/>
  <c r="I101" i="3"/>
  <c r="L101" i="3" s="1"/>
  <c r="I100" i="3"/>
  <c r="L100" i="3" s="1"/>
  <c r="I99" i="3"/>
  <c r="L99" i="3" s="1"/>
  <c r="I96" i="3"/>
  <c r="L96" i="3" s="1"/>
  <c r="I95" i="3"/>
  <c r="L95" i="3" s="1"/>
  <c r="I94" i="3"/>
  <c r="L94" i="3" s="1"/>
  <c r="I91" i="3"/>
  <c r="L91" i="3" s="1"/>
  <c r="I90" i="3"/>
  <c r="L90" i="3" s="1"/>
  <c r="I89" i="3"/>
  <c r="L89" i="3" s="1"/>
  <c r="I88" i="3"/>
  <c r="L88" i="3" s="1"/>
  <c r="I87" i="3"/>
  <c r="L87" i="3" s="1"/>
  <c r="I86" i="3"/>
  <c r="L86" i="3" s="1"/>
  <c r="I85" i="3"/>
  <c r="L85" i="3" s="1"/>
  <c r="I84" i="3"/>
  <c r="L84" i="3" s="1"/>
  <c r="I83" i="3"/>
  <c r="L83" i="3" s="1"/>
  <c r="I82" i="3"/>
  <c r="L82" i="3" s="1"/>
  <c r="I81" i="3"/>
  <c r="L81" i="3" s="1"/>
  <c r="I80" i="3"/>
  <c r="L80" i="3" s="1"/>
  <c r="I79" i="3"/>
  <c r="L79" i="3" s="1"/>
  <c r="I78" i="3"/>
  <c r="L78" i="3" s="1"/>
  <c r="G75" i="3"/>
  <c r="I74" i="3"/>
  <c r="L74" i="3" s="1"/>
  <c r="I73" i="3"/>
  <c r="L73" i="3" s="1"/>
  <c r="I72" i="3"/>
  <c r="L72" i="3" s="1"/>
  <c r="I71" i="3"/>
  <c r="L71" i="3" s="1"/>
  <c r="I70" i="3"/>
  <c r="L70" i="3" s="1"/>
  <c r="I69" i="3"/>
  <c r="L69" i="3" s="1"/>
  <c r="I68" i="3"/>
  <c r="L68" i="3" s="1"/>
  <c r="I67" i="3"/>
  <c r="L67" i="3" s="1"/>
  <c r="I66" i="3"/>
  <c r="L66" i="3" s="1"/>
  <c r="I65" i="3"/>
  <c r="L65" i="3" s="1"/>
  <c r="E65" i="3"/>
  <c r="I64" i="3"/>
  <c r="L64" i="3" s="1"/>
  <c r="I63" i="3"/>
  <c r="L63" i="3" s="1"/>
  <c r="E63" i="3"/>
  <c r="I62" i="3"/>
  <c r="L62" i="3" s="1"/>
  <c r="E62" i="3"/>
  <c r="I61" i="3"/>
  <c r="L61" i="3" s="1"/>
  <c r="E61" i="3"/>
  <c r="I60" i="3"/>
  <c r="L60" i="3" s="1"/>
  <c r="I59" i="3"/>
  <c r="L59" i="3" s="1"/>
  <c r="I58" i="3"/>
  <c r="L58" i="3" s="1"/>
  <c r="I57" i="3"/>
  <c r="L57" i="3" s="1"/>
  <c r="I56" i="3"/>
  <c r="L56" i="3" s="1"/>
  <c r="I55" i="3"/>
  <c r="I51" i="3"/>
  <c r="L51" i="3" s="1"/>
  <c r="I50" i="3"/>
  <c r="L50" i="3" s="1"/>
  <c r="E50" i="3"/>
  <c r="K49" i="3"/>
  <c r="I49" i="3"/>
  <c r="E49" i="3"/>
  <c r="L32" i="3"/>
  <c r="L31" i="3"/>
  <c r="K30" i="3"/>
  <c r="I30" i="3"/>
  <c r="L29" i="3"/>
  <c r="K28" i="3"/>
  <c r="I28" i="3"/>
  <c r="K27" i="3"/>
  <c r="I27" i="3"/>
  <c r="K26" i="3"/>
  <c r="I26" i="3"/>
  <c r="E26" i="3"/>
  <c r="K25" i="3"/>
  <c r="I25" i="3"/>
  <c r="E25" i="3"/>
  <c r="K24" i="3"/>
  <c r="I24" i="3"/>
  <c r="E24" i="3"/>
  <c r="K23" i="3"/>
  <c r="I23" i="3"/>
  <c r="E23" i="3"/>
  <c r="K22" i="3"/>
  <c r="I22" i="3"/>
  <c r="E22" i="3"/>
  <c r="K21" i="3"/>
  <c r="I21" i="3"/>
  <c r="E21" i="3"/>
  <c r="K20" i="3"/>
  <c r="I20" i="3"/>
  <c r="E20" i="3"/>
  <c r="F19" i="3"/>
  <c r="K16" i="3"/>
  <c r="I16" i="3"/>
  <c r="K15" i="3"/>
  <c r="I15" i="3"/>
  <c r="E15" i="3"/>
  <c r="K14" i="3"/>
  <c r="I14" i="3"/>
  <c r="E14" i="3"/>
  <c r="E9" i="3" s="1"/>
  <c r="K13" i="3"/>
  <c r="I13" i="3"/>
  <c r="K12" i="3"/>
  <c r="I12" i="3"/>
  <c r="K11" i="3"/>
  <c r="I11" i="3"/>
  <c r="K10" i="3"/>
  <c r="I10" i="3"/>
  <c r="F9" i="3"/>
  <c r="D16" i="1"/>
  <c r="I11" i="6" l="1"/>
  <c r="I17" i="6" s="1"/>
  <c r="I93" i="6"/>
  <c r="K93" i="6"/>
  <c r="L31" i="6"/>
  <c r="L41" i="6"/>
  <c r="L9" i="6" s="1"/>
  <c r="L17" i="6" s="1"/>
  <c r="E19" i="3"/>
  <c r="E45" i="3"/>
  <c r="E44" i="3"/>
  <c r="K33" i="3"/>
  <c r="I173" i="3"/>
  <c r="L14" i="3"/>
  <c r="L21" i="3"/>
  <c r="L25" i="3"/>
  <c r="L49" i="3"/>
  <c r="L28" i="3"/>
  <c r="L24" i="3"/>
  <c r="L12" i="3"/>
  <c r="L22" i="3"/>
  <c r="L26" i="3"/>
  <c r="L23" i="3"/>
  <c r="L153" i="3"/>
  <c r="L173" i="3" s="1"/>
  <c r="I75" i="3"/>
  <c r="I139" i="3"/>
  <c r="L129" i="3"/>
  <c r="I150" i="3"/>
  <c r="L133" i="3"/>
  <c r="L139" i="3" s="1"/>
  <c r="L10" i="3"/>
  <c r="L13" i="3"/>
  <c r="L16" i="3"/>
  <c r="I33" i="3"/>
  <c r="L27" i="3"/>
  <c r="L30" i="3"/>
  <c r="I129" i="3"/>
  <c r="L55" i="3"/>
  <c r="L75" i="3" s="1"/>
  <c r="L143" i="3"/>
  <c r="L150" i="3" s="1"/>
  <c r="L11" i="3"/>
  <c r="L15" i="3"/>
  <c r="L20" i="3"/>
  <c r="K52" i="3"/>
  <c r="K18" i="3"/>
  <c r="I52" i="3"/>
  <c r="I18" i="3"/>
  <c r="E16" i="3"/>
  <c r="L93" i="6" l="1"/>
  <c r="L33" i="3"/>
  <c r="K174" i="3"/>
  <c r="L52" i="3"/>
  <c r="I174" i="3"/>
  <c r="L18" i="3"/>
  <c r="L174" i="3" l="1"/>
  <c r="D18" i="1" l="1"/>
  <c r="D19" i="1" l="1"/>
  <c r="D20" i="1" s="1"/>
  <c r="D21" i="1" s="1"/>
  <c r="D24" i="1" s="1"/>
</calcChain>
</file>

<file path=xl/sharedStrings.xml><?xml version="1.0" encoding="utf-8"?>
<sst xmlns="http://schemas.openxmlformats.org/spreadsheetml/2006/main" count="867" uniqueCount="502">
  <si>
    <t>B-4.6</t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</si>
  <si>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</si>
  <si>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</si>
  <si>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</si>
  <si>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</si>
  <si>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</si>
  <si>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</si>
  <si>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</si>
  <si>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</si>
  <si>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</si>
  <si>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</si>
  <si>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</si>
  <si>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</si>
  <si>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</si>
  <si>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</si>
  <si>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</si>
  <si>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</si>
  <si>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</si>
  <si>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</si>
  <si>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</si>
  <si>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</si>
  <si>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</si>
  <si>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</si>
  <si>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</si>
  <si>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</si>
  <si>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</si>
  <si>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</si>
  <si>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</si>
  <si>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</si>
  <si>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</si>
  <si>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</si>
  <si>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</si>
  <si>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</si>
  <si>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</si>
  <si>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</si>
  <si>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</si>
  <si>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</si>
  <si>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</si>
  <si>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</si>
  <si>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</si>
  <si>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</si>
  <si>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</si>
  <si>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</si>
  <si>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</si>
  <si>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</si>
  <si>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</si>
  <si>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</si>
  <si>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</si>
  <si>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</si>
  <si>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</si>
  <si>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</si>
  <si>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</si>
  <si>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</si>
  <si>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</si>
  <si>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</si>
  <si>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</si>
  <si>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</si>
  <si>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</si>
  <si>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</si>
  <si>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</si>
  <si>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</si>
  <si>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</si>
  <si>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</si>
  <si>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</si>
  <si>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</si>
  <si>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</si>
  <si>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</si>
  <si>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</si>
  <si>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</si>
  <si>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</si>
  <si>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</si>
  <si>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</si>
  <si>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</si>
  <si>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</si>
  <si>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</si>
  <si>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</si>
  <si>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</si>
  <si>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</si>
  <si>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</si>
  <si>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</si>
  <si>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</si>
  <si>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</si>
  <si>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</si>
  <si>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</si>
  <si>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</si>
  <si>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</si>
  <si>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</si>
  <si>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</si>
  <si>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</si>
  <si>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</si>
  <si>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</si>
  <si>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</si>
  <si>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</si>
  <si>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</si>
  <si>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</si>
  <si>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</si>
  <si>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</si>
  <si>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</si>
  <si>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</si>
  <si>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</si>
  <si>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</si>
  <si>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</si>
  <si>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</si>
  <si>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</si>
  <si>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</si>
  <si>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</si>
  <si>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</si>
  <si>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</si>
  <si>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</si>
  <si>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</si>
  <si>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</si>
  <si>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</si>
  <si>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</si>
  <si>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</si>
  <si>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</si>
  <si>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</si>
  <si>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</si>
  <si>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</si>
  <si>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</si>
  <si>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</si>
  <si>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</si>
  <si>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</si>
  <si>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</si>
  <si>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</si>
  <si>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</si>
  <si>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</si>
  <si>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</si>
  <si>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</si>
  <si>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</si>
  <si>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</si>
  <si>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</si>
  <si>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</si>
  <si>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</si>
  <si>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</si>
  <si>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</si>
  <si>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</si>
  <si>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</si>
  <si>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</si>
  <si>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</si>
  <si>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</si>
  <si>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</si>
  <si>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</si>
  <si>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</si>
  <si>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</si>
  <si>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</si>
  <si>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</si>
  <si>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</si>
  <si>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</si>
  <si>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</si>
  <si>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</si>
  <si>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</si>
  <si>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</si>
  <si>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</si>
  <si>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</si>
  <si>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</si>
  <si>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</si>
  <si>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</si>
  <si>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</si>
  <si>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</si>
  <si>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</si>
  <si>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</si>
  <si>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</si>
  <si>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</si>
  <si>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</si>
  <si>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</si>
  <si>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</si>
  <si>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</si>
  <si>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</si>
  <si>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</si>
  <si>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</si>
  <si>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</si>
  <si>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</si>
  <si>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</si>
  <si>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</si>
  <si>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</si>
  <si>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</si>
  <si>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</si>
  <si>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</si>
  <si>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</si>
  <si>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</si>
  <si>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</si>
  <si>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อุปกรณ์อื่นๆ</t>
  </si>
  <si>
    <t xml:space="preserve"> - RB 9 มม. SR 24 (เสริมพิเศษหลังคาน @ 0.20 ม.)</t>
  </si>
  <si>
    <t xml:space="preserve">ไม้แบบ </t>
  </si>
  <si>
    <t>F5 - ซีเมนต์ขัดเรียบ (ที่จอดรถ)</t>
  </si>
  <si>
    <t>ก๊อกสนามก้านจับสีแดงมีที่สวมสายยาง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</si>
  <si>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</si>
  <si>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</si>
  <si>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</si>
  <si>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</si>
  <si>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</si>
  <si>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</si>
  <si>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</si>
  <si>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</si>
  <si>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น1</t>
  </si>
  <si>
    <t>น2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</si>
  <si>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</si>
  <si>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</si>
  <si>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</si>
  <si>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</si>
  <si>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</si>
  <si>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</si>
  <si>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</si>
  <si>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</si>
  <si>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</si>
  <si>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</si>
  <si>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</si>
  <si>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</si>
  <si>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</si>
  <si>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</si>
  <si>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</si>
  <si>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</si>
  <si>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</si>
  <si>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</si>
  <si>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</si>
  <si>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</si>
  <si>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</si>
  <si>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</si>
  <si>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</si>
  <si>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</si>
  <si>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</si>
  <si>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</si>
  <si>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</si>
  <si>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</si>
  <si>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</si>
  <si>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</si>
  <si>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</si>
  <si>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</si>
  <si>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</si>
  <si>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</si>
  <si>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</si>
  <si>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</si>
  <si>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</si>
  <si>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</si>
  <si>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</si>
  <si>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</si>
  <si>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</si>
  <si>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</si>
  <si>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</si>
  <si>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</si>
  <si>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</si>
  <si>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</si>
  <si>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</si>
  <si>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C1</t>
  </si>
  <si>
    <t>แผงย่อย, เซอร์กิตเบรกเกอร์ และมิเตอร์ไฟฟ้า</t>
  </si>
  <si>
    <t xml:space="preserve">  -  Molded Case Circuit Breaker (MCCB) 2P,100AT/100AF ,Ics 10 KA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</si>
  <si>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</si>
  <si>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</si>
  <si>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</si>
  <si>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</si>
  <si>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</si>
  <si>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</si>
  <si>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 -  IEC01 (THW) 35 SQ.MM. (MAIN FEEDER)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</si>
  <si>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</si>
  <si>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</si>
  <si>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</si>
  <si>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</si>
  <si>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</si>
  <si>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</si>
  <si>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</si>
  <si>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</si>
  <si>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</si>
  <si>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</si>
  <si>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</si>
  <si>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</si>
  <si>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2 นิ้ว uPVC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</si>
  <si>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</si>
  <si>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</si>
  <si>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</si>
  <si>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</si>
  <si>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</si>
  <si>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</si>
  <si>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</si>
  <si>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</si>
  <si>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</si>
  <si>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</si>
  <si>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</si>
  <si>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</si>
  <si>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</si>
  <si>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</si>
  <si>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</si>
  <si>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</si>
  <si>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</si>
  <si>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</si>
  <si>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</si>
  <si>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</si>
  <si>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</si>
  <si>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</si>
  <si>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</si>
  <si>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</si>
  <si>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</si>
  <si>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</si>
  <si>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</si>
  <si>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</si>
  <si>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</si>
  <si>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</si>
  <si>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</si>
  <si>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</si>
  <si>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</si>
  <si>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</si>
  <si>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</si>
  <si>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</si>
  <si>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</si>
  <si>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</si>
  <si>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</si>
  <si>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</si>
  <si>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</si>
  <si>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</si>
  <si>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</si>
  <si>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</si>
  <si>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</si>
  <si>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</si>
  <si>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</si>
  <si>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</si>
  <si>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</si>
  <si>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</si>
  <si>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</si>
  <si>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</si>
  <si>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</si>
  <si>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</si>
  <si>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</si>
  <si>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</si>
  <si>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</si>
  <si>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</si>
  <si>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</si>
  <si>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</si>
  <si>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</si>
  <si>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</si>
  <si>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</si>
  <si>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</si>
  <si>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</si>
  <si>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</si>
  <si>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</si>
  <si>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</si>
  <si>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</si>
  <si>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</si>
  <si>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</si>
  <si>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</si>
  <si>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</si>
  <si>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</si>
  <si>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</si>
  <si>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</si>
  <si>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</si>
  <si>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</si>
  <si>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</si>
  <si>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</si>
  <si>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</si>
  <si>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</si>
  <si>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</si>
  <si>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</si>
  <si>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</si>
  <si>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</si>
  <si>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</si>
  <si>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</si>
  <si>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</si>
  <si>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</si>
  <si>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ราวระเบียง 1</t>
  </si>
  <si>
    <t>รวมหมวดงาน B-9</t>
  </si>
  <si>
    <t xml:space="preserve">F2 - พื้น คสล. ผิวลามิเนต </t>
  </si>
  <si>
    <t xml:space="preserve">     - ขัดมันเรียบพื้นลามิเนต</t>
  </si>
  <si>
    <t>ซีเมนต์ขัดมันเรียบผสมน้ำยากันซึม (กันสาด)</t>
  </si>
  <si>
    <t>ผนังอิฐมวลเบา 2 ชั้น</t>
  </si>
  <si>
    <t>B-2.9</t>
  </si>
  <si>
    <t>B-2.10</t>
  </si>
  <si>
    <t>B-4.8</t>
  </si>
  <si>
    <t>B-5.2.3</t>
  </si>
  <si>
    <t>น3</t>
  </si>
  <si>
    <t>B-6.1.13</t>
  </si>
  <si>
    <t>B-6.1.14</t>
  </si>
  <si>
    <t>B-6.1.15</t>
  </si>
  <si>
    <t xml:space="preserve"> รวมหมวดงาน B-6</t>
  </si>
  <si>
    <t>แผงบังแดด 5</t>
  </si>
  <si>
    <t>แผงบังแดด 6</t>
  </si>
  <si>
    <t>แผงบังแดด 7</t>
  </si>
  <si>
    <t>แผงบังแดด 8</t>
  </si>
  <si>
    <t>แผงบังแดด 9</t>
  </si>
  <si>
    <t>แผงบังแดด 10</t>
  </si>
  <si>
    <t>แผงบังแดด 11</t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</si>
  <si>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</si>
  <si>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B-2.11</t>
  </si>
  <si>
    <t>B-5.1.7</t>
  </si>
  <si>
    <t>ป7</t>
  </si>
  <si>
    <t>B-5.1.8</t>
  </si>
  <si>
    <t>ป8</t>
  </si>
  <si>
    <t>B-5.1.9</t>
  </si>
  <si>
    <t>ป9</t>
  </si>
  <si>
    <t>B-5.1.10</t>
  </si>
  <si>
    <t>ป10</t>
  </si>
  <si>
    <t>แผงบังแดด 12</t>
  </si>
  <si>
    <t>แผงบังแดด 13</t>
  </si>
  <si>
    <t>ผนังปิดผิวด้วยแผ่นสมาร์ทบอร์ด รุ่นเซาะร่อง 4 นิ้ว</t>
  </si>
  <si>
    <t>B-5.2.4</t>
  </si>
  <si>
    <t>น4</t>
  </si>
  <si>
    <t>B-1.6</t>
  </si>
  <si>
    <t>B-2.6</t>
  </si>
  <si>
    <t>เสาเอ็น+ทับหลัง  0.10x0.20 m.</t>
  </si>
  <si>
    <t>B-5.2.5</t>
  </si>
  <si>
    <t>น5</t>
  </si>
  <si>
    <t>ห้องน้ำ1 (ค่าแรงอยู่ในงานสุขาภิบาลแล้ว)</t>
  </si>
  <si>
    <t>B-6.2</t>
  </si>
  <si>
    <t>ห้องน้ำ 2 (ค่าแรงอยู่ในงานสุขาภิบาลแล้ว)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</si>
  <si>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</si>
  <si>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</si>
  <si>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</si>
  <si>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</si>
  <si>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</si>
  <si>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</si>
  <si>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</si>
  <si>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</si>
  <si>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</si>
  <si>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</si>
  <si>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</si>
  <si>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</si>
  <si>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B-6.3</t>
  </si>
  <si>
    <t>ห้องน้ำ 3 (ค่าแรงอยู่ในงานสุขาภิบาลแล้ว)</t>
  </si>
  <si>
    <t>B-6.3.1</t>
  </si>
  <si>
    <t>B-6.3.2</t>
  </si>
  <si>
    <t>B-6.3.3</t>
  </si>
  <si>
    <t>B-6.3.4</t>
  </si>
  <si>
    <t>B-6.3.5</t>
  </si>
  <si>
    <t>B-6.3.7</t>
  </si>
  <si>
    <t>B-6.3.9</t>
  </si>
  <si>
    <t>B-6.3.10</t>
  </si>
  <si>
    <t>B-6.3.11</t>
  </si>
  <si>
    <t>B-6.3.12</t>
  </si>
  <si>
    <t>B-6.3.13</t>
  </si>
  <si>
    <t>B-6.3.14</t>
  </si>
  <si>
    <t>B-7.1.3</t>
  </si>
  <si>
    <t>หลังคาเหล็กชุบสังกะสี รีดลอน เคลือบสี</t>
  </si>
  <si>
    <t xml:space="preserve"> ความหนารวม 0.5 มม. แบบไม่มีคลิปล็อค</t>
  </si>
  <si>
    <t>B-7.1.2</t>
  </si>
  <si>
    <t xml:space="preserve">แผงบังแดด </t>
  </si>
  <si>
    <t>B-9.1.1</t>
  </si>
  <si>
    <t>B-9.1.2</t>
  </si>
  <si>
    <t>B-9.1.3</t>
  </si>
  <si>
    <t>B-9.1.4</t>
  </si>
  <si>
    <t>B-9.1.5</t>
  </si>
  <si>
    <t>B-9.1.6</t>
  </si>
  <si>
    <t>B-9.1.7</t>
  </si>
  <si>
    <t>B-9.1.8</t>
  </si>
  <si>
    <t>B-9.1.9</t>
  </si>
  <si>
    <t>B-9.1.10</t>
  </si>
  <si>
    <t>B-9.1.11</t>
  </si>
  <si>
    <t>B-9.1.12</t>
  </si>
  <si>
    <t>B-5.1.11</t>
  </si>
  <si>
    <t>ป11</t>
  </si>
  <si>
    <t>B-5.2.6</t>
  </si>
  <si>
    <t>น6</t>
  </si>
  <si>
    <t>B-6.3.6</t>
  </si>
  <si>
    <t>B-6.3.8</t>
  </si>
  <si>
    <t>B-9.1.13</t>
  </si>
  <si>
    <t>ราวกันตก</t>
  </si>
  <si>
    <t>B-9.2.1</t>
  </si>
  <si>
    <t>B-9.2.2</t>
  </si>
  <si>
    <t>ราวระเบียง 2</t>
  </si>
  <si>
    <t>B-9.2.3</t>
  </si>
  <si>
    <t>ราวระเบียง 3</t>
  </si>
  <si>
    <t>B-9.2.4</t>
  </si>
  <si>
    <t>ราวระเบียง 4</t>
  </si>
  <si>
    <t>แบบบ้าน : บ้านดีดีรักษ์กัน 2</t>
  </si>
  <si>
    <t>B-3.4</t>
  </si>
  <si>
    <t>B-3.5</t>
  </si>
  <si>
    <t>C5 - ฝ้าเพดานยิบซั่มบอร์ด หนา 9 มม. ชนิดธรรมดา โครงเคร่าเหล็กชุบสังกะสี  @ 0.60x0.60m.</t>
  </si>
  <si>
    <t>B-3.6</t>
  </si>
  <si>
    <t xml:space="preserve">C6 - ฝ้าเพดานยิปซั่มบอร์ดทนความชื้น หนา 9 มม. ฉาบเรียบโครงเคร่าเหล็กชุบสังกะสี @ 0.60x0.60m. </t>
  </si>
  <si>
    <t>C4 - ฉาบปูนเรียบทาสีใต้ท้องพื้น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</si>
  <si>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</si>
  <si>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</si>
  <si>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</si>
  <si>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</si>
  <si>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</si>
  <si>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</si>
  <si>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</si>
  <si>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</si>
  <si>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</si>
  <si>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>งานโครงสร้างชั้น หลังคา</t>
  </si>
  <si>
    <t>A-3-1</t>
  </si>
  <si>
    <t xml:space="preserve">    Rectangular Tube 150 x 50 x 3.2 mm.</t>
  </si>
  <si>
    <t xml:space="preserve">    Rectangular Tube 75 x 38 x 3.2 mm.</t>
  </si>
  <si>
    <t>Light Lip Channel 150 x 50 x 20 x 3.2 mm.</t>
  </si>
  <si>
    <t>สีกันสนิม ของ TOA หรือเทียบเท่า</t>
  </si>
  <si>
    <t xml:space="preserve"> หมวดงานระบบไฟฟ้า</t>
  </si>
  <si>
    <t xml:space="preserve">  -  ตู้ไฟฟ้า CONSUMER UNIT (CU) 18 วงจร</t>
  </si>
  <si>
    <t xml:space="preserve">  -  FITTING &amp; ACCESSORIES งานติดตั้งสายไฟและงานเดินท่อ(10%)</t>
  </si>
  <si>
    <t xml:space="preserve">  -  โคมไฟเพดานหลอด T8 FLUORESCENT 18W/ชนิดขั้วหลอด G13  (กันแมลง)</t>
  </si>
  <si>
    <t xml:space="preserve">  -  SPLITER 6-way</t>
  </si>
  <si>
    <t xml:space="preserve">  -  ค่าขอมิเตอร์ไฟฟ้าขนาด 1P-30(100A)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</si>
  <si>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</si>
  <si>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</si>
  <si>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</si>
  <si>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</si>
  <si>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</si>
  <si>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</si>
  <si>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</si>
  <si>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</si>
  <si>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</si>
  <si>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</si>
  <si>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</si>
  <si>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 xml:space="preserve"> - ขนาด1 1/2 นิ้ว </t>
  </si>
  <si>
    <t>RD</t>
  </si>
  <si>
    <t>ถังดักไขมันสำเร็จรูป ชนิดติดตั้งใต้อ่างล้างจาน</t>
  </si>
  <si>
    <t>บ่อดักกลิ่น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</si>
</sst>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3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sz val="10"/>
      <name val="Arial"/>
      <charset val="22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9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0" fontId="9" fillId="0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29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0" xfId="52" applyFont="1" applyFill="1" applyBorder="1" applyAlignment="1" applyProtection="1">
      <alignment vertical="center"/>
      <protection locked="0"/>
    </xf>
    <xf numFmtId="43" fontId="10" fillId="27" borderId="31" xfId="0" applyNumberFormat="1" applyFont="1" applyFill="1" applyBorder="1" applyAlignment="1" applyProtection="1">
      <alignment vertical="center"/>
      <protection locked="0"/>
    </xf>
    <xf numFmtId="0" fontId="10" fillId="27" borderId="24" xfId="0" applyFont="1" applyFill="1" applyBorder="1" applyAlignment="1">
      <alignment horizontal="center" vertical="center"/>
    </xf>
    <xf numFmtId="0" fontId="10" fillId="27" borderId="25" xfId="0" applyFont="1" applyFill="1" applyBorder="1" applyAlignment="1" applyProtection="1">
      <alignment horizontal="center" vertical="center"/>
    </xf>
    <xf numFmtId="10" fontId="13" fillId="27" borderId="25" xfId="54" applyNumberFormat="1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  <protection locked="0"/>
    </xf>
    <xf numFmtId="164" fontId="10" fillId="27" borderId="25" xfId="52" applyFont="1" applyFill="1" applyBorder="1" applyAlignment="1" applyProtection="1">
      <alignment vertical="center"/>
      <protection locked="0"/>
    </xf>
    <xf numFmtId="43" fontId="10" fillId="27" borderId="26" xfId="0" applyNumberFormat="1" applyFont="1" applyFill="1" applyBorder="1" applyAlignment="1" applyProtection="1">
      <alignment vertical="center"/>
      <protection locked="0"/>
    </xf>
    <xf numFmtId="0" fontId="10" fillId="27" borderId="32" xfId="0" applyFont="1" applyFill="1" applyBorder="1" applyAlignment="1" applyProtection="1">
      <alignment horizontal="center" vertical="center"/>
      <protection locked="0"/>
    </xf>
    <xf numFmtId="0" fontId="10" fillId="27" borderId="30" xfId="0" applyFont="1" applyFill="1" applyBorder="1" applyAlignment="1" applyProtection="1">
      <alignment horizontal="center" vertical="center"/>
      <protection locked="0"/>
    </xf>
    <xf numFmtId="0" fontId="10" fillId="27" borderId="24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0" fontId="11" fillId="27" borderId="30" xfId="0" applyFont="1" applyFill="1" applyBorder="1" applyAlignment="1" applyProtection="1">
      <alignment horizontal="center" vertical="center"/>
      <protection locked="0"/>
    </xf>
    <xf numFmtId="10" fontId="14" fillId="27" borderId="30" xfId="54" applyNumberFormat="1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vertical="center"/>
      <protection locked="0"/>
    </xf>
    <xf numFmtId="0" fontId="11" fillId="27" borderId="32" xfId="0" applyFont="1" applyFill="1" applyBorder="1" applyAlignment="1" applyProtection="1">
      <alignment horizontal="center" vertical="center"/>
      <protection locked="0"/>
    </xf>
    <xf numFmtId="0" fontId="10" fillId="27" borderId="33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4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5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6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7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8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39" xfId="0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1" fillId="26" borderId="35" xfId="0" applyFont="1" applyFill="1" applyBorder="1" applyAlignment="1">
      <alignment horizontal="center" vertical="center"/>
    </xf>
    <xf numFmtId="164" fontId="10" fillId="26" borderId="36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 applyProtection="1">
      <alignment horizontal="center" vertical="center"/>
    </xf>
    <xf numFmtId="10" fontId="13" fillId="25" borderId="43" xfId="54" applyNumberFormat="1" applyFont="1" applyFill="1" applyBorder="1" applyAlignment="1" applyProtection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  <protection locked="0"/>
    </xf>
    <xf numFmtId="164" fontId="10" fillId="25" borderId="43" xfId="52" applyFont="1" applyFill="1" applyBorder="1" applyAlignment="1" applyProtection="1">
      <alignment vertical="center"/>
      <protection locked="0"/>
    </xf>
    <xf numFmtId="164" fontId="10" fillId="25" borderId="43" xfId="52" applyFont="1" applyFill="1" applyBorder="1" applyAlignment="1" applyProtection="1">
      <alignment vertical="center"/>
    </xf>
    <xf numFmtId="43" fontId="10" fillId="25" borderId="44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46" xfId="0" applyFont="1" applyFill="1" applyBorder="1" applyAlignment="1">
      <alignment horizontal="center" vertical="center"/>
    </xf>
    <xf numFmtId="0" fontId="12" fillId="25" borderId="47" xfId="0" applyFont="1" applyFill="1" applyBorder="1" applyAlignment="1" applyProtection="1">
      <alignment horizontal="left" vertical="center"/>
    </xf>
    <xf numFmtId="0" fontId="10" fillId="25" borderId="47" xfId="0" applyFont="1" applyFill="1" applyBorder="1" applyAlignment="1" applyProtection="1">
      <alignment horizontal="center" vertical="center"/>
    </xf>
    <xf numFmtId="10" fontId="13" fillId="25" borderId="47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center" vertical="center"/>
      <protection locked="0"/>
    </xf>
    <xf numFmtId="164" fontId="10" fillId="25" borderId="47" xfId="52" applyFont="1" applyFill="1" applyBorder="1" applyAlignment="1" applyProtection="1">
      <alignment vertical="center"/>
      <protection locked="0"/>
    </xf>
    <xf numFmtId="164" fontId="10" fillId="25" borderId="47" xfId="52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left" vertical="center"/>
    </xf>
    <xf numFmtId="0" fontId="11" fillId="0" borderId="48" xfId="0" applyFont="1" applyFill="1" applyBorder="1" applyAlignment="1" applyProtection="1">
      <alignment horizontal="center" vertical="center"/>
    </xf>
    <xf numFmtId="43" fontId="10" fillId="25" borderId="36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0" fontId="10" fillId="25" borderId="43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7" xfId="0" applyFont="1" applyFill="1" applyBorder="1" applyAlignment="1" applyProtection="1">
      <alignment horizontal="left" vertical="center"/>
    </xf>
    <xf numFmtId="0" fontId="11" fillId="25" borderId="47" xfId="0" applyFont="1" applyFill="1" applyBorder="1" applyAlignment="1" applyProtection="1">
      <alignment horizontal="center" vertical="center"/>
    </xf>
    <xf numFmtId="10" fontId="14" fillId="25" borderId="47" xfId="54" applyNumberFormat="1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  <protection locked="0"/>
    </xf>
    <xf numFmtId="164" fontId="11" fillId="25" borderId="47" xfId="52" applyFont="1" applyFill="1" applyBorder="1" applyAlignment="1" applyProtection="1">
      <alignment vertical="center"/>
      <protection locked="0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165" fontId="11" fillId="25" borderId="52" xfId="0" applyNumberFormat="1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45" xfId="0" applyNumberFormat="1" applyFont="1" applyFill="1" applyBorder="1" applyAlignment="1" applyProtection="1">
      <alignment vertical="center"/>
      <protection locked="0"/>
    </xf>
    <xf numFmtId="0" fontId="11" fillId="25" borderId="53" xfId="0" applyFont="1" applyFill="1" applyBorder="1" applyAlignment="1" applyProtection="1">
      <alignment horizontal="left" vertical="center"/>
    </xf>
    <xf numFmtId="0" fontId="11" fillId="25" borderId="53" xfId="0" applyFont="1" applyFill="1" applyBorder="1" applyAlignment="1" applyProtection="1">
      <alignment horizontal="center" vertical="center"/>
    </xf>
    <xf numFmtId="10" fontId="14" fillId="25" borderId="53" xfId="54" applyNumberFormat="1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 applyProtection="1">
      <alignment vertical="center"/>
    </xf>
    <xf numFmtId="43" fontId="11" fillId="25" borderId="54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1" fillId="25" borderId="55" xfId="52" applyFont="1" applyFill="1" applyBorder="1" applyAlignment="1" applyProtection="1">
      <alignment horizontal="center" vertical="center"/>
      <protection locked="0"/>
    </xf>
    <xf numFmtId="164" fontId="11" fillId="25" borderId="55" xfId="52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5" xfId="0" applyNumberFormat="1" applyFont="1" applyFill="1" applyBorder="1" applyAlignment="1">
      <alignment horizontal="left" vertical="center"/>
    </xf>
    <xf numFmtId="164" fontId="11" fillId="25" borderId="35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6" xfId="0" applyFont="1" applyFill="1" applyBorder="1" applyAlignment="1">
      <alignment vertical="center"/>
    </xf>
    <xf numFmtId="0" fontId="10" fillId="25" borderId="57" xfId="0" applyFont="1" applyFill="1" applyBorder="1" applyAlignment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</xf>
    <xf numFmtId="0" fontId="11" fillId="25" borderId="58" xfId="0" applyFont="1" applyFill="1" applyBorder="1" applyAlignment="1">
      <alignment vertical="center"/>
    </xf>
    <xf numFmtId="0" fontId="10" fillId="25" borderId="59" xfId="0" applyFont="1" applyFill="1" applyBorder="1" applyAlignment="1">
      <alignment horizontal="center" vertical="center"/>
    </xf>
    <xf numFmtId="0" fontId="12" fillId="25" borderId="60" xfId="0" applyFont="1" applyFill="1" applyBorder="1" applyAlignment="1" applyProtection="1">
      <alignment vertical="center"/>
    </xf>
    <xf numFmtId="0" fontId="10" fillId="25" borderId="60" xfId="0" applyFont="1" applyFill="1" applyBorder="1" applyAlignment="1" applyProtection="1">
      <alignment horizontal="center" vertical="center"/>
    </xf>
    <xf numFmtId="10" fontId="13" fillId="25" borderId="60" xfId="54" applyNumberFormat="1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  <protection locked="0"/>
    </xf>
    <xf numFmtId="164" fontId="10" fillId="25" borderId="60" xfId="52" applyFont="1" applyFill="1" applyBorder="1" applyAlignment="1" applyProtection="1">
      <alignment vertical="center"/>
      <protection locked="0"/>
    </xf>
    <xf numFmtId="164" fontId="10" fillId="25" borderId="60" xfId="52" applyFont="1" applyFill="1" applyBorder="1" applyAlignment="1" applyProtection="1">
      <alignment vertical="center"/>
    </xf>
    <xf numFmtId="0" fontId="10" fillId="25" borderId="61" xfId="0" applyFont="1" applyFill="1" applyBorder="1" applyAlignment="1" applyProtection="1">
      <alignment vertical="center"/>
      <protection locked="0"/>
    </xf>
    <xf numFmtId="0" fontId="10" fillId="25" borderId="52" xfId="0" applyFont="1" applyFill="1" applyBorder="1" applyAlignment="1">
      <alignment horizontal="center" vertical="center"/>
    </xf>
    <xf numFmtId="0" fontId="12" fillId="25" borderId="48" xfId="0" applyFont="1" applyFill="1" applyBorder="1" applyAlignment="1" applyProtection="1">
      <alignment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0" fontId="10" fillId="25" borderId="45" xfId="0" applyFont="1" applyFill="1" applyBorder="1" applyAlignment="1" applyProtection="1">
      <alignment vertical="center"/>
      <protection locked="0"/>
    </xf>
    <xf numFmtId="164" fontId="10" fillId="25" borderId="47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2" fillId="25" borderId="43" xfId="0" applyFont="1" applyFill="1" applyBorder="1" applyAlignment="1" applyProtection="1">
      <alignment horizontal="left" vertical="center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43" fontId="10" fillId="25" borderId="34" xfId="0" applyNumberFormat="1" applyFont="1" applyFill="1" applyBorder="1" applyAlignment="1" applyProtection="1">
      <alignment vertical="center"/>
      <protection locked="0"/>
    </xf>
    <xf numFmtId="0" fontId="10" fillId="25" borderId="62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3" xfId="52" applyFont="1" applyFill="1" applyBorder="1" applyAlignment="1" applyProtection="1">
      <alignment horizontal="left" vertical="center"/>
      <protection locked="0"/>
    </xf>
    <xf numFmtId="43" fontId="10" fillId="25" borderId="44" xfId="0" applyNumberFormat="1" applyFont="1" applyFill="1" applyBorder="1" applyAlignment="1" applyProtection="1">
      <alignment horizontal="left" vertical="center"/>
      <protection locked="0"/>
    </xf>
    <xf numFmtId="0" fontId="11" fillId="25" borderId="5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0" fontId="11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vertical="center"/>
    </xf>
    <xf numFmtId="10" fontId="11" fillId="25" borderId="48" xfId="54" applyNumberFormat="1" applyFont="1" applyFill="1" applyBorder="1" applyAlignment="1" applyProtection="1">
      <alignment horizontal="center" vertical="center"/>
    </xf>
    <xf numFmtId="0" fontId="11" fillId="25" borderId="52" xfId="0" applyFont="1" applyFill="1" applyBorder="1" applyAlignment="1">
      <alignment horizontal="right" vertical="center"/>
    </xf>
    <xf numFmtId="2" fontId="11" fillId="25" borderId="63" xfId="0" applyNumberFormat="1" applyFont="1" applyFill="1" applyBorder="1" applyAlignment="1">
      <alignment horizontal="center" vertical="center"/>
    </xf>
    <xf numFmtId="0" fontId="11" fillId="25" borderId="53" xfId="0" applyFont="1" applyFill="1" applyBorder="1" applyAlignment="1" applyProtection="1">
      <alignment vertical="center"/>
    </xf>
    <xf numFmtId="0" fontId="11" fillId="25" borderId="48" xfId="0" applyFont="1" applyFill="1" applyBorder="1" applyAlignment="1" applyProtection="1">
      <alignment horizontal="left" vertical="center" wrapText="1" indent="2" shrinkToFit="1"/>
    </xf>
    <xf numFmtId="0" fontId="11" fillId="25" borderId="48" xfId="0" applyFont="1" applyFill="1" applyBorder="1" applyAlignment="1" applyProtection="1">
      <alignment horizontal="left" vertical="center" indent="2"/>
    </xf>
    <xf numFmtId="0" fontId="11" fillId="25" borderId="55" xfId="0" applyFont="1" applyFill="1" applyBorder="1" applyAlignment="1" applyProtection="1">
      <alignment vertical="center"/>
    </xf>
    <xf numFmtId="0" fontId="11" fillId="25" borderId="55" xfId="0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vertical="center"/>
    </xf>
    <xf numFmtId="43" fontId="11" fillId="25" borderId="64" xfId="0" applyNumberFormat="1" applyFont="1" applyFill="1" applyBorder="1" applyAlignment="1" applyProtection="1">
      <alignment vertical="center"/>
      <protection locked="0"/>
    </xf>
    <xf numFmtId="0" fontId="11" fillId="25" borderId="65" xfId="0" applyFont="1" applyFill="1" applyBorder="1" applyAlignment="1">
      <alignment horizontal="right" vertical="center"/>
    </xf>
    <xf numFmtId="0" fontId="11" fillId="25" borderId="66" xfId="0" applyFont="1" applyFill="1" applyBorder="1" applyAlignment="1" applyProtection="1">
      <alignment vertical="center"/>
    </xf>
    <xf numFmtId="0" fontId="11" fillId="25" borderId="66" xfId="0" applyFont="1" applyFill="1" applyBorder="1" applyAlignment="1" applyProtection="1">
      <alignment horizontal="center" vertical="center"/>
    </xf>
    <xf numFmtId="10" fontId="14" fillId="25" borderId="66" xfId="54" applyNumberFormat="1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  <protection locked="0"/>
    </xf>
    <xf numFmtId="164" fontId="11" fillId="25" borderId="66" xfId="52" applyFont="1" applyFill="1" applyBorder="1" applyAlignment="1" applyProtection="1">
      <alignment vertical="center"/>
      <protection locked="0"/>
    </xf>
    <xf numFmtId="164" fontId="11" fillId="25" borderId="66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vertical="center"/>
    </xf>
    <xf numFmtId="0" fontId="11" fillId="25" borderId="48" xfId="0" applyFont="1" applyFill="1" applyBorder="1" applyAlignment="1" applyProtection="1">
      <alignment horizontal="left" vertical="center" wrapText="1" indent="1" shrinkToFit="1"/>
    </xf>
    <xf numFmtId="0" fontId="10" fillId="25" borderId="67" xfId="0" applyFont="1" applyFill="1" applyBorder="1" applyAlignment="1" applyProtection="1">
      <alignment horizontal="centerContinuous" vertical="center"/>
      <protection locked="0"/>
    </xf>
    <xf numFmtId="10" fontId="13" fillId="25" borderId="67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8" xfId="0" applyFont="1" applyFill="1" applyBorder="1" applyAlignment="1" applyProtection="1">
      <alignment vertical="center" wrapText="1" shrinkToFit="1"/>
    </xf>
    <xf numFmtId="0" fontId="11" fillId="25" borderId="69" xfId="0" applyFont="1" applyFill="1" applyBorder="1" applyAlignment="1">
      <alignment horizontal="center" vertical="center"/>
    </xf>
    <xf numFmtId="0" fontId="11" fillId="25" borderId="70" xfId="0" applyFont="1" applyFill="1" applyBorder="1" applyAlignment="1" applyProtection="1">
      <alignment horizontal="center" vertical="center"/>
    </xf>
    <xf numFmtId="10" fontId="14" fillId="25" borderId="70" xfId="54" applyNumberFormat="1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  <protection locked="0"/>
    </xf>
    <xf numFmtId="164" fontId="11" fillId="25" borderId="70" xfId="52" applyFont="1" applyFill="1" applyBorder="1" applyAlignment="1" applyProtection="1">
      <alignment vertical="center"/>
      <protection locked="0"/>
    </xf>
    <xf numFmtId="43" fontId="11" fillId="25" borderId="49" xfId="0" applyNumberFormat="1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vertical="center" wrapText="1" shrinkToFit="1"/>
      <protection locked="0"/>
    </xf>
    <xf numFmtId="0" fontId="11" fillId="25" borderId="63" xfId="0" applyFont="1" applyFill="1" applyBorder="1" applyAlignment="1">
      <alignment horizontal="center" vertical="center"/>
    </xf>
    <xf numFmtId="0" fontId="11" fillId="25" borderId="46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>
      <alignment vertical="center"/>
    </xf>
    <xf numFmtId="0" fontId="11" fillId="25" borderId="71" xfId="0" applyFont="1" applyFill="1" applyBorder="1" applyAlignment="1">
      <alignment horizontal="center" vertical="center"/>
    </xf>
    <xf numFmtId="0" fontId="11" fillId="25" borderId="52" xfId="0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43" fontId="33" fillId="25" borderId="45" xfId="0" applyNumberFormat="1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6" xfId="0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 wrapText="1" shrinkToFit="1"/>
    </xf>
    <xf numFmtId="10" fontId="14" fillId="0" borderId="48" xfId="54" applyNumberFormat="1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  <protection locked="0"/>
    </xf>
    <xf numFmtId="169" fontId="16" fillId="0" borderId="48" xfId="52" applyNumberFormat="1" applyFont="1" applyFill="1" applyBorder="1" applyAlignment="1" applyProtection="1">
      <alignment vertical="center"/>
      <protection locked="0"/>
    </xf>
    <xf numFmtId="164" fontId="11" fillId="0" borderId="48" xfId="52" applyFont="1" applyFill="1" applyBorder="1" applyAlignment="1" applyProtection="1">
      <alignment horizontal="left" vertical="center"/>
      <protection locked="0"/>
    </xf>
    <xf numFmtId="164" fontId="11" fillId="0" borderId="48" xfId="52" applyFont="1" applyFill="1" applyBorder="1" applyAlignment="1" applyProtection="1">
      <alignment vertical="center"/>
    </xf>
    <xf numFmtId="43" fontId="11" fillId="0" borderId="45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</xf>
    <xf numFmtId="0" fontId="11" fillId="25" borderId="48" xfId="0" applyFont="1" applyFill="1" applyBorder="1" applyAlignment="1">
      <alignment horizontal="center" vertical="center"/>
    </xf>
    <xf numFmtId="0" fontId="11" fillId="27" borderId="30" xfId="0" applyFont="1" applyFill="1" applyBorder="1" applyAlignment="1">
      <alignment vertical="center"/>
    </xf>
    <xf numFmtId="0" fontId="11" fillId="25" borderId="42" xfId="0" applyFont="1" applyFill="1" applyBorder="1" applyAlignment="1">
      <alignment horizontal="center" vertical="center"/>
    </xf>
    <xf numFmtId="0" fontId="11" fillId="25" borderId="35" xfId="0" applyFont="1" applyFill="1" applyBorder="1" applyAlignment="1" applyProtection="1">
      <alignment horizontal="center" vertical="center"/>
    </xf>
    <xf numFmtId="10" fontId="14" fillId="25" borderId="35" xfId="54" applyNumberFormat="1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  <protection locked="0"/>
    </xf>
    <xf numFmtId="164" fontId="11" fillId="25" borderId="35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1" fillId="25" borderId="55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0" fontId="11" fillId="25" borderId="35" xfId="0" applyFont="1" applyFill="1" applyBorder="1" applyAlignment="1" applyProtection="1">
      <alignment vertical="center"/>
      <protection locked="0"/>
    </xf>
    <xf numFmtId="165" fontId="10" fillId="25" borderId="46" xfId="0" applyNumberFormat="1" applyFont="1" applyFill="1" applyBorder="1" applyAlignment="1" applyProtection="1">
      <alignment horizontal="center" vertical="center"/>
      <protection locked="0"/>
    </xf>
    <xf numFmtId="164" fontId="34" fillId="25" borderId="48" xfId="52" applyFont="1" applyFill="1" applyBorder="1" applyAlignment="1">
      <alignment horizontal="left" vertical="center"/>
    </xf>
    <xf numFmtId="164" fontId="11" fillId="25" borderId="35" xfId="0" applyNumberFormat="1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0" fontId="10" fillId="27" borderId="72" xfId="0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10" fontId="14" fillId="27" borderId="73" xfId="54" applyNumberFormat="1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vertical="center"/>
      <protection locked="0"/>
    </xf>
    <xf numFmtId="164" fontId="10" fillId="27" borderId="73" xfId="52" applyFont="1" applyFill="1" applyBorder="1" applyAlignment="1" applyProtection="1">
      <alignment vertical="center"/>
      <protection locked="0"/>
    </xf>
    <xf numFmtId="43" fontId="10" fillId="27" borderId="74" xfId="0" applyNumberFormat="1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/>
    <xf numFmtId="170" fontId="34" fillId="25" borderId="75" xfId="52" applyNumberFormat="1" applyFont="1" applyFill="1" applyBorder="1" applyAlignment="1">
      <alignment horizontal="right" vertical="center"/>
    </xf>
    <xf numFmtId="0" fontId="11" fillId="27" borderId="72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/>
    <xf numFmtId="0" fontId="10" fillId="0" borderId="48" xfId="0" applyFont="1" applyFill="1" applyBorder="1" applyAlignment="1">
      <alignment horizontal="center" vertical="center"/>
    </xf>
    <xf numFmtId="164" fontId="11" fillId="0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horizontal="right" vertical="center"/>
      <protection locked="0"/>
    </xf>
    <xf numFmtId="43" fontId="10" fillId="25" borderId="45" xfId="0" applyNumberFormat="1" applyFont="1" applyFill="1" applyBorder="1" applyAlignment="1" applyProtection="1">
      <alignment horizontal="center" vertical="center"/>
      <protection locked="0"/>
    </xf>
    <xf numFmtId="0" fontId="11" fillId="31" borderId="25" xfId="0" applyFont="1" applyFill="1" applyBorder="1" applyAlignment="1">
      <alignment vertical="center"/>
    </xf>
    <xf numFmtId="0" fontId="10" fillId="31" borderId="25" xfId="0" applyFont="1" applyFill="1" applyBorder="1" applyAlignment="1" applyProtection="1">
      <alignment horizontal="center" vertical="center"/>
      <protection locked="0"/>
    </xf>
    <xf numFmtId="10" fontId="13" fillId="31" borderId="25" xfId="54" applyNumberFormat="1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vertical="center"/>
      <protection locked="0"/>
    </xf>
    <xf numFmtId="43" fontId="10" fillId="31" borderId="25" xfId="52" applyNumberFormat="1" applyFont="1" applyFill="1" applyBorder="1" applyAlignment="1" applyProtection="1">
      <alignment vertical="center"/>
      <protection locked="0"/>
    </xf>
    <xf numFmtId="43" fontId="10" fillId="31" borderId="26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8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0" fontId="11" fillId="0" borderId="0" xfId="54" applyNumberFormat="1" applyFont="1" applyBorder="1"/>
    <xf numFmtId="0" fontId="10" fillId="26" borderId="77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0" fontId="11" fillId="26" borderId="77" xfId="0" applyFont="1" applyFill="1" applyBorder="1" applyAlignment="1">
      <alignment vertical="center"/>
    </xf>
    <xf numFmtId="0" fontId="11" fillId="26" borderId="35" xfId="0" applyFont="1" applyFill="1" applyBorder="1" applyAlignment="1">
      <alignment vertical="center"/>
    </xf>
    <xf numFmtId="0" fontId="11" fillId="26" borderId="36" xfId="0" applyFont="1" applyFill="1" applyBorder="1" applyAlignment="1" applyProtection="1">
      <alignment vertical="center"/>
      <protection locked="0"/>
    </xf>
    <xf numFmtId="0" fontId="11" fillId="26" borderId="42" xfId="0" applyFont="1" applyFill="1" applyBorder="1" applyAlignment="1">
      <alignment horizontal="center" vertical="center"/>
    </xf>
    <xf numFmtId="0" fontId="10" fillId="27" borderId="27" xfId="0" applyFont="1" applyFill="1" applyBorder="1" applyAlignment="1">
      <alignment horizontal="center" vertical="center"/>
    </xf>
    <xf numFmtId="0" fontId="10" fillId="27" borderId="87" xfId="0" applyFont="1" applyFill="1" applyBorder="1" applyAlignment="1">
      <alignment horizontal="center" vertical="center"/>
    </xf>
    <xf numFmtId="164" fontId="10" fillId="27" borderId="87" xfId="52" applyFont="1" applyFill="1" applyBorder="1" applyAlignment="1">
      <alignment horizontal="center" vertical="center"/>
    </xf>
    <xf numFmtId="164" fontId="10" fillId="27" borderId="28" xfId="52" applyFont="1" applyFill="1" applyBorder="1" applyAlignment="1" applyProtection="1">
      <alignment vertical="center"/>
      <protection locked="0"/>
    </xf>
    <xf numFmtId="164" fontId="11" fillId="25" borderId="88" xfId="52" applyFont="1" applyFill="1" applyBorder="1" applyAlignment="1">
      <alignment horizontal="center" vertical="center"/>
    </xf>
    <xf numFmtId="164" fontId="11" fillId="25" borderId="76" xfId="52" applyFont="1" applyFill="1" applyBorder="1" applyAlignment="1" applyProtection="1">
      <alignment vertical="center"/>
    </xf>
    <xf numFmtId="164" fontId="11" fillId="25" borderId="76" xfId="52" applyFont="1" applyFill="1" applyBorder="1" applyAlignment="1">
      <alignment horizontal="center" vertical="center"/>
    </xf>
    <xf numFmtId="168" fontId="16" fillId="25" borderId="76" xfId="52" applyNumberFormat="1" applyFont="1" applyFill="1" applyBorder="1" applyAlignment="1" applyProtection="1">
      <alignment vertical="center"/>
      <protection locked="0"/>
    </xf>
    <xf numFmtId="43" fontId="11" fillId="25" borderId="89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79" xfId="0" applyFont="1" applyFill="1" applyBorder="1" applyAlignment="1">
      <alignment horizontal="left" vertical="center"/>
    </xf>
    <xf numFmtId="43" fontId="11" fillId="25" borderId="78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0" xfId="0" applyNumberFormat="1" applyFont="1" applyFill="1" applyBorder="1" applyAlignment="1" applyProtection="1">
      <alignment vertical="center"/>
      <protection locked="0"/>
    </xf>
    <xf numFmtId="0" fontId="11" fillId="25" borderId="42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2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6" xfId="0" applyFont="1" applyFill="1" applyBorder="1" applyAlignment="1" applyProtection="1">
      <alignment vertical="center"/>
      <protection locked="0"/>
    </xf>
    <xf numFmtId="164" fontId="10" fillId="25" borderId="35" xfId="52" applyFont="1" applyFill="1" applyBorder="1" applyAlignment="1">
      <alignment horizontal="center" vertical="center"/>
    </xf>
    <xf numFmtId="0" fontId="11" fillId="25" borderId="70" xfId="0" applyFont="1" applyFill="1" applyBorder="1" applyAlignment="1" applyProtection="1">
      <alignment vertical="center" wrapText="1" shrinkToFit="1"/>
    </xf>
    <xf numFmtId="0" fontId="11" fillId="25" borderId="66" xfId="0" applyFont="1" applyFill="1" applyBorder="1" applyAlignment="1" applyProtection="1">
      <alignment vertical="center" wrapText="1" shrinkToFit="1"/>
    </xf>
    <xf numFmtId="43" fontId="11" fillId="25" borderId="36" xfId="0" applyNumberFormat="1" applyFont="1" applyFill="1" applyBorder="1" applyAlignment="1" applyProtection="1">
      <alignment vertical="center"/>
      <protection locked="0"/>
    </xf>
    <xf numFmtId="0" fontId="10" fillId="25" borderId="33" xfId="0" applyFont="1" applyFill="1" applyBorder="1" applyAlignment="1">
      <alignment horizontal="center" vertical="center"/>
    </xf>
    <xf numFmtId="0" fontId="10" fillId="25" borderId="13" xfId="0" applyFont="1" applyFill="1" applyBorder="1" applyAlignment="1" applyProtection="1">
      <alignment horizontal="left" vertical="center"/>
    </xf>
    <xf numFmtId="0" fontId="10" fillId="25" borderId="13" xfId="0" applyFont="1" applyFill="1" applyBorder="1" applyAlignment="1" applyProtection="1">
      <alignment horizontal="center" vertical="center"/>
    </xf>
    <xf numFmtId="10" fontId="13" fillId="25" borderId="13" xfId="54" applyNumberFormat="1" applyFont="1" applyFill="1" applyBorder="1" applyAlignment="1" applyProtection="1">
      <alignment horizontal="center" vertical="center"/>
    </xf>
    <xf numFmtId="0" fontId="11" fillId="25" borderId="70" xfId="0" applyFont="1" applyFill="1" applyBorder="1" applyAlignment="1" applyProtection="1">
      <alignment horizontal="left" vertical="center" wrapText="1"/>
    </xf>
    <xf numFmtId="4" fontId="34" fillId="25" borderId="91" xfId="0" applyNumberFormat="1" applyFont="1" applyFill="1" applyBorder="1" applyAlignment="1">
      <alignment vertical="center"/>
    </xf>
    <xf numFmtId="164" fontId="11" fillId="25" borderId="18" xfId="0" applyNumberFormat="1" applyFont="1" applyFill="1" applyBorder="1" applyAlignment="1" applyProtection="1">
      <alignment horizontal="center" vertical="center"/>
    </xf>
    <xf numFmtId="0" fontId="10" fillId="25" borderId="48" xfId="0" applyFont="1" applyFill="1" applyBorder="1" applyAlignment="1" applyProtection="1">
      <alignment horizontal="left" vertical="center"/>
    </xf>
    <xf numFmtId="2" fontId="11" fillId="25" borderId="63" xfId="0" applyNumberFormat="1" applyFont="1" applyFill="1" applyBorder="1" applyAlignment="1" applyProtection="1">
      <alignment horizontal="center" vertical="center"/>
      <protection locked="0"/>
    </xf>
    <xf numFmtId="43" fontId="11" fillId="25" borderId="53" xfId="52" applyNumberFormat="1" applyFont="1" applyFill="1" applyBorder="1" applyAlignment="1" applyProtection="1">
      <alignment horizontal="center"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  <protection locked="0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43" fontId="11" fillId="25" borderId="45" xfId="0" applyNumberFormat="1" applyFont="1" applyFill="1" applyBorder="1" applyAlignment="1" applyProtection="1">
      <alignment vertical="center" wrapText="1" shrinkToFit="1"/>
      <protection locked="0"/>
    </xf>
    <xf numFmtId="0" fontId="11" fillId="0" borderId="19" xfId="0" applyFont="1" applyFill="1" applyBorder="1" applyAlignment="1">
      <alignment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1" fillId="25" borderId="35" xfId="0" applyFont="1" applyFill="1" applyBorder="1" applyAlignment="1" applyProtection="1">
      <alignment horizontal="left" vertical="center" wrapText="1" shrinkToFit="1"/>
    </xf>
    <xf numFmtId="170" fontId="34" fillId="25" borderId="0" xfId="52" applyNumberFormat="1" applyFont="1" applyFill="1" applyBorder="1" applyAlignment="1">
      <alignment horizontal="right" vertical="center"/>
    </xf>
    <xf numFmtId="164" fontId="10" fillId="25" borderId="35" xfId="52" applyFont="1" applyFill="1" applyBorder="1" applyAlignment="1" applyProtection="1">
      <alignment horizontal="left" vertical="center"/>
      <protection locked="0"/>
    </xf>
    <xf numFmtId="0" fontId="11" fillId="0" borderId="48" xfId="0" applyFont="1" applyFill="1" applyBorder="1" applyAlignment="1">
      <alignment vertical="center"/>
    </xf>
    <xf numFmtId="10" fontId="14" fillId="25" borderId="73" xfId="54" applyNumberFormat="1" applyFont="1" applyFill="1" applyBorder="1" applyAlignment="1" applyProtection="1">
      <alignment horizontal="center" vertical="center"/>
    </xf>
    <xf numFmtId="164" fontId="11" fillId="25" borderId="73" xfId="52" applyFont="1" applyFill="1" applyBorder="1" applyAlignment="1" applyProtection="1">
      <alignment horizontal="center" vertical="center"/>
    </xf>
    <xf numFmtId="164" fontId="11" fillId="25" borderId="73" xfId="52" applyFont="1" applyFill="1" applyBorder="1" applyAlignment="1" applyProtection="1">
      <alignment horizontal="center" vertical="center"/>
      <protection locked="0"/>
    </xf>
    <xf numFmtId="0" fontId="10" fillId="25" borderId="35" xfId="0" applyFont="1" applyFill="1" applyBorder="1" applyAlignment="1" applyProtection="1">
      <alignment vertical="center" wrapText="1" shrinkToFit="1"/>
    </xf>
    <xf numFmtId="164" fontId="10" fillId="25" borderId="35" xfId="52" applyFont="1" applyFill="1" applyBorder="1" applyAlignment="1">
      <alignment horizontal="right" vertical="center"/>
    </xf>
    <xf numFmtId="164" fontId="11" fillId="25" borderId="73" xfId="52" applyFont="1" applyFill="1" applyBorder="1" applyAlignment="1" applyProtection="1">
      <alignment vertical="center"/>
      <protection locked="0"/>
    </xf>
    <xf numFmtId="164" fontId="11" fillId="25" borderId="45" xfId="52" applyFont="1" applyFill="1" applyBorder="1" applyAlignment="1" applyProtection="1">
      <alignment vertical="center"/>
    </xf>
    <xf numFmtId="0" fontId="10" fillId="0" borderId="92" xfId="0" applyFont="1" applyFill="1" applyBorder="1" applyAlignment="1">
      <alignment vertical="center"/>
    </xf>
    <xf numFmtId="0" fontId="10" fillId="0" borderId="56" xfId="0" applyFont="1" applyFill="1" applyBorder="1" applyAlignment="1">
      <alignment vertical="center"/>
    </xf>
    <xf numFmtId="0" fontId="11" fillId="25" borderId="81" xfId="0" applyFont="1" applyFill="1" applyBorder="1" applyAlignment="1" applyProtection="1">
      <alignment horizontal="center" vertical="center"/>
    </xf>
    <xf numFmtId="0" fontId="10" fillId="0" borderId="58" xfId="0" applyFont="1" applyFill="1" applyBorder="1" applyAlignment="1">
      <alignment vertical="center"/>
    </xf>
    <xf numFmtId="0" fontId="10" fillId="25" borderId="23" xfId="0" applyFont="1" applyFill="1" applyBorder="1" applyAlignment="1" applyProtection="1">
      <alignment horizontal="left" vertical="center"/>
    </xf>
    <xf numFmtId="164" fontId="10" fillId="25" borderId="23" xfId="52" applyFont="1" applyFill="1" applyBorder="1" applyAlignment="1" applyProtection="1">
      <alignment horizontal="left" vertical="center"/>
      <protection locked="0"/>
    </xf>
    <xf numFmtId="0" fontId="11" fillId="25" borderId="93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94" xfId="0" applyFont="1" applyFill="1" applyBorder="1" applyAlignment="1" applyProtection="1">
      <alignment horizontal="center" vertical="center"/>
    </xf>
    <xf numFmtId="164" fontId="11" fillId="25" borderId="95" xfId="52" applyFont="1" applyFill="1" applyBorder="1" applyAlignment="1" applyProtection="1">
      <alignment vertical="center"/>
      <protection locked="0"/>
    </xf>
    <xf numFmtId="164" fontId="11" fillId="25" borderId="88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164" fontId="11" fillId="25" borderId="96" xfId="52" applyFont="1" applyFill="1" applyBorder="1" applyAlignment="1" applyProtection="1">
      <alignment vertical="center"/>
    </xf>
    <xf numFmtId="0" fontId="11" fillId="25" borderId="97" xfId="0" applyFont="1" applyFill="1" applyBorder="1" applyAlignment="1">
      <alignment horizontal="center" vertical="center"/>
    </xf>
    <xf numFmtId="0" fontId="11" fillId="25" borderId="14" xfId="0" applyFont="1" applyFill="1" applyBorder="1" applyAlignment="1" applyProtection="1">
      <alignment horizontal="left" vertical="center" wrapText="1"/>
    </xf>
    <xf numFmtId="0" fontId="11" fillId="25" borderId="96" xfId="0" applyFont="1" applyFill="1" applyBorder="1" applyAlignment="1" applyProtection="1">
      <alignment horizontal="center" vertical="center"/>
    </xf>
    <xf numFmtId="164" fontId="11" fillId="25" borderId="76" xfId="52" applyFont="1" applyFill="1" applyBorder="1" applyAlignment="1" applyProtection="1">
      <alignment vertical="center"/>
      <protection locked="0"/>
    </xf>
    <xf numFmtId="43" fontId="11" fillId="25" borderId="76" xfId="52" applyNumberFormat="1" applyFont="1" applyFill="1" applyBorder="1" applyAlignment="1" applyProtection="1">
      <alignment horizontal="left" vertical="center"/>
      <protection locked="0"/>
    </xf>
    <xf numFmtId="43" fontId="11" fillId="25" borderId="35" xfId="52" applyNumberFormat="1" applyFont="1" applyFill="1" applyBorder="1" applyAlignment="1" applyProtection="1">
      <alignment horizontal="left" vertical="center"/>
      <protection locked="0"/>
    </xf>
    <xf numFmtId="0" fontId="11" fillId="25" borderId="98" xfId="0" applyFont="1" applyFill="1" applyBorder="1" applyAlignment="1" applyProtection="1">
      <alignment horizontal="center" vertical="center"/>
    </xf>
    <xf numFmtId="164" fontId="11" fillId="25" borderId="99" xfId="52" applyFont="1" applyFill="1" applyBorder="1" applyAlignment="1" applyProtection="1">
      <alignment vertical="center"/>
      <protection locked="0"/>
    </xf>
    <xf numFmtId="164" fontId="11" fillId="25" borderId="100" xfId="52" applyFont="1" applyFill="1" applyBorder="1" applyAlignment="1" applyProtection="1">
      <alignment vertical="center"/>
      <protection locked="0"/>
    </xf>
    <xf numFmtId="164" fontId="11" fillId="25" borderId="101" xfId="52" applyFont="1" applyFill="1" applyBorder="1" applyAlignment="1" applyProtection="1">
      <alignment vertical="center"/>
    </xf>
    <xf numFmtId="43" fontId="11" fillId="25" borderId="54" xfId="0" applyNumberFormat="1" applyFont="1" applyFill="1" applyBorder="1" applyAlignment="1" applyProtection="1">
      <alignment vertical="center" wrapText="1" shrinkToFit="1"/>
      <protection locked="0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43" fontId="37" fillId="0" borderId="0" xfId="0" applyNumberFormat="1" applyFont="1" applyFill="1" applyBorder="1" applyAlignment="1">
      <alignment vertical="center"/>
    </xf>
    <xf numFmtId="164" fontId="36" fillId="0" borderId="0" xfId="0" applyNumberFormat="1" applyFont="1" applyFill="1" applyBorder="1" applyAlignment="1">
      <alignment vertical="center"/>
    </xf>
    <xf numFmtId="0" fontId="40" fillId="29" borderId="0" xfId="0" applyFont="1" applyFill="1" applyAlignment="1">
      <alignment horizontal="center" vertical="center"/>
    </xf>
    <xf numFmtId="166" fontId="40" fillId="29" borderId="0" xfId="52" applyNumberFormat="1" applyFont="1" applyFill="1" applyBorder="1" applyAlignment="1">
      <alignment horizontal="center" vertical="center"/>
    </xf>
    <xf numFmtId="0" fontId="41" fillId="0" borderId="0" xfId="0" applyFont="1"/>
    <xf numFmtId="164" fontId="40" fillId="29" borderId="0" xfId="0" applyNumberFormat="1" applyFont="1" applyFill="1" applyAlignment="1">
      <alignment horizontal="center" vertical="center"/>
    </xf>
    <xf numFmtId="43" fontId="41" fillId="0" borderId="0" xfId="0" applyNumberFormat="1" applyFont="1"/>
    <xf numFmtId="0" fontId="38" fillId="0" borderId="0" xfId="0" applyFont="1"/>
    <xf numFmtId="43" fontId="38" fillId="0" borderId="0" xfId="0" applyNumberFormat="1" applyFont="1"/>
    <xf numFmtId="43" fontId="36" fillId="0" borderId="0" xfId="0" applyNumberFormat="1" applyFont="1"/>
    <xf numFmtId="0" fontId="36" fillId="0" borderId="0" xfId="0" applyFont="1"/>
    <xf numFmtId="0" fontId="37" fillId="0" borderId="0" xfId="0" applyFont="1"/>
    <xf numFmtId="0" fontId="39" fillId="0" borderId="0" xfId="0" applyFont="1"/>
    <xf numFmtId="43" fontId="11" fillId="0" borderId="0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0" fontId="10" fillId="25" borderId="48" xfId="0" applyFont="1" applyFill="1" applyBorder="1" applyAlignment="1" applyProtection="1">
      <alignment horizontal="left" vertical="center" wrapText="1" shrinkToFit="1"/>
    </xf>
    <xf numFmtId="170" fontId="35" fillId="25" borderId="75" xfId="52" applyNumberFormat="1" applyFont="1" applyFill="1" applyBorder="1" applyAlignment="1">
      <alignment horizontal="right" vertical="center"/>
    </xf>
    <xf numFmtId="10" fontId="13" fillId="25" borderId="35" xfId="54" applyNumberFormat="1" applyFont="1" applyFill="1" applyBorder="1" applyAlignment="1" applyProtection="1">
      <alignment horizontal="center" vertical="center"/>
    </xf>
    <xf numFmtId="164" fontId="10" fillId="25" borderId="35" xfId="52" applyFont="1" applyFill="1" applyBorder="1" applyAlignment="1" applyProtection="1">
      <alignment horizontal="center" vertical="center"/>
    </xf>
    <xf numFmtId="164" fontId="10" fillId="25" borderId="35" xfId="52" applyFont="1" applyFill="1" applyBorder="1" applyAlignment="1" applyProtection="1">
      <alignment horizontal="center" vertical="center"/>
      <protection locked="0"/>
    </xf>
    <xf numFmtId="170" fontId="35" fillId="25" borderId="0" xfId="52" applyNumberFormat="1" applyFont="1" applyFill="1" applyBorder="1" applyAlignment="1">
      <alignment horizontal="right" vertical="center"/>
    </xf>
    <xf numFmtId="0" fontId="8" fillId="25" borderId="62" xfId="0" applyFont="1" applyFill="1" applyBorder="1" applyAlignment="1">
      <alignment horizontal="center" vertical="center"/>
    </xf>
    <xf numFmtId="0" fontId="8" fillId="25" borderId="67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0" fontId="10" fillId="25" borderId="62" xfId="0" applyFont="1" applyFill="1" applyBorder="1" applyAlignment="1">
      <alignment horizontal="center" vertical="center"/>
    </xf>
    <xf numFmtId="0" fontId="10" fillId="25" borderId="67" xfId="0" applyFont="1" applyFill="1" applyBorder="1" applyAlignment="1">
      <alignment horizontal="center" vertical="center"/>
    </xf>
    <xf numFmtId="0" fontId="10" fillId="25" borderId="68" xfId="0" applyFont="1" applyFill="1" applyBorder="1" applyAlignment="1">
      <alignment horizontal="center" vertical="center"/>
    </xf>
    <xf numFmtId="0" fontId="10" fillId="25" borderId="11" xfId="0" applyFont="1" applyFill="1" applyBorder="1" applyAlignment="1">
      <alignment horizontal="center" vertical="center"/>
    </xf>
    <xf numFmtId="0" fontId="10" fillId="25" borderId="0" xfId="0" applyFont="1" applyFill="1" applyBorder="1" applyAlignment="1">
      <alignment horizontal="center" vertical="center"/>
    </xf>
    <xf numFmtId="0" fontId="10" fillId="25" borderId="12" xfId="0" applyFont="1" applyFill="1" applyBorder="1" applyAlignment="1">
      <alignment horizontal="center" vertical="center"/>
    </xf>
    <xf numFmtId="0" fontId="10" fillId="28" borderId="59" xfId="0" applyFont="1" applyFill="1" applyBorder="1" applyAlignment="1">
      <alignment horizontal="center" vertical="center"/>
    </xf>
    <xf numFmtId="0" fontId="10" fillId="28" borderId="80" xfId="0" applyFont="1" applyFill="1" applyBorder="1" applyAlignment="1">
      <alignment horizontal="center" vertical="center"/>
    </xf>
    <xf numFmtId="0" fontId="10" fillId="28" borderId="60" xfId="0" applyFont="1" applyFill="1" applyBorder="1" applyAlignment="1">
      <alignment horizontal="center" vertical="center"/>
    </xf>
    <xf numFmtId="0" fontId="10" fillId="28" borderId="81" xfId="0" applyFont="1" applyFill="1" applyBorder="1" applyAlignment="1">
      <alignment horizontal="center" vertical="center"/>
    </xf>
    <xf numFmtId="4" fontId="10" fillId="28" borderId="82" xfId="0" applyNumberFormat="1" applyFont="1" applyFill="1" applyBorder="1" applyAlignment="1" applyProtection="1">
      <alignment horizontal="center" vertical="center"/>
      <protection locked="0"/>
    </xf>
    <xf numFmtId="4" fontId="10" fillId="28" borderId="83" xfId="0" applyNumberFormat="1" applyFont="1" applyFill="1" applyBorder="1" applyAlignment="1" applyProtection="1">
      <alignment horizontal="center" vertical="center"/>
      <protection locked="0"/>
    </xf>
    <xf numFmtId="0" fontId="10" fillId="28" borderId="84" xfId="0" applyFont="1" applyFill="1" applyBorder="1" applyAlignment="1" applyProtection="1">
      <alignment horizontal="center" vertical="center"/>
    </xf>
    <xf numFmtId="0" fontId="10" fillId="28" borderId="85" xfId="0" applyFont="1" applyFill="1" applyBorder="1" applyAlignment="1" applyProtection="1">
      <alignment horizontal="center" vertical="center"/>
    </xf>
    <xf numFmtId="0" fontId="10" fillId="26" borderId="84" xfId="0" applyFont="1" applyFill="1" applyBorder="1" applyAlignment="1" applyProtection="1">
      <alignment horizontal="center" vertical="center"/>
    </xf>
    <xf numFmtId="0" fontId="10" fillId="26" borderId="85" xfId="0" applyFont="1" applyFill="1" applyBorder="1" applyAlignment="1" applyProtection="1">
      <alignment horizontal="center" vertical="center"/>
    </xf>
    <xf numFmtId="4" fontId="10" fillId="26" borderId="82" xfId="0" applyNumberFormat="1" applyFont="1" applyFill="1" applyBorder="1" applyAlignment="1" applyProtection="1">
      <alignment horizontal="center" vertical="center"/>
      <protection locked="0"/>
    </xf>
    <xf numFmtId="4" fontId="10" fillId="26" borderId="83" xfId="0" applyNumberFormat="1" applyFont="1" applyFill="1" applyBorder="1" applyAlignment="1" applyProtection="1">
      <alignment horizontal="center" vertical="center"/>
      <protection locked="0"/>
    </xf>
    <xf numFmtId="164" fontId="10" fillId="26" borderId="82" xfId="52" applyFont="1" applyFill="1" applyBorder="1" applyAlignment="1" applyProtection="1">
      <alignment horizontal="center" vertical="center"/>
      <protection locked="0"/>
    </xf>
    <xf numFmtId="164" fontId="10" fillId="26" borderId="83" xfId="52" applyFont="1" applyFill="1" applyBorder="1" applyAlignment="1" applyProtection="1">
      <alignment horizontal="center" vertical="center"/>
      <protection locked="0"/>
    </xf>
    <xf numFmtId="0" fontId="10" fillId="26" borderId="59" xfId="0" applyFont="1" applyFill="1" applyBorder="1" applyAlignment="1">
      <alignment horizontal="center" vertical="center"/>
    </xf>
    <xf numFmtId="0" fontId="10" fillId="26" borderId="80" xfId="0" applyFont="1" applyFill="1" applyBorder="1" applyAlignment="1">
      <alignment horizontal="center" vertical="center"/>
    </xf>
    <xf numFmtId="0" fontId="10" fillId="26" borderId="60" xfId="0" applyFont="1" applyFill="1" applyBorder="1" applyAlignment="1">
      <alignment horizontal="center" vertical="center"/>
    </xf>
    <xf numFmtId="0" fontId="10" fillId="26" borderId="81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10" fontId="13" fillId="25" borderId="0" xfId="55" applyNumberFormat="1" applyFont="1" applyFill="1" applyBorder="1" applyAlignment="1">
      <alignment horizontal="center" vertical="center"/>
    </xf>
    <xf numFmtId="164" fontId="10" fillId="25" borderId="0" xfId="56" applyFont="1" applyFill="1" applyBorder="1" applyAlignment="1" applyProtection="1">
      <alignment vertical="center"/>
    </xf>
    <xf numFmtId="164" fontId="10" fillId="25" borderId="0" xfId="56" applyFont="1" applyFill="1" applyBorder="1" applyAlignment="1" applyProtection="1">
      <alignment horizontal="right" vertical="center"/>
    </xf>
    <xf numFmtId="164" fontId="11" fillId="25" borderId="0" xfId="56" applyFont="1" applyFill="1" applyBorder="1" applyAlignment="1" applyProtection="1">
      <alignment vertical="center"/>
      <protection locked="0"/>
    </xf>
    <xf numFmtId="164" fontId="10" fillId="25" borderId="0" xfId="56" applyFont="1" applyFill="1" applyBorder="1" applyAlignment="1" applyProtection="1">
      <alignment horizontal="left" vertical="center"/>
    </xf>
    <xf numFmtId="164" fontId="10" fillId="25" borderId="0" xfId="56" applyFont="1" applyFill="1" applyBorder="1" applyAlignment="1" applyProtection="1">
      <alignment vertical="center"/>
      <protection locked="0"/>
    </xf>
    <xf numFmtId="10" fontId="13" fillId="28" borderId="16" xfId="55" applyNumberFormat="1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16" xfId="56" applyFont="1" applyFill="1" applyBorder="1" applyAlignment="1">
      <alignment horizontal="center" vertical="center"/>
    </xf>
    <xf numFmtId="164" fontId="10" fillId="28" borderId="82" xfId="56" applyFont="1" applyFill="1" applyBorder="1" applyAlignment="1" applyProtection="1">
      <alignment horizontal="center" vertical="center"/>
      <protection locked="0"/>
    </xf>
    <xf numFmtId="164" fontId="10" fillId="28" borderId="83" xfId="56" applyFont="1" applyFill="1" applyBorder="1" applyAlignment="1" applyProtection="1">
      <alignment horizontal="center" vertical="center"/>
      <protection locked="0"/>
    </xf>
    <xf numFmtId="164" fontId="10" fillId="28" borderId="16" xfId="56" applyFont="1" applyFill="1" applyBorder="1" applyAlignment="1" applyProtection="1">
      <alignment horizontal="center" vertical="center"/>
    </xf>
    <xf numFmtId="10" fontId="13" fillId="28" borderId="17" xfId="55" applyNumberFormat="1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/>
    </xf>
    <xf numFmtId="164" fontId="10" fillId="28" borderId="17" xfId="56" applyFont="1" applyFill="1" applyBorder="1" applyAlignment="1">
      <alignment horizontal="center" vertical="center" wrapText="1" shrinkToFit="1"/>
    </xf>
    <xf numFmtId="164" fontId="10" fillId="28" borderId="17" xfId="56" applyFont="1" applyFill="1" applyBorder="1" applyAlignment="1">
      <alignment horizontal="center" vertical="center"/>
    </xf>
    <xf numFmtId="164" fontId="10" fillId="28" borderId="17" xfId="56" applyFont="1" applyFill="1" applyBorder="1" applyAlignment="1" applyProtection="1">
      <alignment horizontal="center" vertical="center"/>
      <protection locked="0"/>
    </xf>
    <xf numFmtId="164" fontId="10" fillId="28" borderId="17" xfId="56" applyFont="1" applyFill="1" applyBorder="1" applyAlignment="1" applyProtection="1">
      <alignment horizontal="center" vertical="center"/>
    </xf>
    <xf numFmtId="10" fontId="14" fillId="25" borderId="48" xfId="55" applyNumberFormat="1" applyFont="1" applyFill="1" applyBorder="1" applyAlignment="1" applyProtection="1">
      <alignment horizontal="center" vertical="center"/>
    </xf>
    <xf numFmtId="0" fontId="11" fillId="25" borderId="70" xfId="0" applyFont="1" applyFill="1" applyBorder="1" applyAlignment="1" applyProtection="1">
      <alignment vertical="center"/>
    </xf>
    <xf numFmtId="10" fontId="13" fillId="25" borderId="43" xfId="55" applyNumberFormat="1" applyFont="1" applyFill="1" applyBorder="1" applyAlignment="1" applyProtection="1">
      <alignment horizontal="center" vertical="center"/>
    </xf>
    <xf numFmtId="4" fontId="34" fillId="25" borderId="102" xfId="0" applyNumberFormat="1" applyFont="1" applyFill="1" applyBorder="1" applyAlignment="1">
      <alignment vertical="center"/>
    </xf>
    <xf numFmtId="10" fontId="14" fillId="24" borderId="0" xfId="55" applyNumberFormat="1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horizontal="center" vertical="center"/>
    </xf>
    <xf numFmtId="164" fontId="11" fillId="24" borderId="0" xfId="56" applyFont="1" applyFill="1" applyBorder="1" applyAlignment="1">
      <alignment vertical="center"/>
    </xf>
    <xf numFmtId="164" fontId="11" fillId="0" borderId="0" xfId="56" applyFont="1" applyFill="1" applyBorder="1" applyAlignment="1">
      <alignment vertical="center"/>
    </xf>
    <xf numFmtId="2" fontId="12" fillId="24" borderId="0" xfId="56" applyNumberFormat="1" applyFont="1" applyFill="1" applyBorder="1" applyAlignment="1">
      <alignment horizontal="right" vertical="center"/>
    </xf>
    <xf numFmtId="164" fontId="15" fillId="24" borderId="0" xfId="56" applyFont="1" applyFill="1" applyBorder="1" applyAlignment="1">
      <alignment horizontal="center" vertical="center"/>
    </xf>
    <xf numFmtId="164" fontId="15" fillId="24" borderId="0" xfId="56" applyFont="1" applyFill="1" applyBorder="1" applyAlignment="1">
      <alignment vertical="center"/>
    </xf>
    <xf numFmtId="2" fontId="11" fillId="24" borderId="0" xfId="56" applyNumberFormat="1" applyFont="1" applyFill="1" applyBorder="1" applyAlignment="1">
      <alignment horizontal="right" vertical="center"/>
    </xf>
    <xf numFmtId="164" fontId="16" fillId="24" borderId="0" xfId="56" applyFont="1" applyFill="1" applyBorder="1" applyAlignment="1">
      <alignment horizontal="center" vertical="center"/>
    </xf>
    <xf numFmtId="9" fontId="16" fillId="24" borderId="0" xfId="55" applyFont="1" applyFill="1" applyBorder="1" applyAlignment="1">
      <alignment horizontal="center" vertical="center"/>
    </xf>
    <xf numFmtId="0" fontId="10" fillId="25" borderId="52" xfId="0" applyFont="1" applyFill="1" applyBorder="1" applyAlignment="1" applyProtection="1">
      <alignment horizontal="center" vertical="center"/>
      <protection locked="0"/>
    </xf>
    <xf numFmtId="0" fontId="12" fillId="25" borderId="48" xfId="0" applyFont="1" applyFill="1" applyBorder="1" applyAlignment="1" applyProtection="1">
      <alignment vertical="center"/>
      <protection locked="0"/>
    </xf>
    <xf numFmtId="0" fontId="10" fillId="25" borderId="48" xfId="0" applyFont="1" applyFill="1" applyBorder="1" applyAlignment="1" applyProtection="1">
      <alignment horizontal="center" vertical="center"/>
      <protection locked="0"/>
    </xf>
    <xf numFmtId="10" fontId="13" fillId="25" borderId="48" xfId="54" applyNumberFormat="1" applyFont="1" applyFill="1" applyBorder="1" applyAlignment="1" applyProtection="1">
      <alignment horizontal="center" vertical="center"/>
      <protection locked="0"/>
    </xf>
    <xf numFmtId="0" fontId="11" fillId="0" borderId="102" xfId="0" applyFont="1" applyFill="1" applyBorder="1" applyAlignment="1">
      <alignment vertical="center"/>
    </xf>
    <xf numFmtId="0" fontId="11" fillId="0" borderId="97" xfId="0" applyFont="1" applyBorder="1"/>
    <xf numFmtId="0" fontId="11" fillId="0" borderId="102" xfId="0" applyFont="1" applyBorder="1"/>
    <xf numFmtId="0" fontId="11" fillId="0" borderId="103" xfId="0" applyFont="1" applyBorder="1"/>
    <xf numFmtId="0" fontId="11" fillId="0" borderId="95" xfId="0" applyFont="1" applyFill="1" applyBorder="1" applyAlignment="1">
      <alignment vertical="center"/>
    </xf>
    <xf numFmtId="0" fontId="11" fillId="0" borderId="96" xfId="0" applyFont="1" applyFill="1" applyBorder="1" applyAlignment="1">
      <alignment vertical="center"/>
    </xf>
    <xf numFmtId="165" fontId="10" fillId="25" borderId="52" xfId="0" applyNumberFormat="1" applyFont="1" applyFill="1" applyBorder="1" applyAlignment="1" applyProtection="1">
      <alignment horizontal="center" vertical="center"/>
      <protection locked="0"/>
    </xf>
    <xf numFmtId="0" fontId="10" fillId="27" borderId="52" xfId="0" applyFont="1" applyFill="1" applyBorder="1" applyAlignment="1" applyProtection="1">
      <alignment horizontal="center" vertical="center"/>
      <protection locked="0"/>
    </xf>
    <xf numFmtId="0" fontId="10" fillId="27" borderId="48" xfId="0" applyFont="1" applyFill="1" applyBorder="1" applyAlignment="1" applyProtection="1">
      <alignment horizontal="center" vertical="center"/>
      <protection locked="0"/>
    </xf>
    <xf numFmtId="0" fontId="11" fillId="27" borderId="48" xfId="0" applyFont="1" applyFill="1" applyBorder="1" applyAlignment="1" applyProtection="1">
      <alignment horizontal="center" vertical="center"/>
      <protection locked="0"/>
    </xf>
    <xf numFmtId="10" fontId="14" fillId="27" borderId="48" xfId="54" applyNumberFormat="1" applyFont="1" applyFill="1" applyBorder="1" applyAlignment="1" applyProtection="1">
      <alignment horizontal="center" vertical="center"/>
      <protection locked="0"/>
    </xf>
    <xf numFmtId="164" fontId="11" fillId="27" borderId="48" xfId="52" applyFont="1" applyFill="1" applyBorder="1" applyAlignment="1" applyProtection="1">
      <alignment horizontal="center" vertical="center"/>
      <protection locked="0"/>
    </xf>
    <xf numFmtId="164" fontId="11" fillId="27" borderId="48" xfId="52" applyFont="1" applyFill="1" applyBorder="1" applyAlignment="1" applyProtection="1">
      <alignment vertical="center"/>
      <protection locked="0"/>
    </xf>
    <xf numFmtId="164" fontId="10" fillId="27" borderId="48" xfId="52" applyFont="1" applyFill="1" applyBorder="1" applyAlignment="1" applyProtection="1">
      <alignment vertical="center"/>
      <protection locked="0"/>
    </xf>
    <xf numFmtId="43" fontId="10" fillId="27" borderId="45" xfId="0" applyNumberFormat="1" applyFont="1" applyFill="1" applyBorder="1" applyAlignment="1" applyProtection="1">
      <alignment vertical="center"/>
      <protection locked="0"/>
    </xf>
    <xf numFmtId="0" fontId="10" fillId="0" borderId="52" xfId="0" applyFont="1" applyFill="1" applyBorder="1" applyAlignment="1">
      <alignment vertical="center"/>
    </xf>
    <xf numFmtId="0" fontId="10" fillId="0" borderId="96" xfId="0" applyFont="1" applyFill="1" applyBorder="1" applyAlignment="1">
      <alignment vertical="center"/>
    </xf>
    <xf numFmtId="0" fontId="10" fillId="0" borderId="48" xfId="0" applyFont="1" applyFill="1" applyBorder="1" applyAlignment="1">
      <alignment vertical="center"/>
    </xf>
    <xf numFmtId="0" fontId="10" fillId="0" borderId="102" xfId="0" applyFont="1" applyFill="1" applyBorder="1" applyAlignment="1">
      <alignment vertical="center"/>
    </xf>
    <xf numFmtId="0" fontId="10" fillId="0" borderId="103" xfId="0" applyFont="1" applyFill="1" applyBorder="1" applyAlignment="1">
      <alignment vertical="center"/>
    </xf>
    <xf numFmtId="43" fontId="10" fillId="25" borderId="54" xfId="0" applyNumberFormat="1" applyFont="1" applyFill="1" applyBorder="1" applyAlignment="1" applyProtection="1">
      <alignment vertical="center"/>
      <protection locked="0"/>
    </xf>
    <xf numFmtId="10" fontId="13" fillId="24" borderId="18" xfId="55" applyNumberFormat="1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0" fontId="14" fillId="0" borderId="48" xfId="55" applyNumberFormat="1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  <protection locked="0"/>
    </xf>
    <xf numFmtId="169" fontId="16" fillId="0" borderId="48" xfId="57" applyNumberFormat="1" applyFont="1" applyFill="1" applyBorder="1" applyAlignment="1" applyProtection="1">
      <alignment vertical="center"/>
      <protection locked="0"/>
    </xf>
    <xf numFmtId="164" fontId="11" fillId="0" borderId="48" xfId="57" applyFont="1" applyFill="1" applyBorder="1" applyAlignment="1" applyProtection="1">
      <alignment horizontal="left" vertical="center"/>
      <protection locked="0"/>
    </xf>
    <xf numFmtId="164" fontId="11" fillId="0" borderId="48" xfId="57" applyFont="1" applyFill="1" applyBorder="1" applyAlignment="1" applyProtection="1">
      <alignment vertical="center"/>
    </xf>
    <xf numFmtId="164" fontId="11" fillId="25" borderId="48" xfId="57" applyFont="1" applyFill="1" applyBorder="1" applyAlignment="1" applyProtection="1">
      <alignment horizontal="center" vertical="center"/>
    </xf>
    <xf numFmtId="164" fontId="11" fillId="25" borderId="48" xfId="57" applyFont="1" applyFill="1" applyBorder="1" applyAlignment="1" applyProtection="1">
      <alignment horizontal="center" vertical="center"/>
      <protection locked="0"/>
    </xf>
    <xf numFmtId="164" fontId="11" fillId="25" borderId="48" xfId="57" applyFont="1" applyFill="1" applyBorder="1" applyAlignment="1" applyProtection="1">
      <alignment vertical="center"/>
      <protection locked="0"/>
    </xf>
    <xf numFmtId="164" fontId="11" fillId="25" borderId="48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vertical="center"/>
      <protection locked="0"/>
    </xf>
    <xf numFmtId="10" fontId="14" fillId="27" borderId="30" xfId="55" applyNumberFormat="1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vertical="center"/>
      <protection locked="0"/>
    </xf>
    <xf numFmtId="164" fontId="10" fillId="27" borderId="30" xfId="57" applyFont="1" applyFill="1" applyBorder="1" applyAlignment="1" applyProtection="1">
      <alignment vertical="center"/>
      <protection locked="0"/>
    </xf>
    <xf numFmtId="164" fontId="11" fillId="25" borderId="43" xfId="57" applyFont="1" applyFill="1" applyBorder="1" applyAlignment="1" applyProtection="1">
      <alignment horizontal="center" vertical="center"/>
    </xf>
    <xf numFmtId="164" fontId="11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vertical="center"/>
      <protection locked="0"/>
    </xf>
    <xf numFmtId="164" fontId="10" fillId="25" borderId="43" xfId="57" applyFont="1" applyFill="1" applyBorder="1" applyAlignment="1" applyProtection="1">
      <alignment vertical="center"/>
    </xf>
    <xf numFmtId="0" fontId="11" fillId="0" borderId="48" xfId="0" applyFont="1" applyFill="1" applyBorder="1" applyAlignment="1" applyProtection="1">
      <alignment horizontal="left" vertical="center" wrapText="1" shrinkToFit="1"/>
    </xf>
    <xf numFmtId="0" fontId="10" fillId="0" borderId="43" xfId="0" applyFont="1" applyFill="1" applyBorder="1" applyAlignment="1" applyProtection="1">
      <alignment horizontal="center" vertical="center"/>
    </xf>
    <xf numFmtId="10" fontId="13" fillId="0" borderId="43" xfId="55" applyNumberFormat="1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vertical="center"/>
      <protection locked="0"/>
    </xf>
    <xf numFmtId="164" fontId="10" fillId="0" borderId="43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horizontal="right" vertical="center"/>
      <protection locked="0"/>
    </xf>
    <xf numFmtId="165" fontId="11" fillId="0" borderId="48" xfId="0" applyNumberFormat="1" applyFont="1" applyFill="1" applyBorder="1" applyAlignment="1" applyProtection="1">
      <alignment horizontal="center" vertical="center"/>
    </xf>
    <xf numFmtId="10" fontId="13" fillId="31" borderId="25" xfId="55" applyNumberFormat="1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vertical="center"/>
      <protection locked="0"/>
    </xf>
    <xf numFmtId="43" fontId="10" fillId="31" borderId="25" xfId="57" applyNumberFormat="1" applyFont="1" applyFill="1" applyBorder="1" applyAlignment="1" applyProtection="1">
      <alignment vertical="center"/>
      <protection locked="0"/>
    </xf>
    <xf numFmtId="43" fontId="11" fillId="0" borderId="0" xfId="0" applyNumberFormat="1" applyFont="1"/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2" xfId="5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te" xfId="47"/>
    <cellStyle name="Output" xfId="48"/>
    <cellStyle name="Percent" xfId="54" builtinId="5"/>
    <cellStyle name="Percent 2" xfId="55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2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3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4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5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6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7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9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50;&#3617;&#3648;&#3604;&#3609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585;&#3633;&#3609;%202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บ้านดีดีรักษ์กัน 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F14" sqref="F14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23" t="s">
        <v>1</v>
      </c>
      <c r="B1" s="424"/>
      <c r="C1" s="424"/>
      <c r="D1" s="424"/>
      <c r="E1" s="425"/>
    </row>
    <row r="2" spans="1:10" ht="20.100000000000001" customHeight="1">
      <c r="A2" s="129" t="s">
        <v>204</v>
      </c>
      <c r="B2" s="130"/>
      <c r="C2" s="130"/>
      <c r="D2" s="431" t="s">
        <v>229</v>
      </c>
      <c r="E2" s="432"/>
    </row>
    <row r="3" spans="1:10" ht="20.100000000000001" customHeight="1">
      <c r="A3" s="129" t="s">
        <v>205</v>
      </c>
      <c r="B3" s="131"/>
      <c r="C3" s="433" t="s">
        <v>230</v>
      </c>
      <c r="D3" s="433"/>
      <c r="E3" s="434"/>
    </row>
    <row r="4" spans="1:10" ht="14.4" thickBot="1">
      <c r="A4" s="129" t="s">
        <v>459</v>
      </c>
      <c r="B4" s="142"/>
      <c r="C4" s="142"/>
      <c r="D4" s="142"/>
      <c r="E4" s="145"/>
    </row>
    <row r="5" spans="1:10" ht="20.100000000000001" customHeight="1" thickBot="1">
      <c r="A5" s="61" t="s">
        <v>2</v>
      </c>
      <c r="B5" s="62" t="s">
        <v>3</v>
      </c>
      <c r="C5" s="62" t="s">
        <v>4</v>
      </c>
      <c r="D5" s="62" t="s">
        <v>5</v>
      </c>
      <c r="E5" s="63" t="s">
        <v>6</v>
      </c>
    </row>
    <row r="6" spans="1:10">
      <c r="A6" s="312"/>
      <c r="B6" s="309"/>
      <c r="C6" s="310"/>
      <c r="D6" s="310"/>
      <c r="E6" s="311"/>
    </row>
    <row r="7" spans="1:10">
      <c r="A7" s="64"/>
      <c r="B7" s="302" t="s">
        <v>7</v>
      </c>
      <c r="C7" s="65"/>
      <c r="D7" s="65"/>
      <c r="E7" s="66"/>
    </row>
    <row r="8" spans="1:10">
      <c r="A8" s="327" t="s">
        <v>8</v>
      </c>
      <c r="B8" s="325" t="s">
        <v>9</v>
      </c>
      <c r="C8" s="317"/>
      <c r="D8" s="322">
        <f>หมวดงานโครงสร้าง!L57</f>
        <v>2500854.3764887447</v>
      </c>
      <c r="E8" s="328"/>
      <c r="F8" s="262">
        <f>D8/4</f>
        <v>625213.59412218619</v>
      </c>
      <c r="G8" s="4"/>
    </row>
    <row r="9" spans="1:10">
      <c r="A9" s="329"/>
      <c r="B9" s="304"/>
      <c r="C9" s="318"/>
      <c r="D9" s="138"/>
      <c r="E9" s="330"/>
      <c r="I9" s="263"/>
      <c r="J9" s="263"/>
    </row>
    <row r="10" spans="1:10">
      <c r="A10" s="331" t="s">
        <v>13</v>
      </c>
      <c r="B10" s="300" t="s">
        <v>14</v>
      </c>
      <c r="C10" s="319"/>
      <c r="D10" s="334">
        <f>'งานสถาปัตยกรรม '!L174</f>
        <v>3896034.1999999997</v>
      </c>
      <c r="E10" s="332"/>
      <c r="F10" s="262">
        <f>D10/4</f>
        <v>974008.54999999993</v>
      </c>
      <c r="G10" s="4"/>
      <c r="I10" s="263"/>
      <c r="J10" s="263"/>
    </row>
    <row r="11" spans="1:10" ht="21.75" customHeight="1">
      <c r="A11" s="329"/>
      <c r="B11" s="305"/>
      <c r="C11" s="318"/>
      <c r="D11" s="138"/>
      <c r="E11" s="330"/>
      <c r="I11" s="263"/>
      <c r="J11" s="263"/>
    </row>
    <row r="12" spans="1:10">
      <c r="A12" s="331" t="s">
        <v>23</v>
      </c>
      <c r="B12" s="300" t="s">
        <v>24</v>
      </c>
      <c r="C12" s="319"/>
      <c r="D12" s="366">
        <f>งานระบบไฟฟ้า!L69</f>
        <v>519604.90399999998</v>
      </c>
      <c r="E12" s="332"/>
      <c r="F12" s="262">
        <f>D12/4</f>
        <v>129901.226</v>
      </c>
      <c r="G12" s="4"/>
      <c r="I12" s="263"/>
      <c r="J12" s="263"/>
    </row>
    <row r="13" spans="1:10">
      <c r="A13" s="329"/>
      <c r="B13" s="304"/>
      <c r="C13" s="320"/>
      <c r="D13" s="138"/>
      <c r="E13" s="332"/>
      <c r="I13" s="263"/>
      <c r="J13" s="263"/>
    </row>
    <row r="14" spans="1:10" s="285" customFormat="1">
      <c r="A14" s="331" t="s">
        <v>26</v>
      </c>
      <c r="B14" s="300" t="s">
        <v>169</v>
      </c>
      <c r="C14" s="319"/>
      <c r="D14" s="334">
        <f>งานระบบประปา!L93</f>
        <v>299303.59484999999</v>
      </c>
      <c r="E14" s="332"/>
      <c r="F14" s="262">
        <f>D14/4</f>
        <v>74825.898712499999</v>
      </c>
      <c r="G14" s="301"/>
      <c r="I14" s="22"/>
      <c r="J14" s="22"/>
    </row>
    <row r="15" spans="1:10" ht="14.4" thickBot="1">
      <c r="A15" s="308"/>
      <c r="B15" s="326"/>
      <c r="C15" s="321"/>
      <c r="D15" s="307"/>
      <c r="E15" s="333"/>
      <c r="J15" s="263"/>
    </row>
    <row r="16" spans="1:10" ht="20.100000000000001" customHeight="1" thickTop="1">
      <c r="A16" s="303"/>
      <c r="B16" s="323" t="s">
        <v>27</v>
      </c>
      <c r="C16" s="306"/>
      <c r="D16" s="306">
        <f>SUM(D8:D15)</f>
        <v>7215797.0753387446</v>
      </c>
      <c r="E16" s="324"/>
      <c r="I16" s="2"/>
    </row>
    <row r="17" spans="1:14" ht="20.100000000000001" customHeight="1">
      <c r="A17" s="50" t="s">
        <v>29</v>
      </c>
      <c r="B17" s="51" t="s">
        <v>28</v>
      </c>
      <c r="C17" s="52" t="s">
        <v>170</v>
      </c>
      <c r="D17" s="52">
        <v>0</v>
      </c>
      <c r="E17" s="53"/>
      <c r="F17" s="4"/>
      <c r="I17" s="3"/>
    </row>
    <row r="18" spans="1:14" ht="20.100000000000001" customHeight="1">
      <c r="A18" s="50" t="s">
        <v>155</v>
      </c>
      <c r="B18" s="54" t="s">
        <v>172</v>
      </c>
      <c r="C18" s="92"/>
      <c r="D18" s="52">
        <f>ROUNDUP(D16*0.1,0)</f>
        <v>721580</v>
      </c>
      <c r="E18" s="55"/>
      <c r="F18" s="426"/>
      <c r="G18" s="426"/>
      <c r="H18" s="264"/>
      <c r="I18" s="3"/>
      <c r="J18" s="428"/>
      <c r="K18" s="429"/>
    </row>
    <row r="19" spans="1:14" ht="20.100000000000001" customHeight="1" thickBot="1">
      <c r="A19" s="56"/>
      <c r="B19" s="57" t="s">
        <v>30</v>
      </c>
      <c r="C19" s="58"/>
      <c r="D19" s="58">
        <f>SUM(D16:D18)</f>
        <v>7937377.0753387446</v>
      </c>
      <c r="E19" s="59"/>
      <c r="F19" s="427"/>
      <c r="G19" s="427"/>
      <c r="I19" s="6"/>
      <c r="J19" s="430"/>
      <c r="K19" s="427"/>
    </row>
    <row r="20" spans="1:14" ht="20.100000000000001" customHeight="1" outlineLevel="1" thickTop="1">
      <c r="A20" s="47"/>
      <c r="B20" s="48" t="s">
        <v>31</v>
      </c>
      <c r="C20" s="60"/>
      <c r="D20" s="60">
        <f>ROUNDUP(D19*7%,2)</f>
        <v>555616.4</v>
      </c>
      <c r="E20" s="49"/>
      <c r="N20" s="5">
        <v>515921.81</v>
      </c>
    </row>
    <row r="21" spans="1:14" ht="20.100000000000001" customHeight="1" outlineLevel="1" thickBot="1">
      <c r="A21" s="313"/>
      <c r="B21" s="314" t="s">
        <v>32</v>
      </c>
      <c r="C21" s="315"/>
      <c r="D21" s="315">
        <f>SUM(D19:D20)</f>
        <v>8492993.475338744</v>
      </c>
      <c r="E21" s="316"/>
    </row>
    <row r="22" spans="1:14">
      <c r="A22" s="139" t="s">
        <v>33</v>
      </c>
      <c r="B22" s="140"/>
      <c r="C22" s="140"/>
      <c r="D22" s="140"/>
      <c r="E22" s="141"/>
    </row>
    <row r="24" spans="1:14">
      <c r="B24" s="137"/>
      <c r="D24" s="558">
        <f>D21/4</f>
        <v>2123248.368834686</v>
      </c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72"/>
  <sheetViews>
    <sheetView view="pageBreakPreview" zoomScaleNormal="75" zoomScaleSheetLayoutView="100" workbookViewId="0">
      <pane xSplit="7" ySplit="8" topLeftCell="H48" activePane="bottomRight" state="frozen"/>
      <selection activeCell="P4" sqref="P4"/>
      <selection pane="topRight" activeCell="P4" sqref="P4"/>
      <selection pane="bottomLeft" activeCell="P4" sqref="P4"/>
      <selection pane="bottomRight" activeCell="J65" sqref="J65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11.44140625" style="5" hidden="1" customWidth="1" outlineLevel="1"/>
    <col min="5" max="5" width="11.5546875" style="5" hidden="1" customWidth="1" outlineLevel="1"/>
    <col min="6" max="6" width="9.109375" style="5" hidden="1" customWidth="1" outlineLevel="1"/>
    <col min="7" max="7" width="10.6640625" style="5" customWidth="1" collapsed="1"/>
    <col min="8" max="11" width="13.5546875" style="5" customWidth="1"/>
    <col min="12" max="12" width="15.5546875" style="5" customWidth="1"/>
    <col min="13" max="13" width="21.5546875" style="5" customWidth="1"/>
    <col min="14" max="15" width="9.109375" style="5"/>
    <col min="16" max="16" width="9.109375" style="285"/>
    <col min="17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3.5546875" style="5" customWidth="1"/>
    <col min="268" max="268" width="15.554687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3.5546875" style="5" customWidth="1"/>
    <col min="524" max="524" width="15.554687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3.5546875" style="5" customWidth="1"/>
    <col min="780" max="780" width="15.554687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3.5546875" style="5" customWidth="1"/>
    <col min="1036" max="1036" width="15.554687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3.5546875" style="5" customWidth="1"/>
    <col min="1292" max="1292" width="15.554687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3.5546875" style="5" customWidth="1"/>
    <col min="1548" max="1548" width="15.554687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3.5546875" style="5" customWidth="1"/>
    <col min="1804" max="1804" width="15.554687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3.5546875" style="5" customWidth="1"/>
    <col min="2060" max="2060" width="15.554687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3.5546875" style="5" customWidth="1"/>
    <col min="2316" max="2316" width="15.554687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3.5546875" style="5" customWidth="1"/>
    <col min="2572" max="2572" width="15.554687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3.5546875" style="5" customWidth="1"/>
    <col min="2828" max="2828" width="15.554687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3.5546875" style="5" customWidth="1"/>
    <col min="3084" max="3084" width="15.554687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3.5546875" style="5" customWidth="1"/>
    <col min="3340" max="3340" width="15.554687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3.5546875" style="5" customWidth="1"/>
    <col min="3596" max="3596" width="15.554687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3.5546875" style="5" customWidth="1"/>
    <col min="3852" max="3852" width="15.554687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3.5546875" style="5" customWidth="1"/>
    <col min="4108" max="4108" width="15.554687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3.5546875" style="5" customWidth="1"/>
    <col min="4364" max="4364" width="15.554687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3.5546875" style="5" customWidth="1"/>
    <col min="4620" max="4620" width="15.554687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3.5546875" style="5" customWidth="1"/>
    <col min="4876" max="4876" width="15.554687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3.5546875" style="5" customWidth="1"/>
    <col min="5132" max="5132" width="15.554687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3.5546875" style="5" customWidth="1"/>
    <col min="5388" max="5388" width="15.554687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3.5546875" style="5" customWidth="1"/>
    <col min="5644" max="5644" width="15.554687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3.5546875" style="5" customWidth="1"/>
    <col min="5900" max="5900" width="15.554687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3.5546875" style="5" customWidth="1"/>
    <col min="6156" max="6156" width="15.554687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3.5546875" style="5" customWidth="1"/>
    <col min="6412" max="6412" width="15.554687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3.5546875" style="5" customWidth="1"/>
    <col min="6668" max="6668" width="15.554687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3.5546875" style="5" customWidth="1"/>
    <col min="6924" max="6924" width="15.554687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3.5546875" style="5" customWidth="1"/>
    <col min="7180" max="7180" width="15.554687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3.5546875" style="5" customWidth="1"/>
    <col min="7436" max="7436" width="15.554687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3.5546875" style="5" customWidth="1"/>
    <col min="7692" max="7692" width="15.554687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3.5546875" style="5" customWidth="1"/>
    <col min="7948" max="7948" width="15.554687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3.5546875" style="5" customWidth="1"/>
    <col min="8204" max="8204" width="15.554687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3.5546875" style="5" customWidth="1"/>
    <col min="8460" max="8460" width="15.554687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3.5546875" style="5" customWidth="1"/>
    <col min="8716" max="8716" width="15.554687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3.5546875" style="5" customWidth="1"/>
    <col min="8972" max="8972" width="15.554687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3.5546875" style="5" customWidth="1"/>
    <col min="9228" max="9228" width="15.554687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3.5546875" style="5" customWidth="1"/>
    <col min="9484" max="9484" width="15.554687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3.5546875" style="5" customWidth="1"/>
    <col min="9740" max="9740" width="15.554687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3.5546875" style="5" customWidth="1"/>
    <col min="9996" max="9996" width="15.554687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3.5546875" style="5" customWidth="1"/>
    <col min="10252" max="10252" width="15.554687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3.5546875" style="5" customWidth="1"/>
    <col min="10508" max="10508" width="15.554687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3.5546875" style="5" customWidth="1"/>
    <col min="10764" max="10764" width="15.554687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3.5546875" style="5" customWidth="1"/>
    <col min="11020" max="11020" width="15.554687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3.5546875" style="5" customWidth="1"/>
    <col min="11276" max="11276" width="15.554687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3.5546875" style="5" customWidth="1"/>
    <col min="11532" max="11532" width="15.554687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3.5546875" style="5" customWidth="1"/>
    <col min="11788" max="11788" width="15.554687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3.5546875" style="5" customWidth="1"/>
    <col min="12044" max="12044" width="15.554687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3.5546875" style="5" customWidth="1"/>
    <col min="12300" max="12300" width="15.554687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3.5546875" style="5" customWidth="1"/>
    <col min="12556" max="12556" width="15.554687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3.5546875" style="5" customWidth="1"/>
    <col min="12812" max="12812" width="15.554687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3.5546875" style="5" customWidth="1"/>
    <col min="13068" max="13068" width="15.554687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3.5546875" style="5" customWidth="1"/>
    <col min="13324" max="13324" width="15.554687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3.5546875" style="5" customWidth="1"/>
    <col min="13580" max="13580" width="15.554687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3.5546875" style="5" customWidth="1"/>
    <col min="13836" max="13836" width="15.554687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3.5546875" style="5" customWidth="1"/>
    <col min="14092" max="14092" width="15.554687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3.5546875" style="5" customWidth="1"/>
    <col min="14348" max="14348" width="15.554687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3.5546875" style="5" customWidth="1"/>
    <col min="14604" max="14604" width="15.554687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3.5546875" style="5" customWidth="1"/>
    <col min="14860" max="14860" width="15.554687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3.5546875" style="5" customWidth="1"/>
    <col min="15116" max="15116" width="15.554687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3.5546875" style="5" customWidth="1"/>
    <col min="15372" max="15372" width="15.554687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3.5546875" style="5" customWidth="1"/>
    <col min="15628" max="15628" width="15.554687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3.5546875" style="5" customWidth="1"/>
    <col min="15884" max="15884" width="15.554687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3.5546875" style="5" customWidth="1"/>
    <col min="16140" max="16140" width="15.5546875" style="5" customWidth="1"/>
    <col min="16141" max="16141" width="21.5546875" style="5" customWidth="1"/>
    <col min="16142" max="16384" width="9.109375" style="5"/>
  </cols>
  <sheetData>
    <row r="1" spans="1:16" s="7" customFormat="1" ht="20.100000000000001" customHeight="1">
      <c r="A1" s="435" t="s">
        <v>36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7"/>
    </row>
    <row r="2" spans="1:16" s="7" customFormat="1" ht="20.100000000000001" customHeight="1">
      <c r="A2" s="438" t="s">
        <v>45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40"/>
    </row>
    <row r="3" spans="1:16" s="7" customFormat="1" ht="20.100000000000001" customHeight="1">
      <c r="A3" s="129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0"/>
      <c r="C3" s="131"/>
      <c r="D3" s="461"/>
      <c r="E3" s="462"/>
      <c r="F3" s="462"/>
      <c r="G3" s="462"/>
      <c r="H3" s="463"/>
      <c r="I3" s="463"/>
      <c r="J3" s="464"/>
      <c r="K3" s="464"/>
      <c r="L3" s="465"/>
      <c r="M3" s="136" t="str">
        <f>'[2]cover '!D2</f>
        <v xml:space="preserve">จัดทำโดย คณะสถาปัตยกรรมศาสตร์ 
</v>
      </c>
    </row>
    <row r="4" spans="1:16" s="7" customFormat="1" ht="20.100000000000001" customHeight="1">
      <c r="A4" s="129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131"/>
      <c r="C4" s="131"/>
      <c r="D4" s="461"/>
      <c r="E4" s="462"/>
      <c r="F4" s="462"/>
      <c r="G4" s="462"/>
      <c r="H4" s="463"/>
      <c r="I4" s="463"/>
      <c r="J4" s="433" t="s">
        <v>230</v>
      </c>
      <c r="K4" s="433"/>
      <c r="L4" s="433"/>
      <c r="M4" s="434"/>
    </row>
    <row r="5" spans="1:16" s="7" customFormat="1" ht="20.100000000000001" customHeight="1" thickBot="1">
      <c r="A5" s="129" t="str">
        <f>'[2]cover '!A4</f>
        <v>แบบบ้าน  :  บ้านดีดีรักษ์กัน 2</v>
      </c>
      <c r="B5" s="131"/>
      <c r="C5" s="131"/>
      <c r="D5" s="461"/>
      <c r="E5" s="462"/>
      <c r="F5" s="462"/>
      <c r="G5" s="462"/>
      <c r="H5" s="463"/>
      <c r="I5" s="463"/>
      <c r="J5" s="466"/>
      <c r="K5" s="466"/>
      <c r="L5" s="462"/>
      <c r="M5" s="136"/>
    </row>
    <row r="6" spans="1:16" s="8" customFormat="1" ht="20.100000000000001" customHeight="1">
      <c r="A6" s="441" t="s">
        <v>2</v>
      </c>
      <c r="B6" s="443" t="s">
        <v>3</v>
      </c>
      <c r="C6" s="443" t="s">
        <v>37</v>
      </c>
      <c r="D6" s="467" t="s">
        <v>46</v>
      </c>
      <c r="E6" s="468" t="s">
        <v>38</v>
      </c>
      <c r="F6" s="468" t="s">
        <v>38</v>
      </c>
      <c r="G6" s="469" t="s">
        <v>38</v>
      </c>
      <c r="H6" s="445" t="s">
        <v>39</v>
      </c>
      <c r="I6" s="446"/>
      <c r="J6" s="470" t="s">
        <v>40</v>
      </c>
      <c r="K6" s="471"/>
      <c r="L6" s="472" t="s">
        <v>5</v>
      </c>
      <c r="M6" s="447" t="s">
        <v>41</v>
      </c>
    </row>
    <row r="7" spans="1:16" s="8" customFormat="1" ht="20.100000000000001" customHeight="1" thickBot="1">
      <c r="A7" s="442"/>
      <c r="B7" s="444"/>
      <c r="C7" s="444"/>
      <c r="D7" s="473" t="s">
        <v>47</v>
      </c>
      <c r="E7" s="474"/>
      <c r="F7" s="475"/>
      <c r="G7" s="476"/>
      <c r="H7" s="477" t="s">
        <v>42</v>
      </c>
      <c r="I7" s="477" t="s">
        <v>43</v>
      </c>
      <c r="J7" s="477" t="s">
        <v>42</v>
      </c>
      <c r="K7" s="477" t="s">
        <v>43</v>
      </c>
      <c r="L7" s="478" t="s">
        <v>44</v>
      </c>
      <c r="M7" s="448"/>
    </row>
    <row r="8" spans="1:16" s="1" customFormat="1" ht="20.100000000000001" customHeight="1">
      <c r="A8" s="146" t="s">
        <v>48</v>
      </c>
      <c r="B8" s="147" t="s">
        <v>49</v>
      </c>
      <c r="C8" s="148"/>
      <c r="D8" s="149"/>
      <c r="E8" s="150"/>
      <c r="F8" s="151"/>
      <c r="G8" s="152"/>
      <c r="H8" s="152"/>
      <c r="I8" s="152"/>
      <c r="J8" s="152"/>
      <c r="K8" s="152"/>
      <c r="L8" s="153"/>
      <c r="M8" s="154"/>
    </row>
    <row r="9" spans="1:16" s="1" customFormat="1" ht="20.100000000000001" customHeight="1">
      <c r="A9" s="155" t="s">
        <v>10</v>
      </c>
      <c r="B9" s="156" t="s">
        <v>176</v>
      </c>
      <c r="C9" s="157"/>
      <c r="D9" s="158"/>
      <c r="E9" s="159"/>
      <c r="F9" s="159"/>
      <c r="G9" s="125"/>
      <c r="H9" s="125"/>
      <c r="I9" s="125"/>
      <c r="J9" s="125"/>
      <c r="K9" s="125"/>
      <c r="L9" s="161"/>
      <c r="M9" s="162"/>
    </row>
    <row r="10" spans="1:16" s="16" customFormat="1" ht="18.899999999999999" customHeight="1">
      <c r="A10" s="188" t="s">
        <v>50</v>
      </c>
      <c r="B10" s="189" t="s">
        <v>239</v>
      </c>
      <c r="C10" s="105" t="s">
        <v>51</v>
      </c>
      <c r="D10" s="106">
        <v>0</v>
      </c>
      <c r="E10" s="107">
        <v>58</v>
      </c>
      <c r="F10" s="108"/>
      <c r="G10" s="109">
        <v>59</v>
      </c>
      <c r="H10" s="108">
        <v>5460</v>
      </c>
      <c r="I10" s="109">
        <f>G10*H10</f>
        <v>322140</v>
      </c>
      <c r="J10" s="109">
        <v>0</v>
      </c>
      <c r="K10" s="109">
        <f>SUM(G10*J10)</f>
        <v>0</v>
      </c>
      <c r="L10" s="110">
        <f t="shared" ref="L10:L18" si="0">SUM(I10+K10)</f>
        <v>322140</v>
      </c>
      <c r="M10" s="111"/>
      <c r="O10" s="16">
        <v>1</v>
      </c>
      <c r="P10" s="464">
        <v>21</v>
      </c>
    </row>
    <row r="11" spans="1:16" s="16" customFormat="1" ht="18.899999999999999" customHeight="1">
      <c r="A11" s="188" t="s">
        <v>178</v>
      </c>
      <c r="B11" s="190" t="s">
        <v>240</v>
      </c>
      <c r="C11" s="105" t="s">
        <v>51</v>
      </c>
      <c r="D11" s="106">
        <v>0</v>
      </c>
      <c r="E11" s="107">
        <v>58</v>
      </c>
      <c r="F11" s="108"/>
      <c r="G11" s="109">
        <v>59</v>
      </c>
      <c r="H11" s="108">
        <v>0</v>
      </c>
      <c r="I11" s="109">
        <f>G11*H11</f>
        <v>0</v>
      </c>
      <c r="J11" s="109">
        <v>230</v>
      </c>
      <c r="K11" s="109">
        <f t="shared" ref="K11:K18" si="1">SUM(G11*J11)</f>
        <v>13570</v>
      </c>
      <c r="L11" s="110">
        <f t="shared" si="0"/>
        <v>13570</v>
      </c>
      <c r="M11" s="111"/>
      <c r="O11" s="16">
        <v>1</v>
      </c>
      <c r="P11" s="464">
        <f>P10</f>
        <v>21</v>
      </c>
    </row>
    <row r="12" spans="1:16" s="16" customFormat="1" ht="18.899999999999999" customHeight="1">
      <c r="A12" s="188" t="s">
        <v>52</v>
      </c>
      <c r="B12" s="189" t="s">
        <v>241</v>
      </c>
      <c r="C12" s="105" t="s">
        <v>165</v>
      </c>
      <c r="D12" s="106">
        <v>0</v>
      </c>
      <c r="E12" s="107">
        <v>58</v>
      </c>
      <c r="F12" s="108"/>
      <c r="G12" s="109">
        <v>59</v>
      </c>
      <c r="H12" s="108">
        <v>0</v>
      </c>
      <c r="I12" s="109">
        <f>G12*H12</f>
        <v>0</v>
      </c>
      <c r="J12" s="109">
        <v>1450</v>
      </c>
      <c r="K12" s="109">
        <f t="shared" si="1"/>
        <v>85550</v>
      </c>
      <c r="L12" s="110">
        <f t="shared" si="0"/>
        <v>85550</v>
      </c>
      <c r="M12" s="111"/>
      <c r="O12" s="16">
        <v>1</v>
      </c>
      <c r="P12" s="464">
        <f>P10</f>
        <v>21</v>
      </c>
    </row>
    <row r="13" spans="1:16" s="16" customFormat="1" ht="18.899999999999999" customHeight="1">
      <c r="A13" s="188" t="s">
        <v>55</v>
      </c>
      <c r="B13" s="190" t="s">
        <v>53</v>
      </c>
      <c r="C13" s="105" t="s">
        <v>54</v>
      </c>
      <c r="D13" s="106">
        <v>0</v>
      </c>
      <c r="E13" s="107">
        <v>153</v>
      </c>
      <c r="F13" s="108"/>
      <c r="G13" s="109">
        <v>23.01</v>
      </c>
      <c r="H13" s="108">
        <v>0</v>
      </c>
      <c r="I13" s="109">
        <f>G13*H13</f>
        <v>0</v>
      </c>
      <c r="J13" s="109">
        <v>125</v>
      </c>
      <c r="K13" s="109">
        <f t="shared" si="1"/>
        <v>2876.25</v>
      </c>
      <c r="L13" s="110">
        <f t="shared" si="0"/>
        <v>2876.25</v>
      </c>
      <c r="M13" s="111"/>
      <c r="O13" s="16">
        <v>1</v>
      </c>
      <c r="P13" s="464">
        <v>22</v>
      </c>
    </row>
    <row r="14" spans="1:16" s="16" customFormat="1" ht="18.899999999999999" customHeight="1">
      <c r="A14" s="188" t="s">
        <v>57</v>
      </c>
      <c r="B14" s="191" t="s">
        <v>56</v>
      </c>
      <c r="C14" s="105" t="s">
        <v>54</v>
      </c>
      <c r="D14" s="106">
        <v>0</v>
      </c>
      <c r="E14" s="107">
        <v>141</v>
      </c>
      <c r="F14" s="108"/>
      <c r="G14" s="109">
        <v>6.9030000000000022</v>
      </c>
      <c r="H14" s="108">
        <v>0</v>
      </c>
      <c r="I14" s="109">
        <f>G14*H14</f>
        <v>0</v>
      </c>
      <c r="J14" s="109">
        <v>99</v>
      </c>
      <c r="K14" s="109">
        <f t="shared" si="1"/>
        <v>683.39700000000028</v>
      </c>
      <c r="L14" s="110">
        <f t="shared" si="0"/>
        <v>683.39700000000028</v>
      </c>
      <c r="M14" s="111"/>
      <c r="O14" s="16">
        <v>1</v>
      </c>
      <c r="P14" s="464">
        <v>14</v>
      </c>
    </row>
    <row r="15" spans="1:16" s="16" customFormat="1" ht="18.899999999999999" customHeight="1">
      <c r="A15" s="188" t="s">
        <v>58</v>
      </c>
      <c r="B15" s="191" t="s">
        <v>177</v>
      </c>
      <c r="C15" s="105" t="s">
        <v>54</v>
      </c>
      <c r="D15" s="106">
        <v>0.3</v>
      </c>
      <c r="E15" s="107">
        <v>0.85</v>
      </c>
      <c r="F15" s="108"/>
      <c r="G15" s="109">
        <v>3.6875</v>
      </c>
      <c r="H15" s="108">
        <v>453.33</v>
      </c>
      <c r="I15" s="109">
        <f t="shared" ref="I15:I20" si="2">SUM(G15*H15)</f>
        <v>1671.6543749999998</v>
      </c>
      <c r="J15" s="109">
        <v>91</v>
      </c>
      <c r="K15" s="109">
        <f t="shared" si="1"/>
        <v>335.5625</v>
      </c>
      <c r="L15" s="110">
        <f t="shared" si="0"/>
        <v>2007.2168749999998</v>
      </c>
      <c r="M15" s="111"/>
      <c r="O15" s="16">
        <v>1</v>
      </c>
      <c r="P15" s="464">
        <v>0.5</v>
      </c>
    </row>
    <row r="16" spans="1:16" s="16" customFormat="1" ht="18.899999999999999" customHeight="1">
      <c r="A16" s="188" t="s">
        <v>59</v>
      </c>
      <c r="B16" s="191" t="s">
        <v>60</v>
      </c>
      <c r="C16" s="105" t="s">
        <v>54</v>
      </c>
      <c r="D16" s="106">
        <v>0.1</v>
      </c>
      <c r="E16" s="107">
        <v>0.85</v>
      </c>
      <c r="F16" s="108"/>
      <c r="G16" s="109">
        <v>2.95</v>
      </c>
      <c r="H16" s="108">
        <v>2034</v>
      </c>
      <c r="I16" s="109">
        <f t="shared" si="2"/>
        <v>6000.3</v>
      </c>
      <c r="J16" s="109">
        <v>398</v>
      </c>
      <c r="K16" s="109">
        <f t="shared" si="1"/>
        <v>1174.1000000000001</v>
      </c>
      <c r="L16" s="110">
        <f t="shared" si="0"/>
        <v>7174.4000000000005</v>
      </c>
      <c r="M16" s="111"/>
      <c r="O16" s="16">
        <v>1</v>
      </c>
      <c r="P16" s="464">
        <v>0.3</v>
      </c>
    </row>
    <row r="17" spans="1:16" s="16" customFormat="1" ht="18.899999999999999" customHeight="1">
      <c r="A17" s="188" t="s">
        <v>61</v>
      </c>
      <c r="B17" s="191" t="s">
        <v>87</v>
      </c>
      <c r="C17" s="105" t="s">
        <v>54</v>
      </c>
      <c r="D17" s="106">
        <v>0.05</v>
      </c>
      <c r="E17" s="107">
        <v>29</v>
      </c>
      <c r="F17" s="108"/>
      <c r="G17" s="109">
        <v>17.7</v>
      </c>
      <c r="H17" s="108">
        <v>2259</v>
      </c>
      <c r="I17" s="109">
        <f t="shared" si="2"/>
        <v>39984.299999999996</v>
      </c>
      <c r="J17" s="109">
        <v>391</v>
      </c>
      <c r="K17" s="109">
        <f t="shared" si="1"/>
        <v>6920.7</v>
      </c>
      <c r="L17" s="110">
        <f t="shared" si="0"/>
        <v>46904.999999999993</v>
      </c>
      <c r="M17" s="111"/>
      <c r="O17" s="16">
        <v>1</v>
      </c>
      <c r="P17" s="464">
        <v>2.5</v>
      </c>
    </row>
    <row r="18" spans="1:16" s="16" customFormat="1" ht="18.899999999999999" customHeight="1">
      <c r="A18" s="188" t="s">
        <v>62</v>
      </c>
      <c r="B18" s="191" t="s">
        <v>183</v>
      </c>
      <c r="C18" s="105" t="s">
        <v>63</v>
      </c>
      <c r="D18" s="106">
        <v>0</v>
      </c>
      <c r="E18" s="107">
        <v>423</v>
      </c>
      <c r="F18" s="108"/>
      <c r="G18" s="109">
        <v>49.559999999999995</v>
      </c>
      <c r="H18" s="108">
        <v>400</v>
      </c>
      <c r="I18" s="109">
        <f t="shared" si="2"/>
        <v>19823.999999999996</v>
      </c>
      <c r="J18" s="109">
        <v>105</v>
      </c>
      <c r="K18" s="109">
        <f t="shared" si="1"/>
        <v>5203.7999999999993</v>
      </c>
      <c r="L18" s="110">
        <f t="shared" si="0"/>
        <v>25027.799999999996</v>
      </c>
      <c r="M18" s="111"/>
      <c r="O18" s="16">
        <v>1</v>
      </c>
      <c r="P18" s="464">
        <v>19.899999999999999</v>
      </c>
    </row>
    <row r="19" spans="1:16" s="16" customFormat="1" ht="18.899999999999999" customHeight="1">
      <c r="A19" s="188" t="s">
        <v>64</v>
      </c>
      <c r="B19" s="480" t="s">
        <v>466</v>
      </c>
      <c r="C19" s="105" t="s">
        <v>63</v>
      </c>
      <c r="D19" s="226"/>
      <c r="E19" s="227"/>
      <c r="F19" s="228"/>
      <c r="G19" s="229">
        <v>70.8</v>
      </c>
      <c r="H19" s="228">
        <v>0</v>
      </c>
      <c r="I19" s="229">
        <f t="shared" si="2"/>
        <v>0</v>
      </c>
      <c r="J19" s="109">
        <v>105</v>
      </c>
      <c r="K19" s="109">
        <f>SUM(G19*J19)</f>
        <v>7434</v>
      </c>
      <c r="L19" s="110">
        <f>SUM(I19+K19)</f>
        <v>7434</v>
      </c>
      <c r="M19" s="111"/>
      <c r="P19" s="464"/>
    </row>
    <row r="20" spans="1:16" s="16" customFormat="1" ht="18.899999999999999" customHeight="1">
      <c r="A20" s="188" t="s">
        <v>69</v>
      </c>
      <c r="B20" s="191" t="s">
        <v>467</v>
      </c>
      <c r="C20" s="105" t="s">
        <v>63</v>
      </c>
      <c r="D20" s="106">
        <v>0</v>
      </c>
      <c r="E20" s="107">
        <v>423</v>
      </c>
      <c r="F20" s="108"/>
      <c r="G20" s="109">
        <f>G18*0.3</f>
        <v>14.867999999999999</v>
      </c>
      <c r="H20" s="108">
        <v>400</v>
      </c>
      <c r="I20" s="109">
        <f t="shared" si="2"/>
        <v>5947.2</v>
      </c>
      <c r="J20" s="109">
        <v>0</v>
      </c>
      <c r="K20" s="109">
        <f>SUM(G20*J20)</f>
        <v>0</v>
      </c>
      <c r="L20" s="110">
        <f>SUM(I20+K20)</f>
        <v>5947.2</v>
      </c>
      <c r="M20" s="111"/>
      <c r="P20" s="464"/>
    </row>
    <row r="21" spans="1:16" s="16" customFormat="1" ht="18.899999999999999" customHeight="1">
      <c r="A21" s="188" t="s">
        <v>71</v>
      </c>
      <c r="B21" s="191" t="s">
        <v>65</v>
      </c>
      <c r="C21" s="105"/>
      <c r="D21" s="192"/>
      <c r="E21" s="108"/>
      <c r="F21" s="108"/>
      <c r="G21" s="109"/>
      <c r="H21" s="109"/>
      <c r="I21" s="109"/>
      <c r="J21" s="109"/>
      <c r="K21" s="109"/>
      <c r="L21" s="110"/>
      <c r="M21" s="111"/>
      <c r="O21" s="16">
        <v>1</v>
      </c>
      <c r="P21" s="464"/>
    </row>
    <row r="22" spans="1:16" s="16" customFormat="1" ht="18.899999999999999" customHeight="1">
      <c r="A22" s="193"/>
      <c r="B22" s="191" t="s">
        <v>154</v>
      </c>
      <c r="C22" s="105" t="s">
        <v>67</v>
      </c>
      <c r="D22" s="106">
        <v>0.11</v>
      </c>
      <c r="E22" s="107">
        <v>1174</v>
      </c>
      <c r="F22" s="108"/>
      <c r="G22" s="109">
        <v>1713.2184000000002</v>
      </c>
      <c r="H22" s="108">
        <v>17.100000000000001</v>
      </c>
      <c r="I22" s="109">
        <f>SUM(G22*H22)</f>
        <v>29296.034640000005</v>
      </c>
      <c r="J22" s="109">
        <v>3.3</v>
      </c>
      <c r="K22" s="109">
        <f>SUM(G22*J22)</f>
        <v>5653.6207200000008</v>
      </c>
      <c r="L22" s="110">
        <f>SUM(I22+K22)</f>
        <v>34949.655360000004</v>
      </c>
      <c r="M22" s="111"/>
      <c r="O22" s="16">
        <v>1</v>
      </c>
      <c r="P22" s="464">
        <v>311</v>
      </c>
    </row>
    <row r="23" spans="1:16" s="16" customFormat="1" ht="18.899999999999999" customHeight="1">
      <c r="A23" s="188" t="s">
        <v>197</v>
      </c>
      <c r="B23" s="191" t="s">
        <v>70</v>
      </c>
      <c r="C23" s="105" t="s">
        <v>67</v>
      </c>
      <c r="D23" s="106">
        <v>0</v>
      </c>
      <c r="E23" s="108">
        <v>211</v>
      </c>
      <c r="F23" s="108"/>
      <c r="G23" s="109">
        <v>51.396552000000007</v>
      </c>
      <c r="H23" s="108">
        <v>21.11</v>
      </c>
      <c r="I23" s="109">
        <f>SUM(G23*H23)</f>
        <v>1084.98121272</v>
      </c>
      <c r="J23" s="109">
        <v>0</v>
      </c>
      <c r="K23" s="109">
        <f>SUM(G23*J23)</f>
        <v>0</v>
      </c>
      <c r="L23" s="110">
        <f>SUM(I23+K23)</f>
        <v>1084.98121272</v>
      </c>
      <c r="M23" s="111"/>
      <c r="O23" s="16">
        <v>1</v>
      </c>
      <c r="P23" s="464">
        <v>15</v>
      </c>
    </row>
    <row r="24" spans="1:16" s="16" customFormat="1" ht="18.899999999999999" customHeight="1">
      <c r="A24" s="188" t="s">
        <v>242</v>
      </c>
      <c r="B24" s="190" t="s">
        <v>72</v>
      </c>
      <c r="C24" s="105" t="s">
        <v>67</v>
      </c>
      <c r="D24" s="106">
        <v>0</v>
      </c>
      <c r="E24" s="108">
        <v>127</v>
      </c>
      <c r="F24" s="108"/>
      <c r="G24" s="109">
        <v>17.7</v>
      </c>
      <c r="H24" s="108">
        <v>23.7</v>
      </c>
      <c r="I24" s="109">
        <f>SUM(G24*H24)</f>
        <v>419.48999999999995</v>
      </c>
      <c r="J24" s="109">
        <v>0</v>
      </c>
      <c r="K24" s="109">
        <f>SUM(G24*J24)</f>
        <v>0</v>
      </c>
      <c r="L24" s="110">
        <f>SUM(I24+K24)</f>
        <v>419.48999999999995</v>
      </c>
      <c r="M24" s="111"/>
      <c r="O24" s="16">
        <v>1</v>
      </c>
      <c r="P24" s="464">
        <v>10</v>
      </c>
    </row>
    <row r="25" spans="1:16" s="16" customFormat="1" ht="18.899999999999999" customHeight="1" thickBot="1">
      <c r="A25" s="194"/>
      <c r="B25" s="195"/>
      <c r="C25" s="113"/>
      <c r="D25" s="114"/>
      <c r="E25" s="115"/>
      <c r="F25" s="116"/>
      <c r="G25" s="117"/>
      <c r="H25" s="117"/>
      <c r="I25" s="117"/>
      <c r="J25" s="117"/>
      <c r="K25" s="117"/>
      <c r="L25" s="118"/>
      <c r="M25" s="119" t="s">
        <v>33</v>
      </c>
      <c r="O25" s="16">
        <v>1</v>
      </c>
      <c r="P25" s="464"/>
    </row>
    <row r="26" spans="1:16" s="1" customFormat="1" ht="20.100000000000001" customHeight="1" thickTop="1">
      <c r="A26" s="143"/>
      <c r="B26" s="67"/>
      <c r="C26" s="67"/>
      <c r="D26" s="68"/>
      <c r="E26" s="144"/>
      <c r="F26" s="69"/>
      <c r="G26" s="70"/>
      <c r="H26" s="70"/>
      <c r="I26" s="70"/>
      <c r="J26" s="70"/>
      <c r="K26" s="70"/>
      <c r="L26" s="70"/>
      <c r="M26" s="72"/>
      <c r="O26" s="16">
        <v>1</v>
      </c>
      <c r="P26" s="466"/>
    </row>
    <row r="27" spans="1:16" s="1" customFormat="1" ht="20.100000000000001" customHeight="1">
      <c r="A27" s="80" t="s">
        <v>11</v>
      </c>
      <c r="B27" s="81" t="s">
        <v>468</v>
      </c>
      <c r="C27" s="82"/>
      <c r="D27" s="83"/>
      <c r="E27" s="163"/>
      <c r="F27" s="84"/>
      <c r="G27" s="85"/>
      <c r="H27" s="85"/>
      <c r="I27" s="85"/>
      <c r="J27" s="85"/>
      <c r="K27" s="85"/>
      <c r="L27" s="86"/>
      <c r="M27" s="128"/>
      <c r="O27" s="16">
        <v>1</v>
      </c>
      <c r="P27" s="466"/>
    </row>
    <row r="28" spans="1:16" s="16" customFormat="1" ht="18.899999999999999" customHeight="1">
      <c r="A28" s="188" t="s">
        <v>74</v>
      </c>
      <c r="B28" s="191" t="s">
        <v>200</v>
      </c>
      <c r="C28" s="105" t="s">
        <v>54</v>
      </c>
      <c r="D28" s="106">
        <v>0</v>
      </c>
      <c r="E28" s="107">
        <v>0</v>
      </c>
      <c r="F28" s="108"/>
      <c r="G28" s="109">
        <v>50.154000000000003</v>
      </c>
      <c r="H28" s="108">
        <v>0</v>
      </c>
      <c r="I28" s="109">
        <f t="shared" ref="I28:I35" si="3">SUM(G28*H28)</f>
        <v>0</v>
      </c>
      <c r="J28" s="109">
        <v>125</v>
      </c>
      <c r="K28" s="109">
        <f t="shared" ref="K28:K33" si="4">SUM(G28*J28)</f>
        <v>6269.25</v>
      </c>
      <c r="L28" s="110">
        <f t="shared" ref="L28:L33" si="5">SUM(I28+K28)</f>
        <v>6269.25</v>
      </c>
      <c r="M28" s="111" t="s">
        <v>33</v>
      </c>
      <c r="O28" s="16">
        <v>1</v>
      </c>
      <c r="P28" s="464">
        <v>10</v>
      </c>
    </row>
    <row r="29" spans="1:16" s="16" customFormat="1" ht="18.899999999999999" customHeight="1">
      <c r="A29" s="188" t="s">
        <v>75</v>
      </c>
      <c r="B29" s="191" t="s">
        <v>77</v>
      </c>
      <c r="C29" s="105" t="s">
        <v>54</v>
      </c>
      <c r="D29" s="106">
        <v>0.3</v>
      </c>
      <c r="E29" s="107">
        <v>21.7</v>
      </c>
      <c r="F29" s="108"/>
      <c r="G29" s="109">
        <v>11.219999999999999</v>
      </c>
      <c r="H29" s="108">
        <v>453.33</v>
      </c>
      <c r="I29" s="109">
        <f t="shared" si="3"/>
        <v>5086.3625999999995</v>
      </c>
      <c r="J29" s="109">
        <v>91</v>
      </c>
      <c r="K29" s="109">
        <f t="shared" si="4"/>
        <v>1021.0199999999999</v>
      </c>
      <c r="L29" s="110">
        <f t="shared" si="5"/>
        <v>6107.382599999999</v>
      </c>
      <c r="M29" s="111"/>
      <c r="O29" s="16">
        <v>1</v>
      </c>
      <c r="P29" s="464">
        <v>13</v>
      </c>
    </row>
    <row r="30" spans="1:16" s="16" customFormat="1" ht="18.899999999999999" customHeight="1">
      <c r="A30" s="188" t="s">
        <v>76</v>
      </c>
      <c r="B30" s="190" t="s">
        <v>469</v>
      </c>
      <c r="C30" s="105" t="s">
        <v>63</v>
      </c>
      <c r="D30" s="106">
        <v>0.15</v>
      </c>
      <c r="E30" s="107">
        <v>217</v>
      </c>
      <c r="F30" s="108"/>
      <c r="G30" s="109">
        <v>8.9759999999999991</v>
      </c>
      <c r="H30" s="108">
        <v>2034</v>
      </c>
      <c r="I30" s="109">
        <f t="shared" si="3"/>
        <v>18257.183999999997</v>
      </c>
      <c r="J30" s="109">
        <v>398</v>
      </c>
      <c r="K30" s="109">
        <f t="shared" si="4"/>
        <v>3572.4479999999994</v>
      </c>
      <c r="L30" s="110">
        <f t="shared" si="5"/>
        <v>21829.631999999998</v>
      </c>
      <c r="M30" s="111"/>
      <c r="O30" s="16">
        <v>1</v>
      </c>
      <c r="P30" s="464">
        <v>40</v>
      </c>
    </row>
    <row r="31" spans="1:16" s="16" customFormat="1" ht="18.899999999999999" customHeight="1">
      <c r="A31" s="188" t="s">
        <v>78</v>
      </c>
      <c r="B31" s="191" t="s">
        <v>87</v>
      </c>
      <c r="C31" s="105" t="s">
        <v>54</v>
      </c>
      <c r="D31" s="106">
        <v>0.05</v>
      </c>
      <c r="E31" s="107">
        <v>46</v>
      </c>
      <c r="F31" s="108"/>
      <c r="G31" s="109">
        <v>73.834000000000003</v>
      </c>
      <c r="H31" s="108">
        <v>2259</v>
      </c>
      <c r="I31" s="109">
        <f t="shared" si="3"/>
        <v>166791.00599999999</v>
      </c>
      <c r="J31" s="109">
        <v>391</v>
      </c>
      <c r="K31" s="109">
        <f t="shared" si="4"/>
        <v>28869.094000000001</v>
      </c>
      <c r="L31" s="110">
        <f t="shared" si="5"/>
        <v>195660.1</v>
      </c>
      <c r="M31" s="111"/>
      <c r="O31" s="16">
        <v>1</v>
      </c>
      <c r="P31" s="464">
        <v>20</v>
      </c>
    </row>
    <row r="32" spans="1:16" s="16" customFormat="1" ht="18.899999999999999" customHeight="1">
      <c r="A32" s="188" t="s">
        <v>79</v>
      </c>
      <c r="B32" s="191" t="s">
        <v>470</v>
      </c>
      <c r="C32" s="105" t="s">
        <v>54</v>
      </c>
      <c r="D32" s="106"/>
      <c r="E32" s="107"/>
      <c r="F32" s="108"/>
      <c r="G32" s="109">
        <v>43.22</v>
      </c>
      <c r="H32" s="108">
        <v>2417</v>
      </c>
      <c r="I32" s="109">
        <f t="shared" si="3"/>
        <v>104462.73999999999</v>
      </c>
      <c r="J32" s="109">
        <v>391</v>
      </c>
      <c r="K32" s="109">
        <f t="shared" si="4"/>
        <v>16899.02</v>
      </c>
      <c r="L32" s="110">
        <f t="shared" si="5"/>
        <v>121361.76</v>
      </c>
      <c r="M32" s="111"/>
      <c r="P32" s="464"/>
    </row>
    <row r="33" spans="1:16" s="16" customFormat="1" ht="18.899999999999999" customHeight="1">
      <c r="A33" s="188" t="s">
        <v>80</v>
      </c>
      <c r="B33" s="191" t="s">
        <v>183</v>
      </c>
      <c r="C33" s="105" t="s">
        <v>63</v>
      </c>
      <c r="D33" s="106">
        <v>0</v>
      </c>
      <c r="E33" s="107">
        <v>197</v>
      </c>
      <c r="F33" s="108"/>
      <c r="G33" s="109">
        <v>1063.6079999999999</v>
      </c>
      <c r="H33" s="108">
        <v>400</v>
      </c>
      <c r="I33" s="109">
        <f t="shared" si="3"/>
        <v>425443.19999999995</v>
      </c>
      <c r="J33" s="109">
        <v>0</v>
      </c>
      <c r="K33" s="109">
        <f t="shared" si="4"/>
        <v>0</v>
      </c>
      <c r="L33" s="110">
        <f t="shared" si="5"/>
        <v>425443.19999999995</v>
      </c>
      <c r="M33" s="111"/>
      <c r="O33" s="16">
        <v>1</v>
      </c>
      <c r="P33" s="464">
        <v>138.5</v>
      </c>
    </row>
    <row r="34" spans="1:16" s="16" customFormat="1" ht="18.899999999999999" customHeight="1">
      <c r="A34" s="188" t="s">
        <v>81</v>
      </c>
      <c r="B34" s="480" t="s">
        <v>466</v>
      </c>
      <c r="C34" s="105" t="s">
        <v>63</v>
      </c>
      <c r="D34" s="226"/>
      <c r="E34" s="227"/>
      <c r="F34" s="228"/>
      <c r="G34" s="229">
        <v>1519.44</v>
      </c>
      <c r="H34" s="228">
        <v>0</v>
      </c>
      <c r="I34" s="229">
        <f t="shared" si="3"/>
        <v>0</v>
      </c>
      <c r="J34" s="109">
        <v>105</v>
      </c>
      <c r="K34" s="109">
        <f>SUM(G34*J34)</f>
        <v>159541.20000000001</v>
      </c>
      <c r="L34" s="110">
        <f>SUM(I34+K34)</f>
        <v>159541.20000000001</v>
      </c>
      <c r="M34" s="230"/>
      <c r="P34" s="464"/>
    </row>
    <row r="35" spans="1:16" s="16" customFormat="1" ht="18.899999999999999" customHeight="1">
      <c r="A35" s="237" t="s">
        <v>82</v>
      </c>
      <c r="B35" s="191" t="s">
        <v>467</v>
      </c>
      <c r="C35" s="105" t="s">
        <v>63</v>
      </c>
      <c r="D35" s="106">
        <v>0</v>
      </c>
      <c r="E35" s="107">
        <v>423</v>
      </c>
      <c r="F35" s="108"/>
      <c r="G35" s="109">
        <f>G33*0.3</f>
        <v>319.08239999999995</v>
      </c>
      <c r="H35" s="108">
        <v>400</v>
      </c>
      <c r="I35" s="109">
        <f t="shared" si="3"/>
        <v>127632.95999999998</v>
      </c>
      <c r="J35" s="109">
        <v>0</v>
      </c>
      <c r="K35" s="109">
        <f>SUM(G35*J35)</f>
        <v>0</v>
      </c>
      <c r="L35" s="110">
        <f>SUM(I35+K35)</f>
        <v>127632.95999999998</v>
      </c>
      <c r="M35" s="230"/>
      <c r="P35" s="464"/>
    </row>
    <row r="36" spans="1:16" s="16" customFormat="1" ht="18.899999999999999" customHeight="1">
      <c r="A36" s="237" t="s">
        <v>83</v>
      </c>
      <c r="B36" s="198" t="s">
        <v>65</v>
      </c>
      <c r="C36" s="199"/>
      <c r="D36" s="265"/>
      <c r="E36" s="126"/>
      <c r="F36" s="126"/>
      <c r="G36" s="127"/>
      <c r="H36" s="127"/>
      <c r="I36" s="127"/>
      <c r="J36" s="127"/>
      <c r="K36" s="127"/>
      <c r="L36" s="200"/>
      <c r="M36" s="201"/>
      <c r="O36" s="16">
        <v>1</v>
      </c>
      <c r="P36" s="464"/>
    </row>
    <row r="37" spans="1:16" s="16" customFormat="1" ht="18.899999999999999" customHeight="1">
      <c r="A37" s="202"/>
      <c r="B37" s="203" t="s">
        <v>66</v>
      </c>
      <c r="C37" s="204" t="s">
        <v>67</v>
      </c>
      <c r="D37" s="205">
        <v>0.09</v>
      </c>
      <c r="E37" s="206">
        <v>473</v>
      </c>
      <c r="F37" s="207"/>
      <c r="G37" s="109">
        <v>1671.5787480000001</v>
      </c>
      <c r="H37" s="207">
        <v>18.37</v>
      </c>
      <c r="I37" s="208">
        <f>SUM(G37*H37)</f>
        <v>30706.901600760004</v>
      </c>
      <c r="J37" s="208">
        <v>4.0999999999999996</v>
      </c>
      <c r="K37" s="208">
        <f>SUM(G37*J37)</f>
        <v>6853.4728667999998</v>
      </c>
      <c r="L37" s="209">
        <f>SUM(I37+K37)</f>
        <v>37560.374467560003</v>
      </c>
      <c r="M37" s="210"/>
      <c r="O37" s="16">
        <v>1</v>
      </c>
      <c r="P37" s="464">
        <v>20</v>
      </c>
    </row>
    <row r="38" spans="1:16" s="16" customFormat="1" ht="18.899999999999999" customHeight="1">
      <c r="A38" s="193"/>
      <c r="B38" s="191" t="s">
        <v>68</v>
      </c>
      <c r="C38" s="105" t="s">
        <v>67</v>
      </c>
      <c r="D38" s="106">
        <v>0.1</v>
      </c>
      <c r="E38" s="107">
        <v>199</v>
      </c>
      <c r="F38" s="108"/>
      <c r="G38" s="109">
        <v>4786.8105931999999</v>
      </c>
      <c r="H38" s="108">
        <v>17.54</v>
      </c>
      <c r="I38" s="109">
        <f>SUM(G38*H38)</f>
        <v>83960.657804727991</v>
      </c>
      <c r="J38" s="109">
        <v>4.0999999999999996</v>
      </c>
      <c r="K38" s="109">
        <f>SUM(G38*J38)</f>
        <v>19625.923432119998</v>
      </c>
      <c r="L38" s="110">
        <f>SUM(I38+K38)</f>
        <v>103586.581236848</v>
      </c>
      <c r="M38" s="111"/>
      <c r="O38" s="16">
        <v>1</v>
      </c>
      <c r="P38" s="464">
        <v>1098</v>
      </c>
    </row>
    <row r="39" spans="1:16" s="16" customFormat="1" ht="18.899999999999999" customHeight="1">
      <c r="A39" s="193"/>
      <c r="B39" s="191" t="s">
        <v>154</v>
      </c>
      <c r="C39" s="105" t="s">
        <v>67</v>
      </c>
      <c r="D39" s="106">
        <v>0.11</v>
      </c>
      <c r="E39" s="107">
        <v>257</v>
      </c>
      <c r="F39" s="108"/>
      <c r="G39" s="109">
        <v>7579.0942967999999</v>
      </c>
      <c r="H39" s="108">
        <v>17.100000000000001</v>
      </c>
      <c r="I39" s="109">
        <f>SUM(G39*H39)</f>
        <v>129602.51247528</v>
      </c>
      <c r="J39" s="109">
        <v>3.3</v>
      </c>
      <c r="K39" s="109">
        <f>SUM(G39*J39)</f>
        <v>25011.01117944</v>
      </c>
      <c r="L39" s="110">
        <f>SUM(I39+K39)</f>
        <v>154613.52365471999</v>
      </c>
      <c r="M39" s="111"/>
      <c r="O39" s="16">
        <v>1</v>
      </c>
      <c r="P39" s="464">
        <v>586</v>
      </c>
    </row>
    <row r="40" spans="1:16" s="16" customFormat="1" ht="18.899999999999999" customHeight="1">
      <c r="A40" s="188" t="s">
        <v>84</v>
      </c>
      <c r="B40" s="191" t="s">
        <v>70</v>
      </c>
      <c r="C40" s="105" t="s">
        <v>67</v>
      </c>
      <c r="D40" s="106">
        <v>0</v>
      </c>
      <c r="E40" s="108">
        <v>89</v>
      </c>
      <c r="F40" s="108"/>
      <c r="G40" s="109">
        <v>421.12450913999999</v>
      </c>
      <c r="H40" s="108">
        <v>21.11</v>
      </c>
      <c r="I40" s="109">
        <f>SUM(G40*H40)</f>
        <v>8889.9383879453999</v>
      </c>
      <c r="J40" s="109">
        <v>0</v>
      </c>
      <c r="K40" s="109">
        <f>SUM(G40*J40)</f>
        <v>0</v>
      </c>
      <c r="L40" s="110">
        <f>SUM(I40+K40)</f>
        <v>8889.9383879453999</v>
      </c>
      <c r="M40" s="111"/>
      <c r="O40" s="16">
        <v>1</v>
      </c>
      <c r="P40" s="464">
        <v>60</v>
      </c>
    </row>
    <row r="41" spans="1:16" s="16" customFormat="1" ht="18.899999999999999" customHeight="1">
      <c r="A41" s="188" t="s">
        <v>471</v>
      </c>
      <c r="B41" s="190" t="s">
        <v>72</v>
      </c>
      <c r="C41" s="105" t="s">
        <v>67</v>
      </c>
      <c r="D41" s="106">
        <v>0</v>
      </c>
      <c r="E41" s="108">
        <v>59</v>
      </c>
      <c r="F41" s="108"/>
      <c r="G41" s="109">
        <v>379.86</v>
      </c>
      <c r="H41" s="108">
        <v>23.7</v>
      </c>
      <c r="I41" s="109">
        <f>SUM(G41*H41)</f>
        <v>9002.6820000000007</v>
      </c>
      <c r="J41" s="109">
        <v>0</v>
      </c>
      <c r="K41" s="109">
        <f>SUM(G41*J41)</f>
        <v>0</v>
      </c>
      <c r="L41" s="110">
        <f>SUM(I41+K41)</f>
        <v>9002.6820000000007</v>
      </c>
      <c r="M41" s="111"/>
      <c r="O41" s="16">
        <v>1</v>
      </c>
      <c r="P41" s="464">
        <v>55</v>
      </c>
    </row>
    <row r="42" spans="1:16" s="16" customFormat="1" ht="18.899999999999999" customHeight="1">
      <c r="A42" s="188" t="s">
        <v>472</v>
      </c>
      <c r="B42" s="189" t="s">
        <v>151</v>
      </c>
      <c r="C42" s="105"/>
      <c r="D42" s="106"/>
      <c r="E42" s="107"/>
      <c r="F42" s="108"/>
      <c r="G42" s="109"/>
      <c r="H42" s="109"/>
      <c r="I42" s="109"/>
      <c r="J42" s="109"/>
      <c r="K42" s="109"/>
      <c r="L42" s="110"/>
      <c r="M42" s="111"/>
      <c r="O42" s="16">
        <v>1</v>
      </c>
      <c r="P42" s="464"/>
    </row>
    <row r="43" spans="1:16" s="16" customFormat="1" ht="35.1" customHeight="1">
      <c r="A43" s="193"/>
      <c r="B43" s="196" t="s">
        <v>179</v>
      </c>
      <c r="C43" s="105" t="s">
        <v>63</v>
      </c>
      <c r="D43" s="106">
        <v>0</v>
      </c>
      <c r="E43" s="107">
        <v>108</v>
      </c>
      <c r="F43" s="108"/>
      <c r="G43" s="109">
        <v>414.4</v>
      </c>
      <c r="H43" s="108">
        <v>220</v>
      </c>
      <c r="I43" s="109">
        <f>SUM(G43*H43)</f>
        <v>91168</v>
      </c>
      <c r="J43" s="109">
        <v>60</v>
      </c>
      <c r="K43" s="109">
        <f>SUM(G43*J43)</f>
        <v>24864</v>
      </c>
      <c r="L43" s="110">
        <f>SUM(I43+K43)</f>
        <v>116032</v>
      </c>
      <c r="M43" s="111"/>
      <c r="O43" s="16">
        <v>1</v>
      </c>
      <c r="P43" s="464">
        <v>40</v>
      </c>
    </row>
    <row r="44" spans="1:16" s="16" customFormat="1" ht="18.899999999999999" customHeight="1">
      <c r="A44" s="193"/>
      <c r="B44" s="197" t="s">
        <v>153</v>
      </c>
      <c r="C44" s="105" t="s">
        <v>54</v>
      </c>
      <c r="D44" s="106">
        <v>0.05</v>
      </c>
      <c r="E44" s="107">
        <f>+E43*0.05</f>
        <v>5.4</v>
      </c>
      <c r="F44" s="108"/>
      <c r="G44" s="109">
        <v>20.72</v>
      </c>
      <c r="H44" s="108">
        <v>2259</v>
      </c>
      <c r="I44" s="109">
        <f>SUM(G44*H44)</f>
        <v>46806.479999999996</v>
      </c>
      <c r="J44" s="109">
        <v>391</v>
      </c>
      <c r="K44" s="109">
        <f>SUM(G44*J44)</f>
        <v>8101.5199999999995</v>
      </c>
      <c r="L44" s="110">
        <f>SUM(I44+K44)</f>
        <v>54907.999999999993</v>
      </c>
      <c r="M44" s="111"/>
      <c r="O44" s="16">
        <v>1</v>
      </c>
      <c r="P44" s="464">
        <v>2</v>
      </c>
    </row>
    <row r="45" spans="1:16" s="16" customFormat="1" ht="18.899999999999999" customHeight="1">
      <c r="A45" s="193"/>
      <c r="B45" s="191" t="s">
        <v>473</v>
      </c>
      <c r="C45" s="105" t="s">
        <v>67</v>
      </c>
      <c r="D45" s="106">
        <v>0.09</v>
      </c>
      <c r="E45" s="107">
        <v>473</v>
      </c>
      <c r="F45" s="108"/>
      <c r="G45" s="109">
        <v>1159.1596800000002</v>
      </c>
      <c r="H45" s="108">
        <v>18.37</v>
      </c>
      <c r="I45" s="109">
        <f>SUM(G45*H45)</f>
        <v>21293.763321600007</v>
      </c>
      <c r="J45" s="109">
        <v>4.0999999999999996</v>
      </c>
      <c r="K45" s="109">
        <f>SUM(G45*J45)</f>
        <v>4752.5546880000002</v>
      </c>
      <c r="L45" s="110">
        <f>SUM(I45+K45)</f>
        <v>26046.318009600007</v>
      </c>
      <c r="M45" s="111"/>
      <c r="O45" s="16">
        <v>1</v>
      </c>
      <c r="P45" s="464">
        <v>105</v>
      </c>
    </row>
    <row r="46" spans="1:16" s="16" customFormat="1" ht="18.899999999999999" customHeight="1">
      <c r="A46" s="193"/>
      <c r="B46" s="196" t="s">
        <v>182</v>
      </c>
      <c r="C46" s="105" t="s">
        <v>67</v>
      </c>
      <c r="D46" s="106">
        <v>0.09</v>
      </c>
      <c r="E46" s="107">
        <v>0</v>
      </c>
      <c r="F46" s="108"/>
      <c r="G46" s="109">
        <v>88.504236800000001</v>
      </c>
      <c r="H46" s="108">
        <v>17.54</v>
      </c>
      <c r="I46" s="109">
        <f>SUM(G46*H46)</f>
        <v>1552.364313472</v>
      </c>
      <c r="J46" s="109">
        <v>4.0999999999999996</v>
      </c>
      <c r="K46" s="109">
        <f>SUM(G46*J46)</f>
        <v>362.86737087999995</v>
      </c>
      <c r="L46" s="110">
        <f>SUM(I46+K46)</f>
        <v>1915.231684352</v>
      </c>
      <c r="M46" s="111"/>
      <c r="O46" s="16">
        <v>1</v>
      </c>
      <c r="P46" s="464">
        <v>10</v>
      </c>
    </row>
    <row r="47" spans="1:16" s="16" customFormat="1" ht="18.899999999999999" customHeight="1">
      <c r="A47" s="188" t="s">
        <v>474</v>
      </c>
      <c r="B47" s="190" t="s">
        <v>85</v>
      </c>
      <c r="C47" s="105" t="s">
        <v>63</v>
      </c>
      <c r="D47" s="106">
        <v>0</v>
      </c>
      <c r="E47" s="107">
        <v>310</v>
      </c>
      <c r="F47" s="108"/>
      <c r="G47" s="109">
        <v>560</v>
      </c>
      <c r="H47" s="108">
        <v>120</v>
      </c>
      <c r="I47" s="109">
        <f>SUM(G47*H47)</f>
        <v>67200</v>
      </c>
      <c r="J47" s="109">
        <v>0</v>
      </c>
      <c r="K47" s="109">
        <f>SUM(G47*J47)</f>
        <v>0</v>
      </c>
      <c r="L47" s="110">
        <f>SUM(I47+K47)</f>
        <v>67200</v>
      </c>
      <c r="M47" s="111"/>
      <c r="O47" s="16">
        <v>1</v>
      </c>
      <c r="P47" s="464">
        <v>112</v>
      </c>
    </row>
    <row r="48" spans="1:16" s="16" customFormat="1" ht="18.899999999999999" customHeight="1" thickBot="1">
      <c r="A48" s="194"/>
      <c r="B48" s="112"/>
      <c r="C48" s="113"/>
      <c r="D48" s="114"/>
      <c r="E48" s="115"/>
      <c r="F48" s="116"/>
      <c r="G48" s="117"/>
      <c r="H48" s="117"/>
      <c r="I48" s="117"/>
      <c r="J48" s="117"/>
      <c r="K48" s="117"/>
      <c r="L48" s="118"/>
      <c r="M48" s="119"/>
      <c r="O48" s="16">
        <v>1</v>
      </c>
      <c r="P48" s="464"/>
    </row>
    <row r="49" spans="1:16" s="16" customFormat="1" ht="20.100000000000001" customHeight="1" thickTop="1" thickBot="1">
      <c r="A49" s="194"/>
      <c r="B49" s="112"/>
      <c r="C49" s="113"/>
      <c r="D49" s="114"/>
      <c r="E49" s="115"/>
      <c r="F49" s="116"/>
      <c r="G49" s="117"/>
      <c r="H49" s="117"/>
      <c r="I49" s="117"/>
      <c r="J49" s="117"/>
      <c r="K49" s="117"/>
      <c r="L49" s="118"/>
      <c r="M49" s="119"/>
      <c r="O49" s="16">
        <v>1</v>
      </c>
      <c r="P49" s="464"/>
    </row>
    <row r="50" spans="1:16" s="1" customFormat="1" ht="18.899999999999999" customHeight="1" thickTop="1">
      <c r="A50" s="143" t="s">
        <v>12</v>
      </c>
      <c r="B50" s="166" t="s">
        <v>475</v>
      </c>
      <c r="C50" s="67"/>
      <c r="D50" s="68"/>
      <c r="E50" s="144"/>
      <c r="F50" s="69"/>
      <c r="G50" s="70"/>
      <c r="H50" s="70"/>
      <c r="I50" s="70"/>
      <c r="J50" s="70"/>
      <c r="K50" s="70"/>
      <c r="L50" s="71"/>
      <c r="M50" s="72"/>
      <c r="O50" s="16">
        <v>1</v>
      </c>
      <c r="P50" s="466"/>
    </row>
    <row r="51" spans="1:16" s="16" customFormat="1" ht="18.899999999999999" customHeight="1">
      <c r="A51" s="188" t="s">
        <v>476</v>
      </c>
      <c r="B51" s="211" t="s">
        <v>152</v>
      </c>
      <c r="C51" s="105"/>
      <c r="D51" s="106"/>
      <c r="E51" s="108"/>
      <c r="F51" s="108"/>
      <c r="G51" s="109"/>
      <c r="H51" s="109"/>
      <c r="I51" s="109"/>
      <c r="J51" s="109"/>
      <c r="K51" s="109"/>
      <c r="L51" s="110"/>
      <c r="M51" s="111"/>
      <c r="O51" s="16">
        <v>1</v>
      </c>
      <c r="P51" s="464"/>
    </row>
    <row r="52" spans="1:16" s="16" customFormat="1" ht="18.899999999999999" customHeight="1">
      <c r="A52" s="188"/>
      <c r="B52" s="482" t="s">
        <v>477</v>
      </c>
      <c r="C52" s="105" t="s">
        <v>67</v>
      </c>
      <c r="D52" s="106"/>
      <c r="E52" s="107"/>
      <c r="F52" s="108"/>
      <c r="G52" s="109">
        <v>4411.5679999999993</v>
      </c>
      <c r="H52" s="108">
        <v>18.100000000000001</v>
      </c>
      <c r="I52" s="109">
        <f>SUM(G52*H52)</f>
        <v>79849.380799999999</v>
      </c>
      <c r="J52" s="109">
        <v>14</v>
      </c>
      <c r="K52" s="109">
        <f>G52*J52</f>
        <v>61761.95199999999</v>
      </c>
      <c r="L52" s="110">
        <f>SUM(I52+K52)</f>
        <v>141611.33279999997</v>
      </c>
      <c r="M52" s="111"/>
      <c r="P52" s="464"/>
    </row>
    <row r="53" spans="1:16" s="16" customFormat="1" ht="18.899999999999999" customHeight="1">
      <c r="A53" s="188"/>
      <c r="B53" s="191" t="s">
        <v>478</v>
      </c>
      <c r="C53" s="105" t="s">
        <v>67</v>
      </c>
      <c r="D53" s="106">
        <v>7.0000000000000007E-2</v>
      </c>
      <c r="E53" s="107">
        <f>88.55*9.72</f>
        <v>860.70600000000002</v>
      </c>
      <c r="F53" s="108"/>
      <c r="G53" s="109">
        <v>2171.2400000000002</v>
      </c>
      <c r="H53" s="108">
        <v>18.100000000000001</v>
      </c>
      <c r="I53" s="109">
        <f>SUM(G53*H53)</f>
        <v>39299.44400000001</v>
      </c>
      <c r="J53" s="109">
        <v>14</v>
      </c>
      <c r="K53" s="109">
        <f>G53*J53</f>
        <v>30397.360000000004</v>
      </c>
      <c r="L53" s="110">
        <f>SUM(I53+K53)</f>
        <v>69696.804000000018</v>
      </c>
      <c r="M53" s="111"/>
      <c r="O53" s="16">
        <v>1</v>
      </c>
      <c r="P53" s="464">
        <v>441.4</v>
      </c>
    </row>
    <row r="54" spans="1:16" s="16" customFormat="1" ht="18.899999999999999" customHeight="1">
      <c r="A54" s="188"/>
      <c r="B54" s="212" t="s">
        <v>479</v>
      </c>
      <c r="C54" s="105" t="s">
        <v>67</v>
      </c>
      <c r="D54" s="106">
        <v>7.0000000000000007E-2</v>
      </c>
      <c r="E54" s="107">
        <v>8</v>
      </c>
      <c r="F54" s="108"/>
      <c r="G54" s="109">
        <v>1619.6959999999999</v>
      </c>
      <c r="H54" s="108">
        <v>18.100000000000001</v>
      </c>
      <c r="I54" s="109">
        <f>SUM(G54*H54)</f>
        <v>29316.497600000002</v>
      </c>
      <c r="J54" s="109">
        <v>14</v>
      </c>
      <c r="K54" s="109">
        <f>G54*J54</f>
        <v>22675.743999999999</v>
      </c>
      <c r="L54" s="110">
        <f>SUM(I54+K54)</f>
        <v>51992.241600000001</v>
      </c>
      <c r="M54" s="111"/>
      <c r="O54" s="16">
        <v>1</v>
      </c>
      <c r="P54" s="464">
        <v>105</v>
      </c>
    </row>
    <row r="55" spans="1:16" s="16" customFormat="1" ht="18.899999999999999" customHeight="1">
      <c r="A55" s="224"/>
      <c r="B55" s="212" t="s">
        <v>480</v>
      </c>
      <c r="C55" s="105" t="s">
        <v>63</v>
      </c>
      <c r="D55" s="106">
        <v>7.0000000000000007E-2</v>
      </c>
      <c r="E55" s="107">
        <v>30</v>
      </c>
      <c r="F55" s="108"/>
      <c r="G55" s="109">
        <v>419.6096</v>
      </c>
      <c r="H55" s="108">
        <v>56</v>
      </c>
      <c r="I55" s="109">
        <f>SUM(G55*H55)</f>
        <v>23498.137600000002</v>
      </c>
      <c r="J55" s="109">
        <v>35</v>
      </c>
      <c r="K55" s="109">
        <f>G55*J55</f>
        <v>14686.335999999999</v>
      </c>
      <c r="L55" s="110">
        <f>SUM(I55+K55)</f>
        <v>38184.473599999998</v>
      </c>
      <c r="M55" s="230"/>
      <c r="P55" s="464"/>
    </row>
    <row r="56" spans="1:16" s="16" customFormat="1" ht="18.899999999999999" customHeight="1" thickBot="1">
      <c r="A56" s="194"/>
      <c r="B56" s="112"/>
      <c r="C56" s="113"/>
      <c r="D56" s="114"/>
      <c r="E56" s="115"/>
      <c r="F56" s="116"/>
      <c r="G56" s="117"/>
      <c r="H56" s="117"/>
      <c r="I56" s="117"/>
      <c r="J56" s="117"/>
      <c r="K56" s="117"/>
      <c r="L56" s="118"/>
      <c r="M56" s="119"/>
      <c r="P56" s="464"/>
    </row>
    <row r="57" spans="1:16" s="1" customFormat="1" ht="20.100000000000001" customHeight="1" thickTop="1" thickBot="1">
      <c r="A57" s="31"/>
      <c r="B57" s="32" t="s">
        <v>86</v>
      </c>
      <c r="C57" s="32"/>
      <c r="D57" s="33"/>
      <c r="E57" s="34"/>
      <c r="F57" s="35"/>
      <c r="G57" s="36"/>
      <c r="H57" s="36"/>
      <c r="I57" s="36">
        <f>SUM(I10:I56)/2</f>
        <v>968094.08636575262</v>
      </c>
      <c r="J57" s="36"/>
      <c r="K57" s="36">
        <f>SUM(K10:K56)/2</f>
        <v>282333.10187861999</v>
      </c>
      <c r="L57" s="36">
        <f>SUM(L8:L56)</f>
        <v>2500854.3764887447</v>
      </c>
      <c r="M57" s="37"/>
    </row>
    <row r="58" spans="1:16" s="7" customFormat="1" ht="18" customHeight="1">
      <c r="D58" s="483"/>
      <c r="E58" s="484"/>
      <c r="F58" s="485"/>
      <c r="G58" s="486"/>
      <c r="H58" s="486"/>
      <c r="I58" s="486"/>
      <c r="J58" s="486"/>
      <c r="K58" s="486"/>
      <c r="L58" s="486"/>
    </row>
    <row r="59" spans="1:16" s="7" customFormat="1" ht="20.100000000000001" customHeight="1">
      <c r="B59" s="17"/>
      <c r="C59" s="487"/>
      <c r="D59" s="483"/>
      <c r="E59" s="488"/>
      <c r="F59" s="489"/>
      <c r="G59" s="486"/>
      <c r="H59" s="486"/>
      <c r="I59" s="486"/>
      <c r="J59" s="486"/>
      <c r="K59" s="486"/>
      <c r="L59" s="486"/>
    </row>
    <row r="60" spans="1:16" s="7" customFormat="1" ht="20.100000000000001" customHeight="1">
      <c r="B60" s="17"/>
      <c r="C60" s="490"/>
      <c r="D60" s="483"/>
      <c r="E60" s="484"/>
      <c r="F60" s="484"/>
      <c r="G60" s="486"/>
      <c r="H60" s="486"/>
      <c r="I60" s="486"/>
      <c r="J60" s="486"/>
      <c r="K60" s="486"/>
      <c r="L60" s="486"/>
    </row>
    <row r="61" spans="1:16" s="7" customFormat="1" ht="20.100000000000001" customHeight="1">
      <c r="B61" s="17"/>
      <c r="C61" s="490"/>
      <c r="D61" s="483"/>
      <c r="E61" s="484"/>
      <c r="F61" s="484"/>
      <c r="G61" s="486"/>
      <c r="H61" s="486"/>
      <c r="I61" s="486"/>
      <c r="J61" s="486"/>
      <c r="K61" s="486"/>
      <c r="L61" s="486"/>
    </row>
    <row r="62" spans="1:16" s="7" customFormat="1" ht="20.100000000000001" customHeight="1">
      <c r="B62" s="17"/>
      <c r="C62" s="490"/>
      <c r="D62" s="483"/>
      <c r="E62" s="484"/>
      <c r="F62" s="484"/>
      <c r="G62" s="486"/>
      <c r="H62" s="486"/>
      <c r="I62" s="486"/>
      <c r="J62" s="486"/>
      <c r="K62" s="486"/>
      <c r="L62" s="486"/>
    </row>
    <row r="63" spans="1:16" s="7" customFormat="1" ht="20.100000000000001" customHeight="1">
      <c r="B63" s="17"/>
      <c r="C63" s="490"/>
      <c r="D63" s="491"/>
      <c r="E63" s="484"/>
      <c r="F63" s="484"/>
      <c r="G63" s="486"/>
      <c r="H63" s="486"/>
      <c r="I63" s="486"/>
      <c r="J63" s="486"/>
      <c r="K63" s="486"/>
      <c r="L63" s="486"/>
    </row>
    <row r="64" spans="1:16" s="7" customFormat="1" ht="20.100000000000001" customHeight="1">
      <c r="B64" s="17"/>
      <c r="C64" s="490"/>
      <c r="D64" s="491"/>
      <c r="E64" s="484"/>
      <c r="F64" s="485"/>
      <c r="G64" s="486"/>
      <c r="H64" s="486"/>
      <c r="I64" s="486"/>
      <c r="J64" s="486"/>
      <c r="K64" s="486"/>
      <c r="L64" s="486"/>
    </row>
    <row r="65" spans="2:12" s="7" customFormat="1" ht="20.100000000000001" customHeight="1">
      <c r="B65" s="17"/>
      <c r="C65" s="490"/>
      <c r="D65" s="483"/>
      <c r="E65" s="484"/>
      <c r="F65" s="484"/>
      <c r="G65" s="486"/>
      <c r="H65" s="486"/>
      <c r="I65" s="486"/>
      <c r="J65" s="486"/>
      <c r="K65" s="486"/>
      <c r="L65" s="486"/>
    </row>
    <row r="66" spans="2:12" s="7" customFormat="1" ht="20.100000000000001" customHeight="1">
      <c r="B66" s="17"/>
      <c r="C66" s="490"/>
      <c r="D66" s="483"/>
      <c r="E66" s="484"/>
      <c r="F66" s="484"/>
      <c r="G66" s="486"/>
      <c r="H66" s="486"/>
      <c r="I66" s="486"/>
      <c r="J66" s="486"/>
      <c r="K66" s="486"/>
      <c r="L66" s="486"/>
    </row>
    <row r="67" spans="2:12" s="7" customFormat="1" ht="20.100000000000001" customHeight="1">
      <c r="B67" s="17"/>
      <c r="C67" s="490"/>
      <c r="D67" s="483"/>
      <c r="E67" s="484"/>
      <c r="F67" s="484"/>
      <c r="G67" s="486"/>
      <c r="H67" s="486"/>
      <c r="I67" s="486"/>
      <c r="J67" s="486"/>
      <c r="K67" s="486"/>
      <c r="L67" s="486"/>
    </row>
    <row r="68" spans="2:12" s="7" customFormat="1" ht="20.100000000000001" customHeight="1">
      <c r="B68" s="17"/>
      <c r="C68" s="490"/>
      <c r="D68" s="492"/>
      <c r="E68" s="484"/>
      <c r="F68" s="484"/>
      <c r="G68" s="486"/>
      <c r="H68" s="486"/>
      <c r="I68" s="486"/>
      <c r="J68" s="486"/>
      <c r="K68" s="486"/>
      <c r="L68" s="486"/>
    </row>
    <row r="69" spans="2:12" s="7" customFormat="1" ht="20.100000000000001" customHeight="1">
      <c r="B69" s="17"/>
      <c r="C69" s="18"/>
      <c r="D69" s="483"/>
      <c r="E69" s="484"/>
      <c r="F69" s="485"/>
      <c r="G69" s="486"/>
      <c r="H69" s="486"/>
      <c r="I69" s="486"/>
      <c r="J69" s="486"/>
      <c r="K69" s="486"/>
      <c r="L69" s="486"/>
    </row>
    <row r="370" spans="2:7">
      <c r="B370" s="5">
        <v>676.7</v>
      </c>
      <c r="G370" s="5" t="s">
        <v>180</v>
      </c>
    </row>
    <row r="372" spans="2:7">
      <c r="B372" s="5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75"/>
  <sheetViews>
    <sheetView view="pageBreakPreview" topLeftCell="A78" zoomScale="80" zoomScaleNormal="75" workbookViewId="0">
      <selection activeCell="L82" sqref="L82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8.77734375" style="5" customWidth="1"/>
    <col min="15" max="15" width="10.109375" style="412" customWidth="1"/>
    <col min="16" max="16" width="11.109375" style="412" customWidth="1"/>
    <col min="17" max="17" width="11.21875" style="409" bestFit="1" customWidth="1"/>
    <col min="18" max="18" width="11.33203125" style="409" customWidth="1"/>
    <col min="19" max="19" width="10.88671875" style="413" customWidth="1"/>
    <col min="20" max="20" width="10.6640625" style="413" bestFit="1" customWidth="1"/>
    <col min="21" max="21" width="11.21875" style="414" bestFit="1" customWidth="1"/>
    <col min="22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5546875" style="5" customWidth="1"/>
    <col min="269" max="269" width="20.88671875" style="5" customWidth="1"/>
    <col min="270" max="270" width="6.6640625" style="5" customWidth="1"/>
    <col min="271" max="271" width="7.44140625" style="5" customWidth="1"/>
    <col min="272" max="272" width="7.5546875" style="5" customWidth="1"/>
    <col min="273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5546875" style="5" customWidth="1"/>
    <col min="525" max="525" width="20.88671875" style="5" customWidth="1"/>
    <col min="526" max="526" width="6.6640625" style="5" customWidth="1"/>
    <col min="527" max="527" width="7.44140625" style="5" customWidth="1"/>
    <col min="528" max="528" width="7.5546875" style="5" customWidth="1"/>
    <col min="529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5546875" style="5" customWidth="1"/>
    <col min="781" max="781" width="20.88671875" style="5" customWidth="1"/>
    <col min="782" max="782" width="6.6640625" style="5" customWidth="1"/>
    <col min="783" max="783" width="7.44140625" style="5" customWidth="1"/>
    <col min="784" max="784" width="7.5546875" style="5" customWidth="1"/>
    <col min="785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5546875" style="5" customWidth="1"/>
    <col min="1037" max="1037" width="20.88671875" style="5" customWidth="1"/>
    <col min="1038" max="1038" width="6.6640625" style="5" customWidth="1"/>
    <col min="1039" max="1039" width="7.44140625" style="5" customWidth="1"/>
    <col min="1040" max="1040" width="7.5546875" style="5" customWidth="1"/>
    <col min="1041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5546875" style="5" customWidth="1"/>
    <col min="1293" max="1293" width="20.88671875" style="5" customWidth="1"/>
    <col min="1294" max="1294" width="6.6640625" style="5" customWidth="1"/>
    <col min="1295" max="1295" width="7.44140625" style="5" customWidth="1"/>
    <col min="1296" max="1296" width="7.5546875" style="5" customWidth="1"/>
    <col min="1297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5546875" style="5" customWidth="1"/>
    <col min="1549" max="1549" width="20.88671875" style="5" customWidth="1"/>
    <col min="1550" max="1550" width="6.6640625" style="5" customWidth="1"/>
    <col min="1551" max="1551" width="7.44140625" style="5" customWidth="1"/>
    <col min="1552" max="1552" width="7.5546875" style="5" customWidth="1"/>
    <col min="1553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5546875" style="5" customWidth="1"/>
    <col min="1805" max="1805" width="20.88671875" style="5" customWidth="1"/>
    <col min="1806" max="1806" width="6.6640625" style="5" customWidth="1"/>
    <col min="1807" max="1807" width="7.44140625" style="5" customWidth="1"/>
    <col min="1808" max="1808" width="7.5546875" style="5" customWidth="1"/>
    <col min="1809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5546875" style="5" customWidth="1"/>
    <col min="2061" max="2061" width="20.88671875" style="5" customWidth="1"/>
    <col min="2062" max="2062" width="6.6640625" style="5" customWidth="1"/>
    <col min="2063" max="2063" width="7.44140625" style="5" customWidth="1"/>
    <col min="2064" max="2064" width="7.5546875" style="5" customWidth="1"/>
    <col min="2065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5546875" style="5" customWidth="1"/>
    <col min="2317" max="2317" width="20.88671875" style="5" customWidth="1"/>
    <col min="2318" max="2318" width="6.6640625" style="5" customWidth="1"/>
    <col min="2319" max="2319" width="7.44140625" style="5" customWidth="1"/>
    <col min="2320" max="2320" width="7.5546875" style="5" customWidth="1"/>
    <col min="2321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5546875" style="5" customWidth="1"/>
    <col min="2573" max="2573" width="20.88671875" style="5" customWidth="1"/>
    <col min="2574" max="2574" width="6.6640625" style="5" customWidth="1"/>
    <col min="2575" max="2575" width="7.44140625" style="5" customWidth="1"/>
    <col min="2576" max="2576" width="7.5546875" style="5" customWidth="1"/>
    <col min="2577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5546875" style="5" customWidth="1"/>
    <col min="2829" max="2829" width="20.88671875" style="5" customWidth="1"/>
    <col min="2830" max="2830" width="6.6640625" style="5" customWidth="1"/>
    <col min="2831" max="2831" width="7.44140625" style="5" customWidth="1"/>
    <col min="2832" max="2832" width="7.5546875" style="5" customWidth="1"/>
    <col min="2833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5546875" style="5" customWidth="1"/>
    <col min="3085" max="3085" width="20.88671875" style="5" customWidth="1"/>
    <col min="3086" max="3086" width="6.6640625" style="5" customWidth="1"/>
    <col min="3087" max="3087" width="7.44140625" style="5" customWidth="1"/>
    <col min="3088" max="3088" width="7.5546875" style="5" customWidth="1"/>
    <col min="3089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5546875" style="5" customWidth="1"/>
    <col min="3341" max="3341" width="20.88671875" style="5" customWidth="1"/>
    <col min="3342" max="3342" width="6.6640625" style="5" customWidth="1"/>
    <col min="3343" max="3343" width="7.44140625" style="5" customWidth="1"/>
    <col min="3344" max="3344" width="7.5546875" style="5" customWidth="1"/>
    <col min="3345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5546875" style="5" customWidth="1"/>
    <col min="3597" max="3597" width="20.88671875" style="5" customWidth="1"/>
    <col min="3598" max="3598" width="6.6640625" style="5" customWidth="1"/>
    <col min="3599" max="3599" width="7.44140625" style="5" customWidth="1"/>
    <col min="3600" max="3600" width="7.5546875" style="5" customWidth="1"/>
    <col min="3601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5546875" style="5" customWidth="1"/>
    <col min="3853" max="3853" width="20.88671875" style="5" customWidth="1"/>
    <col min="3854" max="3854" width="6.6640625" style="5" customWidth="1"/>
    <col min="3855" max="3855" width="7.44140625" style="5" customWidth="1"/>
    <col min="3856" max="3856" width="7.5546875" style="5" customWidth="1"/>
    <col min="3857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5546875" style="5" customWidth="1"/>
    <col min="4109" max="4109" width="20.88671875" style="5" customWidth="1"/>
    <col min="4110" max="4110" width="6.6640625" style="5" customWidth="1"/>
    <col min="4111" max="4111" width="7.44140625" style="5" customWidth="1"/>
    <col min="4112" max="4112" width="7.5546875" style="5" customWidth="1"/>
    <col min="4113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5546875" style="5" customWidth="1"/>
    <col min="4365" max="4365" width="20.88671875" style="5" customWidth="1"/>
    <col min="4366" max="4366" width="6.6640625" style="5" customWidth="1"/>
    <col min="4367" max="4367" width="7.44140625" style="5" customWidth="1"/>
    <col min="4368" max="4368" width="7.5546875" style="5" customWidth="1"/>
    <col min="4369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5546875" style="5" customWidth="1"/>
    <col min="4621" max="4621" width="20.88671875" style="5" customWidth="1"/>
    <col min="4622" max="4622" width="6.6640625" style="5" customWidth="1"/>
    <col min="4623" max="4623" width="7.44140625" style="5" customWidth="1"/>
    <col min="4624" max="4624" width="7.5546875" style="5" customWidth="1"/>
    <col min="4625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5546875" style="5" customWidth="1"/>
    <col min="4877" max="4877" width="20.88671875" style="5" customWidth="1"/>
    <col min="4878" max="4878" width="6.6640625" style="5" customWidth="1"/>
    <col min="4879" max="4879" width="7.44140625" style="5" customWidth="1"/>
    <col min="4880" max="4880" width="7.5546875" style="5" customWidth="1"/>
    <col min="4881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5546875" style="5" customWidth="1"/>
    <col min="5133" max="5133" width="20.88671875" style="5" customWidth="1"/>
    <col min="5134" max="5134" width="6.6640625" style="5" customWidth="1"/>
    <col min="5135" max="5135" width="7.44140625" style="5" customWidth="1"/>
    <col min="5136" max="5136" width="7.5546875" style="5" customWidth="1"/>
    <col min="5137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5546875" style="5" customWidth="1"/>
    <col min="5389" max="5389" width="20.88671875" style="5" customWidth="1"/>
    <col min="5390" max="5390" width="6.6640625" style="5" customWidth="1"/>
    <col min="5391" max="5391" width="7.44140625" style="5" customWidth="1"/>
    <col min="5392" max="5392" width="7.5546875" style="5" customWidth="1"/>
    <col min="5393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5546875" style="5" customWidth="1"/>
    <col min="5645" max="5645" width="20.88671875" style="5" customWidth="1"/>
    <col min="5646" max="5646" width="6.6640625" style="5" customWidth="1"/>
    <col min="5647" max="5647" width="7.44140625" style="5" customWidth="1"/>
    <col min="5648" max="5648" width="7.5546875" style="5" customWidth="1"/>
    <col min="5649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5546875" style="5" customWidth="1"/>
    <col min="5901" max="5901" width="20.88671875" style="5" customWidth="1"/>
    <col min="5902" max="5902" width="6.6640625" style="5" customWidth="1"/>
    <col min="5903" max="5903" width="7.44140625" style="5" customWidth="1"/>
    <col min="5904" max="5904" width="7.5546875" style="5" customWidth="1"/>
    <col min="5905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5546875" style="5" customWidth="1"/>
    <col min="6157" max="6157" width="20.88671875" style="5" customWidth="1"/>
    <col min="6158" max="6158" width="6.6640625" style="5" customWidth="1"/>
    <col min="6159" max="6159" width="7.44140625" style="5" customWidth="1"/>
    <col min="6160" max="6160" width="7.5546875" style="5" customWidth="1"/>
    <col min="6161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5546875" style="5" customWidth="1"/>
    <col min="6413" max="6413" width="20.88671875" style="5" customWidth="1"/>
    <col min="6414" max="6414" width="6.6640625" style="5" customWidth="1"/>
    <col min="6415" max="6415" width="7.44140625" style="5" customWidth="1"/>
    <col min="6416" max="6416" width="7.5546875" style="5" customWidth="1"/>
    <col min="6417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5546875" style="5" customWidth="1"/>
    <col min="6669" max="6669" width="20.88671875" style="5" customWidth="1"/>
    <col min="6670" max="6670" width="6.6640625" style="5" customWidth="1"/>
    <col min="6671" max="6671" width="7.44140625" style="5" customWidth="1"/>
    <col min="6672" max="6672" width="7.5546875" style="5" customWidth="1"/>
    <col min="6673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5546875" style="5" customWidth="1"/>
    <col min="6925" max="6925" width="20.88671875" style="5" customWidth="1"/>
    <col min="6926" max="6926" width="6.6640625" style="5" customWidth="1"/>
    <col min="6927" max="6927" width="7.44140625" style="5" customWidth="1"/>
    <col min="6928" max="6928" width="7.5546875" style="5" customWidth="1"/>
    <col min="6929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5546875" style="5" customWidth="1"/>
    <col min="7181" max="7181" width="20.88671875" style="5" customWidth="1"/>
    <col min="7182" max="7182" width="6.6640625" style="5" customWidth="1"/>
    <col min="7183" max="7183" width="7.44140625" style="5" customWidth="1"/>
    <col min="7184" max="7184" width="7.5546875" style="5" customWidth="1"/>
    <col min="7185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5546875" style="5" customWidth="1"/>
    <col min="7437" max="7437" width="20.88671875" style="5" customWidth="1"/>
    <col min="7438" max="7438" width="6.6640625" style="5" customWidth="1"/>
    <col min="7439" max="7439" width="7.44140625" style="5" customWidth="1"/>
    <col min="7440" max="7440" width="7.5546875" style="5" customWidth="1"/>
    <col min="7441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5546875" style="5" customWidth="1"/>
    <col min="7693" max="7693" width="20.88671875" style="5" customWidth="1"/>
    <col min="7694" max="7694" width="6.6640625" style="5" customWidth="1"/>
    <col min="7695" max="7695" width="7.44140625" style="5" customWidth="1"/>
    <col min="7696" max="7696" width="7.5546875" style="5" customWidth="1"/>
    <col min="7697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5546875" style="5" customWidth="1"/>
    <col min="7949" max="7949" width="20.88671875" style="5" customWidth="1"/>
    <col min="7950" max="7950" width="6.6640625" style="5" customWidth="1"/>
    <col min="7951" max="7951" width="7.44140625" style="5" customWidth="1"/>
    <col min="7952" max="7952" width="7.5546875" style="5" customWidth="1"/>
    <col min="7953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5546875" style="5" customWidth="1"/>
    <col min="8205" max="8205" width="20.88671875" style="5" customWidth="1"/>
    <col min="8206" max="8206" width="6.6640625" style="5" customWidth="1"/>
    <col min="8207" max="8207" width="7.44140625" style="5" customWidth="1"/>
    <col min="8208" max="8208" width="7.5546875" style="5" customWidth="1"/>
    <col min="8209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5546875" style="5" customWidth="1"/>
    <col min="8461" max="8461" width="20.88671875" style="5" customWidth="1"/>
    <col min="8462" max="8462" width="6.6640625" style="5" customWidth="1"/>
    <col min="8463" max="8463" width="7.44140625" style="5" customWidth="1"/>
    <col min="8464" max="8464" width="7.5546875" style="5" customWidth="1"/>
    <col min="8465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5546875" style="5" customWidth="1"/>
    <col min="8717" max="8717" width="20.88671875" style="5" customWidth="1"/>
    <col min="8718" max="8718" width="6.6640625" style="5" customWidth="1"/>
    <col min="8719" max="8719" width="7.44140625" style="5" customWidth="1"/>
    <col min="8720" max="8720" width="7.5546875" style="5" customWidth="1"/>
    <col min="8721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5546875" style="5" customWidth="1"/>
    <col min="8973" max="8973" width="20.88671875" style="5" customWidth="1"/>
    <col min="8974" max="8974" width="6.6640625" style="5" customWidth="1"/>
    <col min="8975" max="8975" width="7.44140625" style="5" customWidth="1"/>
    <col min="8976" max="8976" width="7.5546875" style="5" customWidth="1"/>
    <col min="8977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5546875" style="5" customWidth="1"/>
    <col min="9229" max="9229" width="20.88671875" style="5" customWidth="1"/>
    <col min="9230" max="9230" width="6.6640625" style="5" customWidth="1"/>
    <col min="9231" max="9231" width="7.44140625" style="5" customWidth="1"/>
    <col min="9232" max="9232" width="7.5546875" style="5" customWidth="1"/>
    <col min="9233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5546875" style="5" customWidth="1"/>
    <col min="9485" max="9485" width="20.88671875" style="5" customWidth="1"/>
    <col min="9486" max="9486" width="6.6640625" style="5" customWidth="1"/>
    <col min="9487" max="9487" width="7.44140625" style="5" customWidth="1"/>
    <col min="9488" max="9488" width="7.5546875" style="5" customWidth="1"/>
    <col min="9489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5546875" style="5" customWidth="1"/>
    <col min="9741" max="9741" width="20.88671875" style="5" customWidth="1"/>
    <col min="9742" max="9742" width="6.6640625" style="5" customWidth="1"/>
    <col min="9743" max="9743" width="7.44140625" style="5" customWidth="1"/>
    <col min="9744" max="9744" width="7.5546875" style="5" customWidth="1"/>
    <col min="9745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5546875" style="5" customWidth="1"/>
    <col min="9997" max="9997" width="20.88671875" style="5" customWidth="1"/>
    <col min="9998" max="9998" width="6.6640625" style="5" customWidth="1"/>
    <col min="9999" max="9999" width="7.44140625" style="5" customWidth="1"/>
    <col min="10000" max="10000" width="7.5546875" style="5" customWidth="1"/>
    <col min="10001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5546875" style="5" customWidth="1"/>
    <col min="10253" max="10253" width="20.88671875" style="5" customWidth="1"/>
    <col min="10254" max="10254" width="6.6640625" style="5" customWidth="1"/>
    <col min="10255" max="10255" width="7.44140625" style="5" customWidth="1"/>
    <col min="10256" max="10256" width="7.5546875" style="5" customWidth="1"/>
    <col min="10257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5546875" style="5" customWidth="1"/>
    <col min="10509" max="10509" width="20.88671875" style="5" customWidth="1"/>
    <col min="10510" max="10510" width="6.6640625" style="5" customWidth="1"/>
    <col min="10511" max="10511" width="7.44140625" style="5" customWidth="1"/>
    <col min="10512" max="10512" width="7.5546875" style="5" customWidth="1"/>
    <col min="10513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5546875" style="5" customWidth="1"/>
    <col min="10765" max="10765" width="20.88671875" style="5" customWidth="1"/>
    <col min="10766" max="10766" width="6.6640625" style="5" customWidth="1"/>
    <col min="10767" max="10767" width="7.44140625" style="5" customWidth="1"/>
    <col min="10768" max="10768" width="7.5546875" style="5" customWidth="1"/>
    <col min="10769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5546875" style="5" customWidth="1"/>
    <col min="11021" max="11021" width="20.88671875" style="5" customWidth="1"/>
    <col min="11022" max="11022" width="6.6640625" style="5" customWidth="1"/>
    <col min="11023" max="11023" width="7.44140625" style="5" customWidth="1"/>
    <col min="11024" max="11024" width="7.5546875" style="5" customWidth="1"/>
    <col min="11025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5546875" style="5" customWidth="1"/>
    <col min="11277" max="11277" width="20.88671875" style="5" customWidth="1"/>
    <col min="11278" max="11278" width="6.6640625" style="5" customWidth="1"/>
    <col min="11279" max="11279" width="7.44140625" style="5" customWidth="1"/>
    <col min="11280" max="11280" width="7.5546875" style="5" customWidth="1"/>
    <col min="11281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5546875" style="5" customWidth="1"/>
    <col min="11533" max="11533" width="20.88671875" style="5" customWidth="1"/>
    <col min="11534" max="11534" width="6.6640625" style="5" customWidth="1"/>
    <col min="11535" max="11535" width="7.44140625" style="5" customWidth="1"/>
    <col min="11536" max="11536" width="7.5546875" style="5" customWidth="1"/>
    <col min="11537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5546875" style="5" customWidth="1"/>
    <col min="11789" max="11789" width="20.88671875" style="5" customWidth="1"/>
    <col min="11790" max="11790" width="6.6640625" style="5" customWidth="1"/>
    <col min="11791" max="11791" width="7.44140625" style="5" customWidth="1"/>
    <col min="11792" max="11792" width="7.5546875" style="5" customWidth="1"/>
    <col min="11793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5546875" style="5" customWidth="1"/>
    <col min="12045" max="12045" width="20.88671875" style="5" customWidth="1"/>
    <col min="12046" max="12046" width="6.6640625" style="5" customWidth="1"/>
    <col min="12047" max="12047" width="7.44140625" style="5" customWidth="1"/>
    <col min="12048" max="12048" width="7.5546875" style="5" customWidth="1"/>
    <col min="12049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5546875" style="5" customWidth="1"/>
    <col min="12301" max="12301" width="20.88671875" style="5" customWidth="1"/>
    <col min="12302" max="12302" width="6.6640625" style="5" customWidth="1"/>
    <col min="12303" max="12303" width="7.44140625" style="5" customWidth="1"/>
    <col min="12304" max="12304" width="7.5546875" style="5" customWidth="1"/>
    <col min="12305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5546875" style="5" customWidth="1"/>
    <col min="12557" max="12557" width="20.88671875" style="5" customWidth="1"/>
    <col min="12558" max="12558" width="6.6640625" style="5" customWidth="1"/>
    <col min="12559" max="12559" width="7.44140625" style="5" customWidth="1"/>
    <col min="12560" max="12560" width="7.5546875" style="5" customWidth="1"/>
    <col min="12561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5546875" style="5" customWidth="1"/>
    <col min="12813" max="12813" width="20.88671875" style="5" customWidth="1"/>
    <col min="12814" max="12814" width="6.6640625" style="5" customWidth="1"/>
    <col min="12815" max="12815" width="7.44140625" style="5" customWidth="1"/>
    <col min="12816" max="12816" width="7.5546875" style="5" customWidth="1"/>
    <col min="12817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5546875" style="5" customWidth="1"/>
    <col min="13069" max="13069" width="20.88671875" style="5" customWidth="1"/>
    <col min="13070" max="13070" width="6.6640625" style="5" customWidth="1"/>
    <col min="13071" max="13071" width="7.44140625" style="5" customWidth="1"/>
    <col min="13072" max="13072" width="7.5546875" style="5" customWidth="1"/>
    <col min="13073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5546875" style="5" customWidth="1"/>
    <col min="13325" max="13325" width="20.88671875" style="5" customWidth="1"/>
    <col min="13326" max="13326" width="6.6640625" style="5" customWidth="1"/>
    <col min="13327" max="13327" width="7.44140625" style="5" customWidth="1"/>
    <col min="13328" max="13328" width="7.5546875" style="5" customWidth="1"/>
    <col min="13329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5546875" style="5" customWidth="1"/>
    <col min="13581" max="13581" width="20.88671875" style="5" customWidth="1"/>
    <col min="13582" max="13582" width="6.6640625" style="5" customWidth="1"/>
    <col min="13583" max="13583" width="7.44140625" style="5" customWidth="1"/>
    <col min="13584" max="13584" width="7.5546875" style="5" customWidth="1"/>
    <col min="13585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5546875" style="5" customWidth="1"/>
    <col min="13837" max="13837" width="20.88671875" style="5" customWidth="1"/>
    <col min="13838" max="13838" width="6.6640625" style="5" customWidth="1"/>
    <col min="13839" max="13839" width="7.44140625" style="5" customWidth="1"/>
    <col min="13840" max="13840" width="7.5546875" style="5" customWidth="1"/>
    <col min="13841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5546875" style="5" customWidth="1"/>
    <col min="14093" max="14093" width="20.88671875" style="5" customWidth="1"/>
    <col min="14094" max="14094" width="6.6640625" style="5" customWidth="1"/>
    <col min="14095" max="14095" width="7.44140625" style="5" customWidth="1"/>
    <col min="14096" max="14096" width="7.5546875" style="5" customWidth="1"/>
    <col min="14097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5546875" style="5" customWidth="1"/>
    <col min="14349" max="14349" width="20.88671875" style="5" customWidth="1"/>
    <col min="14350" max="14350" width="6.6640625" style="5" customWidth="1"/>
    <col min="14351" max="14351" width="7.44140625" style="5" customWidth="1"/>
    <col min="14352" max="14352" width="7.5546875" style="5" customWidth="1"/>
    <col min="14353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5546875" style="5" customWidth="1"/>
    <col min="14605" max="14605" width="20.88671875" style="5" customWidth="1"/>
    <col min="14606" max="14606" width="6.6640625" style="5" customWidth="1"/>
    <col min="14607" max="14607" width="7.44140625" style="5" customWidth="1"/>
    <col min="14608" max="14608" width="7.5546875" style="5" customWidth="1"/>
    <col min="14609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5546875" style="5" customWidth="1"/>
    <col min="14861" max="14861" width="20.88671875" style="5" customWidth="1"/>
    <col min="14862" max="14862" width="6.6640625" style="5" customWidth="1"/>
    <col min="14863" max="14863" width="7.44140625" style="5" customWidth="1"/>
    <col min="14864" max="14864" width="7.5546875" style="5" customWidth="1"/>
    <col min="14865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5546875" style="5" customWidth="1"/>
    <col min="15117" max="15117" width="20.88671875" style="5" customWidth="1"/>
    <col min="15118" max="15118" width="6.6640625" style="5" customWidth="1"/>
    <col min="15119" max="15119" width="7.44140625" style="5" customWidth="1"/>
    <col min="15120" max="15120" width="7.5546875" style="5" customWidth="1"/>
    <col min="15121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5546875" style="5" customWidth="1"/>
    <col min="15373" max="15373" width="20.88671875" style="5" customWidth="1"/>
    <col min="15374" max="15374" width="6.6640625" style="5" customWidth="1"/>
    <col min="15375" max="15375" width="7.44140625" style="5" customWidth="1"/>
    <col min="15376" max="15376" width="7.5546875" style="5" customWidth="1"/>
    <col min="15377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5546875" style="5" customWidth="1"/>
    <col min="15629" max="15629" width="20.88671875" style="5" customWidth="1"/>
    <col min="15630" max="15630" width="6.6640625" style="5" customWidth="1"/>
    <col min="15631" max="15631" width="7.44140625" style="5" customWidth="1"/>
    <col min="15632" max="15632" width="7.5546875" style="5" customWidth="1"/>
    <col min="15633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5546875" style="5" customWidth="1"/>
    <col min="15885" max="15885" width="20.88671875" style="5" customWidth="1"/>
    <col min="15886" max="15886" width="6.6640625" style="5" customWidth="1"/>
    <col min="15887" max="15887" width="7.44140625" style="5" customWidth="1"/>
    <col min="15888" max="15888" width="7.5546875" style="5" customWidth="1"/>
    <col min="15889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5546875" style="5" customWidth="1"/>
    <col min="16141" max="16141" width="20.88671875" style="5" customWidth="1"/>
    <col min="16142" max="16142" width="6.6640625" style="5" customWidth="1"/>
    <col min="16143" max="16143" width="7.44140625" style="5" customWidth="1"/>
    <col min="16144" max="16144" width="7.5546875" style="5" customWidth="1"/>
    <col min="16145" max="16384" width="9.109375" style="5"/>
  </cols>
  <sheetData>
    <row r="1" spans="1:21" s="1" customFormat="1" ht="20.100000000000001" customHeight="1">
      <c r="A1" s="184" t="s">
        <v>36</v>
      </c>
      <c r="B1" s="213"/>
      <c r="C1" s="213"/>
      <c r="D1" s="214"/>
      <c r="E1" s="215"/>
      <c r="F1" s="215"/>
      <c r="G1" s="215"/>
      <c r="H1" s="216"/>
      <c r="I1" s="215"/>
      <c r="J1" s="215"/>
      <c r="K1" s="215"/>
      <c r="L1" s="216"/>
      <c r="M1" s="217"/>
      <c r="O1" s="393"/>
      <c r="P1" s="393"/>
      <c r="Q1" s="393"/>
      <c r="R1" s="393"/>
      <c r="S1" s="394"/>
      <c r="T1" s="394"/>
      <c r="U1" s="394"/>
    </row>
    <row r="2" spans="1:21" s="1" customFormat="1" ht="20.100000000000001" customHeight="1">
      <c r="A2" s="185" t="s">
        <v>45</v>
      </c>
      <c r="B2" s="218"/>
      <c r="C2" s="218"/>
      <c r="D2" s="219"/>
      <c r="E2" s="220"/>
      <c r="F2" s="220"/>
      <c r="G2" s="220"/>
      <c r="H2" s="221"/>
      <c r="I2" s="220"/>
      <c r="J2" s="220"/>
      <c r="K2" s="220"/>
      <c r="L2" s="221"/>
      <c r="M2" s="222"/>
      <c r="O2" s="393"/>
      <c r="P2" s="393"/>
      <c r="Q2" s="393"/>
      <c r="R2" s="393"/>
      <c r="S2" s="394"/>
      <c r="T2" s="394"/>
      <c r="U2" s="394"/>
    </row>
    <row r="3" spans="1:21" s="1" customFormat="1" ht="20.100000000000001" customHeight="1">
      <c r="A3" s="129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0"/>
      <c r="C3" s="131"/>
      <c r="D3" s="164"/>
      <c r="E3" s="132"/>
      <c r="F3" s="132"/>
      <c r="G3" s="132"/>
      <c r="H3" s="133"/>
      <c r="I3" s="133"/>
      <c r="J3" s="165"/>
      <c r="K3" s="165"/>
      <c r="L3" s="135"/>
      <c r="M3" s="136" t="str">
        <f>'[1]cover '!D2</f>
        <v xml:space="preserve">จัดทำโดย คณะสถาปัตยกรรมศาสตร์ 
</v>
      </c>
      <c r="O3" s="393"/>
      <c r="P3" s="393"/>
      <c r="Q3" s="393"/>
      <c r="R3" s="393"/>
      <c r="S3" s="394"/>
      <c r="T3" s="394"/>
      <c r="U3" s="394"/>
    </row>
    <row r="4" spans="1:21" s="1" customFormat="1" ht="20.100000000000001" customHeight="1">
      <c r="A4" s="129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1"/>
      <c r="C4" s="131"/>
      <c r="D4" s="164"/>
      <c r="E4" s="132"/>
      <c r="F4" s="132"/>
      <c r="G4" s="132"/>
      <c r="H4" s="133"/>
      <c r="I4" s="133"/>
      <c r="J4" s="433" t="s">
        <v>230</v>
      </c>
      <c r="K4" s="433"/>
      <c r="L4" s="433"/>
      <c r="M4" s="434"/>
      <c r="O4" s="393"/>
      <c r="P4" s="393"/>
      <c r="Q4" s="393"/>
      <c r="R4" s="393"/>
      <c r="S4" s="394"/>
      <c r="T4" s="394"/>
      <c r="U4" s="394"/>
    </row>
    <row r="5" spans="1:21" s="1" customFormat="1" ht="20.100000000000001" customHeight="1" thickBot="1">
      <c r="A5" s="129" t="s">
        <v>459</v>
      </c>
      <c r="B5" s="131"/>
      <c r="C5" s="131"/>
      <c r="D5" s="164"/>
      <c r="E5" s="132"/>
      <c r="F5" s="132"/>
      <c r="G5" s="132"/>
      <c r="H5" s="133"/>
      <c r="I5" s="133"/>
      <c r="J5" s="134"/>
      <c r="K5" s="134"/>
      <c r="L5" s="132"/>
      <c r="M5" s="136"/>
      <c r="O5" s="393"/>
      <c r="P5" s="393"/>
      <c r="Q5" s="393"/>
      <c r="R5" s="393"/>
      <c r="S5" s="394"/>
      <c r="T5" s="394"/>
      <c r="U5" s="394"/>
    </row>
    <row r="6" spans="1:21" s="19" customFormat="1" ht="20.100000000000001" customHeight="1">
      <c r="A6" s="455" t="s">
        <v>2</v>
      </c>
      <c r="B6" s="457" t="s">
        <v>3</v>
      </c>
      <c r="C6" s="457" t="s">
        <v>37</v>
      </c>
      <c r="D6" s="24" t="s">
        <v>46</v>
      </c>
      <c r="E6" s="349" t="s">
        <v>38</v>
      </c>
      <c r="F6" s="349" t="s">
        <v>38</v>
      </c>
      <c r="G6" s="459" t="s">
        <v>38</v>
      </c>
      <c r="H6" s="451" t="s">
        <v>39</v>
      </c>
      <c r="I6" s="452"/>
      <c r="J6" s="453" t="s">
        <v>40</v>
      </c>
      <c r="K6" s="454"/>
      <c r="L6" s="25" t="s">
        <v>5</v>
      </c>
      <c r="M6" s="449" t="s">
        <v>41</v>
      </c>
      <c r="O6" s="395"/>
      <c r="P6" s="395"/>
      <c r="Q6" s="396"/>
      <c r="R6" s="396"/>
      <c r="S6" s="397"/>
      <c r="T6" s="397"/>
      <c r="U6" s="398"/>
    </row>
    <row r="7" spans="1:21" s="19" customFormat="1" ht="20.100000000000001" customHeight="1" thickBot="1">
      <c r="A7" s="456"/>
      <c r="B7" s="458"/>
      <c r="C7" s="458"/>
      <c r="D7" s="26" t="s">
        <v>47</v>
      </c>
      <c r="E7" s="350"/>
      <c r="F7" s="350"/>
      <c r="G7" s="460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450"/>
      <c r="O7" s="395"/>
      <c r="P7" s="395"/>
      <c r="Q7" s="396"/>
      <c r="R7" s="396"/>
      <c r="S7" s="397"/>
      <c r="T7" s="397"/>
      <c r="U7" s="398"/>
    </row>
    <row r="8" spans="1:21" s="1" customFormat="1" ht="20.100000000000001" customHeight="1">
      <c r="A8" s="167" t="s">
        <v>88</v>
      </c>
      <c r="B8" s="168" t="s">
        <v>156</v>
      </c>
      <c r="C8" s="169"/>
      <c r="D8" s="170"/>
      <c r="E8" s="171"/>
      <c r="F8" s="172"/>
      <c r="G8" s="172"/>
      <c r="I8" s="173"/>
      <c r="J8" s="173"/>
      <c r="K8" s="173"/>
      <c r="L8" s="174"/>
      <c r="M8" s="175"/>
      <c r="O8" s="393"/>
      <c r="P8" s="393"/>
      <c r="Q8" s="393"/>
      <c r="R8" s="393"/>
      <c r="S8" s="394"/>
      <c r="T8" s="394"/>
      <c r="U8" s="394"/>
    </row>
    <row r="9" spans="1:21" s="1" customFormat="1" ht="20.100000000000001" customHeight="1">
      <c r="A9" s="80" t="s">
        <v>15</v>
      </c>
      <c r="B9" s="81" t="s">
        <v>89</v>
      </c>
      <c r="C9" s="82"/>
      <c r="D9" s="83"/>
      <c r="E9" s="84" t="e">
        <f>SUM(E10:E14)</f>
        <v>#REF!</v>
      </c>
      <c r="F9" s="84">
        <f>SUM(F10:F14)</f>
        <v>0</v>
      </c>
      <c r="G9" s="84"/>
      <c r="H9" s="85"/>
      <c r="I9" s="85"/>
      <c r="J9" s="85"/>
      <c r="K9" s="85"/>
      <c r="L9" s="86"/>
      <c r="M9" s="102"/>
      <c r="O9" s="393"/>
      <c r="P9" s="393"/>
      <c r="Q9" s="393"/>
      <c r="R9" s="393"/>
      <c r="S9" s="394"/>
      <c r="T9" s="394"/>
      <c r="U9" s="394"/>
    </row>
    <row r="10" spans="1:21" s="7" customFormat="1" ht="39.9" customHeight="1">
      <c r="A10" s="188" t="s">
        <v>90</v>
      </c>
      <c r="B10" s="223" t="s">
        <v>201</v>
      </c>
      <c r="C10" s="105" t="s">
        <v>63</v>
      </c>
      <c r="D10" s="106">
        <v>0</v>
      </c>
      <c r="E10" s="107">
        <v>174</v>
      </c>
      <c r="F10" s="108"/>
      <c r="G10" s="108">
        <v>378</v>
      </c>
      <c r="H10" s="108">
        <v>350</v>
      </c>
      <c r="I10" s="109">
        <f>G10*H10</f>
        <v>132300</v>
      </c>
      <c r="J10" s="109">
        <v>250</v>
      </c>
      <c r="K10" s="109">
        <f>G10*J10</f>
        <v>94500</v>
      </c>
      <c r="L10" s="110">
        <f>I10+K10</f>
        <v>226800</v>
      </c>
      <c r="M10" s="111"/>
      <c r="O10" s="393"/>
      <c r="P10" s="393"/>
      <c r="Q10" s="399"/>
      <c r="R10" s="399"/>
      <c r="S10" s="394"/>
      <c r="T10" s="394"/>
      <c r="U10" s="400"/>
    </row>
    <row r="11" spans="1:21" s="7" customFormat="1" ht="20.100000000000001" customHeight="1">
      <c r="A11" s="188" t="s">
        <v>91</v>
      </c>
      <c r="B11" s="335" t="s">
        <v>358</v>
      </c>
      <c r="C11" s="225" t="s">
        <v>63</v>
      </c>
      <c r="D11" s="226">
        <v>0</v>
      </c>
      <c r="E11" s="227">
        <v>435</v>
      </c>
      <c r="F11" s="228"/>
      <c r="G11" s="228">
        <v>353</v>
      </c>
      <c r="H11" s="228">
        <v>470</v>
      </c>
      <c r="I11" s="109">
        <f t="shared" ref="I11:I74" si="0">G11*H11</f>
        <v>165910</v>
      </c>
      <c r="J11" s="229">
        <v>35</v>
      </c>
      <c r="K11" s="109">
        <f t="shared" ref="K11:K16" si="1">G11*J11</f>
        <v>12355</v>
      </c>
      <c r="L11" s="110">
        <f t="shared" ref="L11:L16" si="2">I11+K11</f>
        <v>178265</v>
      </c>
      <c r="M11" s="230"/>
      <c r="O11" s="393"/>
      <c r="P11" s="393"/>
      <c r="Q11" s="399"/>
      <c r="R11" s="399"/>
      <c r="S11" s="394"/>
      <c r="T11" s="394"/>
      <c r="U11" s="400"/>
    </row>
    <row r="12" spans="1:21" s="7" customFormat="1" ht="20.100000000000001" customHeight="1">
      <c r="A12" s="356"/>
      <c r="B12" s="336" t="s">
        <v>359</v>
      </c>
      <c r="C12" s="204" t="s">
        <v>63</v>
      </c>
      <c r="D12" s="205">
        <v>0</v>
      </c>
      <c r="E12" s="206">
        <v>435</v>
      </c>
      <c r="F12" s="207"/>
      <c r="G12" s="228">
        <v>353</v>
      </c>
      <c r="H12" s="207">
        <v>30</v>
      </c>
      <c r="I12" s="109">
        <f t="shared" si="0"/>
        <v>10590</v>
      </c>
      <c r="J12" s="208"/>
      <c r="K12" s="109">
        <f t="shared" si="1"/>
        <v>0</v>
      </c>
      <c r="L12" s="110">
        <f t="shared" si="2"/>
        <v>10590</v>
      </c>
      <c r="M12" s="210"/>
      <c r="O12" s="393"/>
      <c r="P12" s="393"/>
      <c r="Q12" s="399"/>
      <c r="R12" s="399"/>
      <c r="S12" s="394"/>
      <c r="T12" s="394"/>
      <c r="U12" s="400"/>
    </row>
    <row r="13" spans="1:21" s="7" customFormat="1" ht="20.100000000000001" customHeight="1">
      <c r="A13" s="188" t="s">
        <v>92</v>
      </c>
      <c r="B13" s="223" t="s">
        <v>202</v>
      </c>
      <c r="C13" s="105" t="s">
        <v>63</v>
      </c>
      <c r="D13" s="106">
        <v>0</v>
      </c>
      <c r="E13" s="107">
        <v>38</v>
      </c>
      <c r="F13" s="108"/>
      <c r="G13" s="108">
        <v>81</v>
      </c>
      <c r="H13" s="108">
        <v>300</v>
      </c>
      <c r="I13" s="109">
        <f t="shared" si="0"/>
        <v>24300</v>
      </c>
      <c r="J13" s="109">
        <v>250</v>
      </c>
      <c r="K13" s="109">
        <f t="shared" si="1"/>
        <v>20250</v>
      </c>
      <c r="L13" s="110">
        <f t="shared" si="2"/>
        <v>44550</v>
      </c>
      <c r="M13" s="111"/>
      <c r="O13" s="393"/>
      <c r="P13" s="393"/>
      <c r="Q13" s="399"/>
      <c r="R13" s="399"/>
      <c r="S13" s="394"/>
      <c r="T13" s="394"/>
      <c r="U13" s="400"/>
    </row>
    <row r="14" spans="1:21" s="7" customFormat="1" ht="20.100000000000001" customHeight="1">
      <c r="A14" s="188" t="s">
        <v>93</v>
      </c>
      <c r="B14" s="231" t="s">
        <v>184</v>
      </c>
      <c r="C14" s="105" t="s">
        <v>63</v>
      </c>
      <c r="D14" s="106">
        <v>0</v>
      </c>
      <c r="E14" s="107" t="e">
        <f>E13+#REF!+#REF!+#REF!</f>
        <v>#REF!</v>
      </c>
      <c r="F14" s="107"/>
      <c r="G14" s="108">
        <v>159</v>
      </c>
      <c r="H14" s="108">
        <v>20</v>
      </c>
      <c r="I14" s="109">
        <f t="shared" si="0"/>
        <v>3180</v>
      </c>
      <c r="J14" s="109">
        <v>30</v>
      </c>
      <c r="K14" s="109">
        <f t="shared" si="1"/>
        <v>4770</v>
      </c>
      <c r="L14" s="110">
        <f t="shared" si="2"/>
        <v>7950</v>
      </c>
      <c r="M14" s="111"/>
      <c r="O14" s="393"/>
      <c r="P14" s="393"/>
      <c r="Q14" s="399"/>
      <c r="R14" s="399"/>
      <c r="S14" s="394"/>
      <c r="T14" s="394"/>
      <c r="U14" s="400"/>
    </row>
    <row r="15" spans="1:21" s="7" customFormat="1" ht="20.100000000000001" customHeight="1">
      <c r="A15" s="188" t="s">
        <v>94</v>
      </c>
      <c r="B15" s="231" t="s">
        <v>360</v>
      </c>
      <c r="C15" s="105" t="s">
        <v>63</v>
      </c>
      <c r="D15" s="106">
        <v>0</v>
      </c>
      <c r="E15" s="107" t="e">
        <f>#REF!</f>
        <v>#REF!</v>
      </c>
      <c r="F15" s="107"/>
      <c r="G15" s="108">
        <v>41</v>
      </c>
      <c r="H15" s="108">
        <v>30</v>
      </c>
      <c r="I15" s="109">
        <f t="shared" si="0"/>
        <v>1230</v>
      </c>
      <c r="J15" s="109">
        <v>35</v>
      </c>
      <c r="K15" s="109">
        <f t="shared" si="1"/>
        <v>1435</v>
      </c>
      <c r="L15" s="110">
        <f t="shared" si="2"/>
        <v>2665</v>
      </c>
      <c r="M15" s="111"/>
      <c r="O15" s="393"/>
      <c r="P15" s="393"/>
      <c r="Q15" s="399"/>
      <c r="R15" s="399"/>
      <c r="S15" s="394"/>
      <c r="T15" s="394"/>
      <c r="U15" s="400"/>
    </row>
    <row r="16" spans="1:21" s="7" customFormat="1" ht="20.100000000000001" customHeight="1">
      <c r="A16" s="188" t="s">
        <v>393</v>
      </c>
      <c r="B16" s="231" t="s">
        <v>228</v>
      </c>
      <c r="C16" s="105" t="s">
        <v>166</v>
      </c>
      <c r="D16" s="106">
        <v>0</v>
      </c>
      <c r="E16" s="107" t="e">
        <f>E14</f>
        <v>#REF!</v>
      </c>
      <c r="F16" s="107"/>
      <c r="G16" s="108">
        <v>195</v>
      </c>
      <c r="H16" s="108">
        <v>60</v>
      </c>
      <c r="I16" s="109">
        <f t="shared" si="0"/>
        <v>11700</v>
      </c>
      <c r="J16" s="109">
        <v>45</v>
      </c>
      <c r="K16" s="109">
        <f t="shared" si="1"/>
        <v>8775</v>
      </c>
      <c r="L16" s="110">
        <f t="shared" si="2"/>
        <v>20475</v>
      </c>
      <c r="M16" s="111"/>
      <c r="O16" s="393"/>
      <c r="P16" s="393"/>
      <c r="Q16" s="399"/>
      <c r="R16" s="399"/>
      <c r="S16" s="394"/>
      <c r="T16" s="394"/>
      <c r="U16" s="400"/>
    </row>
    <row r="17" spans="1:21" s="7" customFormat="1" ht="20.100000000000001" customHeight="1" thickBot="1">
      <c r="A17" s="188"/>
      <c r="B17" s="195"/>
      <c r="C17" s="113"/>
      <c r="D17" s="114"/>
      <c r="E17" s="115"/>
      <c r="F17" s="116"/>
      <c r="G17" s="116"/>
      <c r="H17" s="117"/>
      <c r="I17" s="109"/>
      <c r="J17" s="117"/>
      <c r="K17" s="117"/>
      <c r="L17" s="110"/>
      <c r="M17" s="119"/>
      <c r="O17" s="393"/>
      <c r="P17" s="393"/>
      <c r="Q17" s="399"/>
      <c r="R17" s="399"/>
      <c r="S17" s="394"/>
      <c r="T17" s="394"/>
      <c r="U17" s="400"/>
    </row>
    <row r="18" spans="1:21" s="7" customFormat="1" ht="20.100000000000001" customHeight="1" thickTop="1" thickBot="1">
      <c r="A18" s="46"/>
      <c r="B18" s="39" t="s">
        <v>96</v>
      </c>
      <c r="C18" s="42"/>
      <c r="D18" s="43"/>
      <c r="E18" s="44"/>
      <c r="F18" s="44"/>
      <c r="G18" s="29"/>
      <c r="H18" s="29"/>
      <c r="I18" s="29">
        <f>SUM(I10:I17)</f>
        <v>349210</v>
      </c>
      <c r="J18" s="29"/>
      <c r="K18" s="29">
        <f>SUM(K10:K17)</f>
        <v>142085</v>
      </c>
      <c r="L18" s="29">
        <f>SUM(L10:L17)</f>
        <v>491295</v>
      </c>
      <c r="M18" s="30"/>
      <c r="O18" s="393"/>
      <c r="P18" s="393"/>
      <c r="Q18" s="399"/>
      <c r="R18" s="399"/>
      <c r="S18" s="394"/>
      <c r="T18" s="394"/>
      <c r="U18" s="400"/>
    </row>
    <row r="19" spans="1:21" s="1" customFormat="1" ht="20.100000000000001" customHeight="1" thickTop="1">
      <c r="A19" s="338" t="s">
        <v>16</v>
      </c>
      <c r="B19" s="339" t="s">
        <v>157</v>
      </c>
      <c r="C19" s="340"/>
      <c r="D19" s="341"/>
      <c r="E19" s="181" t="e">
        <f>SUM(E20:E20)*2</f>
        <v>#REF!</v>
      </c>
      <c r="F19" s="181">
        <f>SUM(F20:F20)*2</f>
        <v>0</v>
      </c>
      <c r="G19" s="181"/>
      <c r="H19" s="182"/>
      <c r="I19" s="109"/>
      <c r="J19" s="182"/>
      <c r="K19" s="182"/>
      <c r="M19" s="183"/>
      <c r="O19" s="393"/>
      <c r="P19" s="393"/>
      <c r="Q19" s="399"/>
      <c r="R19" s="399"/>
      <c r="S19" s="394"/>
      <c r="T19" s="394"/>
      <c r="U19" s="400"/>
    </row>
    <row r="20" spans="1:21" s="7" customFormat="1" ht="20.100000000000001" customHeight="1">
      <c r="A20" s="233" t="s">
        <v>97</v>
      </c>
      <c r="B20" s="234" t="s">
        <v>203</v>
      </c>
      <c r="C20" s="97" t="s">
        <v>63</v>
      </c>
      <c r="D20" s="98">
        <v>0</v>
      </c>
      <c r="E20" s="99" t="e">
        <f>#REF!*2-#REF!</f>
        <v>#REF!</v>
      </c>
      <c r="F20" s="100"/>
      <c r="G20" s="100">
        <v>1460.55</v>
      </c>
      <c r="H20" s="100">
        <v>200</v>
      </c>
      <c r="I20" s="109">
        <f t="shared" si="0"/>
        <v>292110</v>
      </c>
      <c r="J20" s="101">
        <v>80</v>
      </c>
      <c r="K20" s="109">
        <f t="shared" ref="K20:K31" si="3">G20*J20</f>
        <v>116844</v>
      </c>
      <c r="L20" s="110">
        <f>I20+K20</f>
        <v>408954</v>
      </c>
      <c r="M20" s="102"/>
      <c r="O20" s="393"/>
      <c r="P20" s="393"/>
      <c r="Q20" s="393"/>
      <c r="R20" s="393"/>
      <c r="S20" s="394"/>
      <c r="T20" s="394"/>
      <c r="U20" s="394"/>
    </row>
    <row r="21" spans="1:21" s="7" customFormat="1" ht="20.100000000000001" customHeight="1">
      <c r="A21" s="188" t="s">
        <v>98</v>
      </c>
      <c r="B21" s="235" t="s">
        <v>361</v>
      </c>
      <c r="C21" s="105" t="s">
        <v>63</v>
      </c>
      <c r="D21" s="106">
        <v>0</v>
      </c>
      <c r="E21" s="107">
        <f>35*2</f>
        <v>70</v>
      </c>
      <c r="F21" s="108"/>
      <c r="G21" s="108">
        <v>116.6</v>
      </c>
      <c r="H21" s="108">
        <v>400</v>
      </c>
      <c r="I21" s="109">
        <f t="shared" si="0"/>
        <v>46640</v>
      </c>
      <c r="J21" s="109">
        <v>160</v>
      </c>
      <c r="K21" s="109">
        <f t="shared" si="3"/>
        <v>18656</v>
      </c>
      <c r="L21" s="110">
        <f t="shared" ref="L21:L32" si="4">I21+K21</f>
        <v>65296</v>
      </c>
      <c r="M21" s="111"/>
      <c r="O21" s="393"/>
      <c r="P21" s="393"/>
      <c r="Q21" s="399"/>
      <c r="R21" s="399"/>
      <c r="S21" s="394"/>
      <c r="T21" s="394"/>
      <c r="U21" s="400"/>
    </row>
    <row r="22" spans="1:21" s="7" customFormat="1" ht="20.100000000000001" customHeight="1">
      <c r="A22" s="188" t="s">
        <v>99</v>
      </c>
      <c r="B22" s="235" t="s">
        <v>167</v>
      </c>
      <c r="C22" s="105" t="s">
        <v>63</v>
      </c>
      <c r="D22" s="106">
        <v>0</v>
      </c>
      <c r="E22" s="107">
        <f>35*2</f>
        <v>70</v>
      </c>
      <c r="F22" s="108"/>
      <c r="G22" s="108">
        <v>1848</v>
      </c>
      <c r="H22" s="108">
        <v>45</v>
      </c>
      <c r="I22" s="109">
        <f t="shared" si="0"/>
        <v>83160</v>
      </c>
      <c r="J22" s="109">
        <v>80</v>
      </c>
      <c r="K22" s="109">
        <f t="shared" si="3"/>
        <v>147840</v>
      </c>
      <c r="L22" s="110">
        <f t="shared" si="4"/>
        <v>231000</v>
      </c>
      <c r="M22" s="111"/>
      <c r="N22" s="415">
        <f>G20*0.81</f>
        <v>1183.0454999999999</v>
      </c>
      <c r="O22" s="393"/>
      <c r="P22" s="393"/>
      <c r="Q22" s="399"/>
      <c r="R22" s="399"/>
      <c r="S22" s="394"/>
      <c r="T22" s="394"/>
      <c r="U22" s="400"/>
    </row>
    <row r="23" spans="1:21" s="7" customFormat="1" ht="20.100000000000001" customHeight="1">
      <c r="A23" s="188" t="s">
        <v>100</v>
      </c>
      <c r="B23" s="235" t="s">
        <v>168</v>
      </c>
      <c r="C23" s="105" t="s">
        <v>63</v>
      </c>
      <c r="D23" s="106">
        <v>0</v>
      </c>
      <c r="E23" s="107">
        <f>35*2</f>
        <v>70</v>
      </c>
      <c r="F23" s="108"/>
      <c r="G23" s="108">
        <v>195</v>
      </c>
      <c r="H23" s="108">
        <v>45</v>
      </c>
      <c r="I23" s="109">
        <f t="shared" si="0"/>
        <v>8775</v>
      </c>
      <c r="J23" s="109">
        <v>80</v>
      </c>
      <c r="K23" s="109">
        <f t="shared" si="3"/>
        <v>15600</v>
      </c>
      <c r="L23" s="110">
        <f t="shared" si="4"/>
        <v>24375</v>
      </c>
      <c r="M23" s="111"/>
      <c r="N23" s="415">
        <f>G20*0.63</f>
        <v>920.14649999999995</v>
      </c>
      <c r="O23" s="393">
        <v>250</v>
      </c>
      <c r="P23" s="401">
        <f>N23*O23</f>
        <v>230036.625</v>
      </c>
      <c r="Q23" s="401">
        <f>I20-P23</f>
        <v>62073.375</v>
      </c>
      <c r="R23" s="401"/>
      <c r="S23" s="394">
        <v>730</v>
      </c>
      <c r="T23" s="402">
        <f>N23*S23</f>
        <v>671706.94499999995</v>
      </c>
      <c r="U23" s="402">
        <f>I20-T23</f>
        <v>-379596.94499999995</v>
      </c>
    </row>
    <row r="24" spans="1:21" s="7" customFormat="1" ht="20.100000000000001" customHeight="1">
      <c r="A24" s="188" t="s">
        <v>101</v>
      </c>
      <c r="B24" s="236" t="s">
        <v>102</v>
      </c>
      <c r="C24" s="105" t="s">
        <v>95</v>
      </c>
      <c r="D24" s="106">
        <v>0</v>
      </c>
      <c r="E24" s="107" t="e">
        <f>#REF!</f>
        <v>#REF!</v>
      </c>
      <c r="F24" s="108"/>
      <c r="G24" s="108">
        <v>1104</v>
      </c>
      <c r="H24" s="108">
        <v>70</v>
      </c>
      <c r="I24" s="109">
        <f t="shared" si="0"/>
        <v>77280</v>
      </c>
      <c r="J24" s="109">
        <v>50</v>
      </c>
      <c r="K24" s="109">
        <f t="shared" si="3"/>
        <v>55200</v>
      </c>
      <c r="L24" s="110">
        <f t="shared" si="4"/>
        <v>132480</v>
      </c>
      <c r="M24" s="111"/>
      <c r="O24" s="393"/>
      <c r="P24" s="393"/>
      <c r="Q24" s="399"/>
      <c r="R24" s="399"/>
      <c r="S24" s="394"/>
      <c r="T24" s="394"/>
      <c r="U24" s="400"/>
    </row>
    <row r="25" spans="1:21" s="7" customFormat="1" ht="20.100000000000001" customHeight="1">
      <c r="A25" s="188" t="s">
        <v>394</v>
      </c>
      <c r="B25" s="236" t="s">
        <v>395</v>
      </c>
      <c r="C25" s="105" t="s">
        <v>95</v>
      </c>
      <c r="D25" s="106">
        <v>0</v>
      </c>
      <c r="E25" s="107" t="e">
        <f>#REF!</f>
        <v>#REF!</v>
      </c>
      <c r="F25" s="108"/>
      <c r="G25" s="108">
        <v>132.4</v>
      </c>
      <c r="H25" s="108">
        <v>110</v>
      </c>
      <c r="I25" s="109">
        <f t="shared" si="0"/>
        <v>14564</v>
      </c>
      <c r="J25" s="109">
        <v>70</v>
      </c>
      <c r="K25" s="109">
        <f t="shared" si="3"/>
        <v>9268</v>
      </c>
      <c r="L25" s="110">
        <f t="shared" si="4"/>
        <v>23832</v>
      </c>
      <c r="M25" s="111"/>
      <c r="O25" s="393"/>
      <c r="P25" s="393"/>
      <c r="Q25" s="399"/>
      <c r="R25" s="399"/>
      <c r="S25" s="394"/>
      <c r="T25" s="394"/>
      <c r="U25" s="400"/>
    </row>
    <row r="26" spans="1:21" s="7" customFormat="1" ht="20.100000000000001" customHeight="1">
      <c r="A26" s="188" t="s">
        <v>103</v>
      </c>
      <c r="B26" s="235" t="s">
        <v>236</v>
      </c>
      <c r="C26" s="105" t="s">
        <v>95</v>
      </c>
      <c r="D26" s="106">
        <v>0</v>
      </c>
      <c r="E26" s="107" t="e">
        <f>#REF!</f>
        <v>#REF!</v>
      </c>
      <c r="F26" s="108"/>
      <c r="G26" s="108">
        <v>842.6</v>
      </c>
      <c r="H26" s="108">
        <v>25</v>
      </c>
      <c r="I26" s="109">
        <f t="shared" si="0"/>
        <v>21065</v>
      </c>
      <c r="J26" s="109">
        <v>35</v>
      </c>
      <c r="K26" s="109">
        <f t="shared" si="3"/>
        <v>29491</v>
      </c>
      <c r="L26" s="110">
        <f t="shared" si="4"/>
        <v>50556</v>
      </c>
      <c r="M26" s="111"/>
      <c r="O26" s="393"/>
      <c r="P26" s="393"/>
      <c r="Q26" s="399"/>
      <c r="R26" s="399"/>
      <c r="S26" s="394"/>
      <c r="T26" s="394"/>
      <c r="U26" s="400"/>
    </row>
    <row r="27" spans="1:21" s="7" customFormat="1" ht="21" customHeight="1">
      <c r="A27" s="224" t="s">
        <v>362</v>
      </c>
      <c r="B27" s="342" t="s">
        <v>231</v>
      </c>
      <c r="C27" s="105" t="s">
        <v>63</v>
      </c>
      <c r="D27" s="226">
        <v>0</v>
      </c>
      <c r="E27" s="227">
        <v>530</v>
      </c>
      <c r="F27" s="228"/>
      <c r="G27" s="228">
        <v>124</v>
      </c>
      <c r="H27" s="109">
        <v>280</v>
      </c>
      <c r="I27" s="109">
        <f t="shared" si="0"/>
        <v>34720</v>
      </c>
      <c r="J27" s="229">
        <v>180</v>
      </c>
      <c r="K27" s="109">
        <f t="shared" si="3"/>
        <v>22320</v>
      </c>
      <c r="L27" s="110">
        <f t="shared" si="4"/>
        <v>57040</v>
      </c>
      <c r="M27" s="111"/>
      <c r="O27" s="393"/>
      <c r="P27" s="393"/>
      <c r="Q27" s="399"/>
      <c r="R27" s="399"/>
      <c r="S27" s="394"/>
      <c r="T27" s="394"/>
      <c r="U27" s="400"/>
    </row>
    <row r="28" spans="1:21" s="7" customFormat="1" ht="20.100000000000001" customHeight="1">
      <c r="A28" s="352"/>
      <c r="B28" s="343" t="s">
        <v>196</v>
      </c>
      <c r="C28" s="105" t="s">
        <v>63</v>
      </c>
      <c r="D28" s="271">
        <v>0</v>
      </c>
      <c r="E28" s="272">
        <v>530</v>
      </c>
      <c r="F28" s="273"/>
      <c r="G28" s="109">
        <v>124</v>
      </c>
      <c r="H28" s="109">
        <v>60</v>
      </c>
      <c r="I28" s="109">
        <f t="shared" si="0"/>
        <v>7440</v>
      </c>
      <c r="J28" s="109">
        <v>70</v>
      </c>
      <c r="K28" s="109">
        <f t="shared" si="3"/>
        <v>8680</v>
      </c>
      <c r="L28" s="110">
        <f t="shared" si="4"/>
        <v>16120</v>
      </c>
      <c r="M28" s="201"/>
      <c r="O28" s="393"/>
      <c r="P28" s="393"/>
      <c r="Q28" s="399"/>
      <c r="R28" s="399"/>
      <c r="S28" s="394"/>
      <c r="T28" s="394"/>
      <c r="U28" s="400"/>
    </row>
    <row r="29" spans="1:21" s="7" customFormat="1" ht="20.100000000000001" customHeight="1">
      <c r="A29" s="256" t="s">
        <v>363</v>
      </c>
      <c r="B29" s="267" t="s">
        <v>175</v>
      </c>
      <c r="C29" s="270"/>
      <c r="D29" s="258"/>
      <c r="E29" s="259"/>
      <c r="F29" s="260"/>
      <c r="G29" s="173"/>
      <c r="I29" s="109"/>
      <c r="J29" s="109"/>
      <c r="K29" s="109"/>
      <c r="L29" s="110">
        <f t="shared" si="4"/>
        <v>0</v>
      </c>
      <c r="M29" s="337"/>
      <c r="O29" s="393"/>
      <c r="P29" s="393"/>
      <c r="Q29" s="399"/>
      <c r="R29" s="399"/>
      <c r="S29" s="394"/>
      <c r="T29" s="394"/>
      <c r="U29" s="400"/>
    </row>
    <row r="30" spans="1:21" s="7" customFormat="1" ht="20.100000000000001" customHeight="1">
      <c r="A30" s="308"/>
      <c r="B30" s="267" t="s">
        <v>199</v>
      </c>
      <c r="C30" s="344" t="s">
        <v>95</v>
      </c>
      <c r="D30" s="258">
        <v>0</v>
      </c>
      <c r="E30" s="259">
        <v>272</v>
      </c>
      <c r="F30" s="260"/>
      <c r="G30" s="109">
        <v>45</v>
      </c>
      <c r="H30" s="109">
        <v>110</v>
      </c>
      <c r="I30" s="109">
        <f t="shared" si="0"/>
        <v>4950</v>
      </c>
      <c r="J30" s="261">
        <v>70</v>
      </c>
      <c r="K30" s="109">
        <f t="shared" si="3"/>
        <v>3150</v>
      </c>
      <c r="L30" s="110">
        <f t="shared" si="4"/>
        <v>8100</v>
      </c>
      <c r="M30" s="353"/>
      <c r="O30" s="393"/>
      <c r="P30" s="393"/>
      <c r="Q30" s="399"/>
      <c r="R30" s="399"/>
      <c r="S30" s="394"/>
      <c r="T30" s="394"/>
      <c r="U30" s="400"/>
    </row>
    <row r="31" spans="1:21" s="7" customFormat="1" ht="20.100000000000001" customHeight="1">
      <c r="A31" s="188" t="s">
        <v>379</v>
      </c>
      <c r="B31" s="235" t="s">
        <v>390</v>
      </c>
      <c r="C31" s="105" t="s">
        <v>63</v>
      </c>
      <c r="D31" s="106"/>
      <c r="E31" s="107"/>
      <c r="F31" s="108"/>
      <c r="G31" s="108">
        <v>305</v>
      </c>
      <c r="H31" s="108">
        <v>100</v>
      </c>
      <c r="I31" s="109">
        <f t="shared" si="0"/>
        <v>30500</v>
      </c>
      <c r="J31" s="109">
        <v>100</v>
      </c>
      <c r="K31" s="109">
        <f t="shared" si="3"/>
        <v>30500</v>
      </c>
      <c r="L31" s="110">
        <f t="shared" si="4"/>
        <v>61000</v>
      </c>
      <c r="M31" s="111"/>
      <c r="O31" s="393"/>
      <c r="P31" s="393"/>
      <c r="Q31" s="399"/>
      <c r="R31" s="399"/>
      <c r="S31" s="394"/>
      <c r="T31" s="394"/>
      <c r="U31" s="400"/>
    </row>
    <row r="32" spans="1:21" s="7" customFormat="1" ht="20.100000000000001" customHeight="1">
      <c r="A32" s="188"/>
      <c r="B32" s="235"/>
      <c r="C32" s="105"/>
      <c r="D32" s="106"/>
      <c r="E32" s="107"/>
      <c r="F32" s="108"/>
      <c r="G32" s="108"/>
      <c r="H32" s="108"/>
      <c r="I32" s="109"/>
      <c r="J32" s="109"/>
      <c r="K32" s="109"/>
      <c r="L32" s="110">
        <f t="shared" si="4"/>
        <v>0</v>
      </c>
      <c r="M32" s="111" t="s">
        <v>33</v>
      </c>
      <c r="O32" s="393"/>
      <c r="P32" s="393"/>
      <c r="Q32" s="399"/>
      <c r="R32" s="399"/>
      <c r="S32" s="394"/>
      <c r="T32" s="394"/>
      <c r="U32" s="400"/>
    </row>
    <row r="33" spans="1:21" s="7" customFormat="1" ht="20.100000000000001" customHeight="1" thickBot="1">
      <c r="A33" s="284"/>
      <c r="B33" s="275" t="s">
        <v>104</v>
      </c>
      <c r="C33" s="276"/>
      <c r="D33" s="277"/>
      <c r="E33" s="278"/>
      <c r="F33" s="278"/>
      <c r="G33" s="278"/>
      <c r="H33" s="279"/>
      <c r="I33" s="279">
        <f>SUM(I20:I31)</f>
        <v>621204</v>
      </c>
      <c r="J33" s="279"/>
      <c r="K33" s="280">
        <f>SUM(K20:K32)</f>
        <v>457549</v>
      </c>
      <c r="L33" s="280">
        <f>SUM(L20:L32)</f>
        <v>1078753</v>
      </c>
      <c r="M33" s="281"/>
      <c r="O33" s="393"/>
      <c r="P33" s="393"/>
      <c r="Q33" s="399"/>
      <c r="R33" s="399"/>
      <c r="S33" s="394"/>
      <c r="T33" s="394"/>
      <c r="U33" s="400"/>
    </row>
    <row r="34" spans="1:21" s="1" customFormat="1" ht="20.100000000000001" customHeight="1" thickTop="1">
      <c r="A34" s="354"/>
      <c r="M34" s="355"/>
      <c r="O34" s="393"/>
      <c r="P34" s="393"/>
      <c r="Q34" s="399"/>
      <c r="R34" s="399"/>
      <c r="S34" s="394"/>
      <c r="T34" s="394"/>
      <c r="U34" s="400"/>
    </row>
    <row r="35" spans="1:21" s="7" customFormat="1" ht="23.25" customHeight="1">
      <c r="A35" s="121" t="s">
        <v>17</v>
      </c>
      <c r="B35" s="373" t="s">
        <v>158</v>
      </c>
      <c r="C35" s="93"/>
      <c r="D35" s="176"/>
      <c r="E35" s="178">
        <f>SUM(E36:E38)</f>
        <v>749</v>
      </c>
      <c r="F35" s="178">
        <f>SUM(F36:F38)</f>
        <v>0</v>
      </c>
      <c r="G35" s="75"/>
      <c r="H35" s="123"/>
      <c r="I35" s="123"/>
      <c r="J35" s="374"/>
      <c r="K35" s="374"/>
      <c r="L35" s="77"/>
      <c r="M35" s="124"/>
      <c r="O35" s="393"/>
      <c r="P35" s="393"/>
      <c r="Q35" s="399"/>
      <c r="R35" s="399"/>
      <c r="S35" s="394"/>
      <c r="T35" s="394"/>
      <c r="U35" s="400"/>
    </row>
    <row r="36" spans="1:21" s="7" customFormat="1" ht="52.5" customHeight="1">
      <c r="A36" s="375" t="s">
        <v>105</v>
      </c>
      <c r="B36" s="376" t="s">
        <v>206</v>
      </c>
      <c r="C36" s="377" t="s">
        <v>63</v>
      </c>
      <c r="D36" s="98">
        <v>0</v>
      </c>
      <c r="E36" s="99">
        <v>608</v>
      </c>
      <c r="F36" s="99"/>
      <c r="G36" s="108">
        <v>67.319999999999993</v>
      </c>
      <c r="H36" s="100">
        <v>480</v>
      </c>
      <c r="I36" s="378">
        <f t="shared" ref="I36:I41" si="5">G36*H36</f>
        <v>32313.599999999999</v>
      </c>
      <c r="J36" s="379"/>
      <c r="K36" s="380"/>
      <c r="L36" s="381">
        <f t="shared" ref="L36:L41" si="6">SUM(I36+K36)</f>
        <v>32313.599999999999</v>
      </c>
      <c r="M36" s="102"/>
      <c r="O36" s="403">
        <f t="shared" ref="O36:O37" si="7">H36-250</f>
        <v>230</v>
      </c>
      <c r="P36" s="393">
        <f t="shared" ref="P36:P37" si="8">G36*O36</f>
        <v>15483.599999999999</v>
      </c>
      <c r="Q36" s="399"/>
      <c r="R36" s="399"/>
      <c r="S36" s="402">
        <f t="shared" ref="S36:S37" si="9">H36+200</f>
        <v>680</v>
      </c>
      <c r="T36" s="394">
        <f t="shared" ref="T36:T37" si="10">G36*S36</f>
        <v>45777.599999999999</v>
      </c>
      <c r="U36" s="394"/>
    </row>
    <row r="37" spans="1:21" s="7" customFormat="1" ht="53.25" customHeight="1">
      <c r="A37" s="382" t="s">
        <v>106</v>
      </c>
      <c r="B37" s="383" t="s">
        <v>207</v>
      </c>
      <c r="C37" s="384" t="s">
        <v>63</v>
      </c>
      <c r="D37" s="106">
        <v>0</v>
      </c>
      <c r="E37" s="107">
        <v>110</v>
      </c>
      <c r="F37" s="107"/>
      <c r="G37" s="108">
        <v>72.23</v>
      </c>
      <c r="H37" s="108">
        <v>510</v>
      </c>
      <c r="I37" s="378">
        <f t="shared" si="5"/>
        <v>36837.300000000003</v>
      </c>
      <c r="J37" s="385"/>
      <c r="K37" s="261"/>
      <c r="L37" s="381">
        <f t="shared" si="6"/>
        <v>36837.300000000003</v>
      </c>
      <c r="M37" s="351"/>
      <c r="O37" s="403">
        <f t="shared" si="7"/>
        <v>260</v>
      </c>
      <c r="P37" s="393">
        <f t="shared" si="8"/>
        <v>18779.8</v>
      </c>
      <c r="Q37" s="399"/>
      <c r="R37" s="399"/>
      <c r="S37" s="402">
        <f t="shared" si="9"/>
        <v>710</v>
      </c>
      <c r="T37" s="394">
        <f t="shared" si="10"/>
        <v>51283.3</v>
      </c>
      <c r="U37" s="400"/>
    </row>
    <row r="38" spans="1:21" s="7" customFormat="1" ht="56.25" customHeight="1">
      <c r="A38" s="382" t="s">
        <v>107</v>
      </c>
      <c r="B38" s="376" t="s">
        <v>208</v>
      </c>
      <c r="C38" s="384" t="s">
        <v>63</v>
      </c>
      <c r="D38" s="106">
        <v>0</v>
      </c>
      <c r="E38" s="107">
        <v>31</v>
      </c>
      <c r="F38" s="107"/>
      <c r="G38" s="108">
        <v>170</v>
      </c>
      <c r="H38" s="108">
        <v>375</v>
      </c>
      <c r="I38" s="378">
        <f t="shared" si="5"/>
        <v>63750</v>
      </c>
      <c r="J38" s="385"/>
      <c r="K38" s="261"/>
      <c r="L38" s="381">
        <f t="shared" si="6"/>
        <v>63750</v>
      </c>
      <c r="M38" s="111"/>
      <c r="O38" s="403">
        <f>H38-250</f>
        <v>125</v>
      </c>
      <c r="P38" s="393">
        <f>G38*O38</f>
        <v>21250</v>
      </c>
      <c r="Q38" s="399"/>
      <c r="R38" s="399"/>
      <c r="S38" s="402">
        <f>H38+200</f>
        <v>575</v>
      </c>
      <c r="T38" s="394">
        <f>G38*S38</f>
        <v>97750</v>
      </c>
      <c r="U38" s="400"/>
    </row>
    <row r="39" spans="1:21" s="7" customFormat="1" ht="20.100000000000001" customHeight="1" thickBot="1">
      <c r="A39" s="375" t="s">
        <v>460</v>
      </c>
      <c r="B39" s="376" t="s">
        <v>465</v>
      </c>
      <c r="C39" s="384" t="s">
        <v>63</v>
      </c>
      <c r="D39" s="114"/>
      <c r="E39" s="115"/>
      <c r="F39" s="116"/>
      <c r="G39" s="108">
        <v>24</v>
      </c>
      <c r="H39" s="108">
        <v>100</v>
      </c>
      <c r="I39" s="378">
        <f t="shared" si="5"/>
        <v>2400</v>
      </c>
      <c r="J39" s="386"/>
      <c r="K39" s="387"/>
      <c r="L39" s="381">
        <f t="shared" si="6"/>
        <v>2400</v>
      </c>
      <c r="M39" s="119" t="s">
        <v>33</v>
      </c>
      <c r="O39" s="403"/>
      <c r="P39" s="393"/>
      <c r="Q39" s="399"/>
      <c r="R39" s="399"/>
      <c r="S39" s="402"/>
      <c r="T39" s="394"/>
      <c r="U39" s="400"/>
    </row>
    <row r="40" spans="1:21" s="7" customFormat="1" ht="52.5" customHeight="1" thickTop="1">
      <c r="A40" s="382" t="s">
        <v>461</v>
      </c>
      <c r="B40" s="376" t="s">
        <v>462</v>
      </c>
      <c r="C40" s="377" t="s">
        <v>63</v>
      </c>
      <c r="D40" s="98">
        <v>0</v>
      </c>
      <c r="E40" s="99">
        <v>608</v>
      </c>
      <c r="F40" s="99"/>
      <c r="G40" s="108">
        <v>522.4</v>
      </c>
      <c r="H40" s="100">
        <v>180</v>
      </c>
      <c r="I40" s="378">
        <f t="shared" si="5"/>
        <v>94032</v>
      </c>
      <c r="J40" s="385"/>
      <c r="K40" s="261"/>
      <c r="L40" s="381">
        <f t="shared" si="6"/>
        <v>94032</v>
      </c>
      <c r="M40" s="102"/>
      <c r="O40" s="403"/>
      <c r="P40" s="393"/>
      <c r="Q40" s="399"/>
      <c r="R40" s="399"/>
      <c r="S40" s="402"/>
      <c r="T40" s="394"/>
      <c r="U40" s="400"/>
    </row>
    <row r="41" spans="1:21" s="7" customFormat="1" ht="53.25" customHeight="1" thickBot="1">
      <c r="A41" s="382" t="s">
        <v>463</v>
      </c>
      <c r="B41" s="383" t="s">
        <v>464</v>
      </c>
      <c r="C41" s="388" t="s">
        <v>63</v>
      </c>
      <c r="D41" s="226">
        <v>0</v>
      </c>
      <c r="E41" s="227">
        <v>110</v>
      </c>
      <c r="F41" s="227"/>
      <c r="G41" s="228">
        <v>24.4</v>
      </c>
      <c r="H41" s="228">
        <v>210</v>
      </c>
      <c r="I41" s="389">
        <f t="shared" si="5"/>
        <v>5124</v>
      </c>
      <c r="J41" s="390"/>
      <c r="K41" s="367"/>
      <c r="L41" s="391">
        <f t="shared" si="6"/>
        <v>5124</v>
      </c>
      <c r="M41" s="392"/>
      <c r="O41" s="393"/>
      <c r="P41" s="393"/>
      <c r="Q41" s="399"/>
      <c r="R41" s="399"/>
      <c r="S41" s="394"/>
      <c r="T41" s="394"/>
      <c r="U41" s="400"/>
    </row>
    <row r="42" spans="1:21" s="1" customFormat="1" ht="20.100000000000001" customHeight="1" thickTop="1" thickBot="1">
      <c r="A42" s="46"/>
      <c r="B42" s="39" t="s">
        <v>108</v>
      </c>
      <c r="C42" s="42"/>
      <c r="D42" s="43"/>
      <c r="E42" s="44"/>
      <c r="F42" s="44"/>
      <c r="G42" s="44"/>
      <c r="H42" s="45"/>
      <c r="I42" s="280">
        <f>SUM(I36:I41)</f>
        <v>234456.9</v>
      </c>
      <c r="J42" s="279"/>
      <c r="K42" s="280"/>
      <c r="L42" s="280">
        <f>SUM(L36:L41)</f>
        <v>234456.9</v>
      </c>
      <c r="M42" s="281" t="s">
        <v>33</v>
      </c>
      <c r="N42" s="416">
        <f>SUM(L36:L38)</f>
        <v>132900.9</v>
      </c>
      <c r="O42" s="393"/>
      <c r="P42" s="393">
        <f>SUM(P36:P41)</f>
        <v>55513.399999999994</v>
      </c>
      <c r="Q42" s="401">
        <f>N42-P42</f>
        <v>77387.5</v>
      </c>
      <c r="R42" s="401"/>
      <c r="S42" s="394"/>
      <c r="T42" s="394">
        <f>SUM(T36:T41)</f>
        <v>194810.9</v>
      </c>
      <c r="U42" s="402">
        <f>N42-T42</f>
        <v>-61910</v>
      </c>
    </row>
    <row r="43" spans="1:21" s="7" customFormat="1" ht="20.100000000000001" customHeight="1" thickTop="1">
      <c r="A43" s="143" t="s">
        <v>18</v>
      </c>
      <c r="B43" s="91" t="s">
        <v>159</v>
      </c>
      <c r="C43" s="67"/>
      <c r="D43" s="68"/>
      <c r="E43" s="144"/>
      <c r="F43" s="120"/>
      <c r="G43" s="69"/>
      <c r="H43" s="186"/>
      <c r="I43" s="109"/>
      <c r="J43" s="186"/>
      <c r="K43" s="186"/>
      <c r="L43" s="71"/>
      <c r="M43" s="187"/>
      <c r="O43" s="393"/>
      <c r="P43" s="393"/>
      <c r="Q43" s="399"/>
      <c r="R43" s="399"/>
      <c r="S43" s="394"/>
      <c r="T43" s="394"/>
      <c r="U43" s="400"/>
    </row>
    <row r="44" spans="1:21" s="7" customFormat="1" ht="20.100000000000001" customHeight="1">
      <c r="A44" s="188" t="s">
        <v>109</v>
      </c>
      <c r="B44" s="223" t="s">
        <v>209</v>
      </c>
      <c r="C44" s="105" t="s">
        <v>63</v>
      </c>
      <c r="D44" s="106">
        <v>0</v>
      </c>
      <c r="E44" s="107" t="e">
        <f>E20/2</f>
        <v>#REF!</v>
      </c>
      <c r="F44" s="108"/>
      <c r="G44" s="108">
        <v>1231.2</v>
      </c>
      <c r="H44" s="108">
        <v>27</v>
      </c>
      <c r="I44" s="109">
        <f t="shared" si="0"/>
        <v>33242.400000000001</v>
      </c>
      <c r="J44" s="109">
        <v>29</v>
      </c>
      <c r="K44" s="109">
        <f t="shared" ref="K44:K49" si="11">G44*J44</f>
        <v>35704.800000000003</v>
      </c>
      <c r="L44" s="110">
        <f>K44+I44</f>
        <v>68947.200000000012</v>
      </c>
      <c r="M44" s="79"/>
      <c r="O44" s="393"/>
      <c r="P44" s="393"/>
      <c r="Q44" s="399"/>
      <c r="R44" s="399"/>
      <c r="S44" s="394"/>
      <c r="T44" s="394"/>
      <c r="U44" s="400"/>
    </row>
    <row r="45" spans="1:21" s="7" customFormat="1" ht="20.100000000000001" customHeight="1">
      <c r="A45" s="188" t="s">
        <v>110</v>
      </c>
      <c r="B45" s="223" t="s">
        <v>210</v>
      </c>
      <c r="C45" s="105" t="s">
        <v>63</v>
      </c>
      <c r="D45" s="106">
        <v>0</v>
      </c>
      <c r="E45" s="107" t="e">
        <f>E20/2</f>
        <v>#REF!</v>
      </c>
      <c r="F45" s="108"/>
      <c r="G45" s="108">
        <v>945</v>
      </c>
      <c r="H45" s="108">
        <v>30</v>
      </c>
      <c r="I45" s="109">
        <f t="shared" si="0"/>
        <v>28350</v>
      </c>
      <c r="J45" s="109">
        <v>29</v>
      </c>
      <c r="K45" s="109">
        <f t="shared" si="11"/>
        <v>27405</v>
      </c>
      <c r="L45" s="110">
        <f t="shared" ref="L45:L50" si="12">K45+I45</f>
        <v>55755</v>
      </c>
      <c r="M45" s="79"/>
      <c r="O45" s="393"/>
      <c r="P45" s="393"/>
      <c r="Q45" s="399"/>
      <c r="R45" s="399"/>
      <c r="S45" s="394"/>
      <c r="T45" s="394"/>
      <c r="U45" s="400"/>
    </row>
    <row r="46" spans="1:21" s="7" customFormat="1" ht="20.100000000000001" customHeight="1">
      <c r="A46" s="188" t="s">
        <v>111</v>
      </c>
      <c r="B46" s="223" t="s">
        <v>211</v>
      </c>
      <c r="C46" s="105" t="s">
        <v>63</v>
      </c>
      <c r="D46" s="106">
        <v>0</v>
      </c>
      <c r="E46" s="107" t="e">
        <f>#REF!+#REF!+#REF!+#REF!-26</f>
        <v>#REF!</v>
      </c>
      <c r="F46" s="107"/>
      <c r="G46" s="108">
        <v>570.5</v>
      </c>
      <c r="H46" s="108">
        <v>30</v>
      </c>
      <c r="I46" s="109">
        <f t="shared" si="0"/>
        <v>17115</v>
      </c>
      <c r="J46" s="109">
        <v>30</v>
      </c>
      <c r="K46" s="109">
        <f t="shared" si="11"/>
        <v>17115</v>
      </c>
      <c r="L46" s="110">
        <f t="shared" si="12"/>
        <v>34230</v>
      </c>
      <c r="M46" s="79"/>
      <c r="O46" s="393"/>
      <c r="P46" s="393"/>
      <c r="Q46" s="399"/>
      <c r="R46" s="399"/>
      <c r="S46" s="394"/>
      <c r="T46" s="394"/>
      <c r="U46" s="400"/>
    </row>
    <row r="47" spans="1:21" s="7" customFormat="1" ht="22.5" customHeight="1">
      <c r="A47" s="188" t="s">
        <v>112</v>
      </c>
      <c r="B47" s="223" t="s">
        <v>212</v>
      </c>
      <c r="C47" s="105" t="s">
        <v>63</v>
      </c>
      <c r="D47" s="106">
        <v>0</v>
      </c>
      <c r="E47" s="107" t="e">
        <f>#REF!+#REF!+#REF!+#REF!-26</f>
        <v>#REF!</v>
      </c>
      <c r="F47" s="107"/>
      <c r="G47" s="108">
        <v>197</v>
      </c>
      <c r="H47" s="108">
        <v>35</v>
      </c>
      <c r="I47" s="109">
        <f t="shared" si="0"/>
        <v>6895</v>
      </c>
      <c r="J47" s="109">
        <v>36</v>
      </c>
      <c r="K47" s="109">
        <f t="shared" si="11"/>
        <v>7092</v>
      </c>
      <c r="L47" s="110">
        <f t="shared" si="12"/>
        <v>13987</v>
      </c>
      <c r="M47" s="79"/>
      <c r="O47" s="393"/>
      <c r="P47" s="393"/>
      <c r="Q47" s="399"/>
      <c r="R47" s="399"/>
      <c r="S47" s="394"/>
      <c r="T47" s="394"/>
      <c r="U47" s="400"/>
    </row>
    <row r="48" spans="1:21" s="7" customFormat="1" ht="20.100000000000001" customHeight="1">
      <c r="A48" s="188" t="s">
        <v>0</v>
      </c>
      <c r="B48" s="191" t="s">
        <v>174</v>
      </c>
      <c r="C48" s="105" t="s">
        <v>166</v>
      </c>
      <c r="D48" s="106">
        <v>0</v>
      </c>
      <c r="E48" s="107" t="e">
        <f>#REF!</f>
        <v>#REF!</v>
      </c>
      <c r="F48" s="108"/>
      <c r="G48" s="108">
        <v>72</v>
      </c>
      <c r="H48" s="108">
        <v>35</v>
      </c>
      <c r="I48" s="109">
        <f t="shared" si="0"/>
        <v>2520</v>
      </c>
      <c r="J48" s="109">
        <v>25</v>
      </c>
      <c r="K48" s="109">
        <f t="shared" si="11"/>
        <v>1800</v>
      </c>
      <c r="L48" s="110">
        <f t="shared" si="12"/>
        <v>4320</v>
      </c>
      <c r="M48" s="79"/>
      <c r="O48" s="393"/>
      <c r="P48" s="393"/>
      <c r="Q48" s="399"/>
      <c r="R48" s="399"/>
      <c r="S48" s="394"/>
      <c r="T48" s="394"/>
      <c r="U48" s="400"/>
    </row>
    <row r="49" spans="1:21" s="7" customFormat="1" ht="20.100000000000001" customHeight="1">
      <c r="A49" s="188" t="s">
        <v>173</v>
      </c>
      <c r="B49" s="231" t="s">
        <v>187</v>
      </c>
      <c r="C49" s="105" t="s">
        <v>166</v>
      </c>
      <c r="D49" s="106">
        <v>0</v>
      </c>
      <c r="E49" s="107" t="e">
        <f>#REF!</f>
        <v>#REF!</v>
      </c>
      <c r="F49" s="107"/>
      <c r="G49" s="108">
        <v>195</v>
      </c>
      <c r="H49" s="108">
        <v>30</v>
      </c>
      <c r="I49" s="109">
        <f t="shared" si="0"/>
        <v>5850</v>
      </c>
      <c r="J49" s="109">
        <v>20</v>
      </c>
      <c r="K49" s="109">
        <f t="shared" si="11"/>
        <v>3900</v>
      </c>
      <c r="L49" s="110">
        <f t="shared" si="12"/>
        <v>9750</v>
      </c>
      <c r="M49" s="79"/>
      <c r="O49" s="393"/>
      <c r="P49" s="393"/>
      <c r="Q49" s="399"/>
      <c r="R49" s="399"/>
      <c r="S49" s="394"/>
      <c r="T49" s="394"/>
      <c r="U49" s="400"/>
    </row>
    <row r="50" spans="1:21" s="7" customFormat="1" ht="20.100000000000001" customHeight="1">
      <c r="A50" s="188" t="s">
        <v>364</v>
      </c>
      <c r="B50" s="231" t="s">
        <v>164</v>
      </c>
      <c r="C50" s="105" t="s">
        <v>161</v>
      </c>
      <c r="D50" s="106">
        <v>0</v>
      </c>
      <c r="E50" s="107" t="e">
        <f>#REF!</f>
        <v>#REF!</v>
      </c>
      <c r="F50" s="108"/>
      <c r="G50" s="108">
        <v>4</v>
      </c>
      <c r="H50" s="108">
        <v>3000</v>
      </c>
      <c r="I50" s="109">
        <f t="shared" si="0"/>
        <v>12000</v>
      </c>
      <c r="J50" s="109"/>
      <c r="K50" s="109"/>
      <c r="L50" s="110">
        <f t="shared" si="12"/>
        <v>12000</v>
      </c>
      <c r="M50" s="111"/>
      <c r="O50" s="393"/>
      <c r="P50" s="393"/>
      <c r="Q50" s="399"/>
      <c r="R50" s="399"/>
      <c r="S50" s="394"/>
      <c r="T50" s="394"/>
      <c r="U50" s="400"/>
    </row>
    <row r="51" spans="1:21" s="1" customFormat="1" ht="20.100000000000001" customHeight="1" thickBot="1">
      <c r="A51" s="232"/>
      <c r="B51" s="282"/>
      <c r="C51" s="113"/>
      <c r="D51" s="114"/>
      <c r="E51" s="115"/>
      <c r="F51" s="116"/>
      <c r="G51" s="116"/>
      <c r="H51" s="116"/>
      <c r="I51" s="109">
        <f t="shared" si="0"/>
        <v>0</v>
      </c>
      <c r="J51" s="117"/>
      <c r="K51" s="109"/>
      <c r="L51" s="110">
        <f>K51+I51</f>
        <v>0</v>
      </c>
      <c r="M51" s="119"/>
      <c r="O51" s="393"/>
      <c r="P51" s="393"/>
      <c r="Q51" s="399"/>
      <c r="R51" s="399"/>
      <c r="S51" s="394"/>
      <c r="T51" s="394"/>
      <c r="U51" s="400"/>
    </row>
    <row r="52" spans="1:21" s="1" customFormat="1" ht="20.100000000000001" customHeight="1" thickTop="1" thickBot="1">
      <c r="A52" s="274"/>
      <c r="B52" s="275" t="s">
        <v>198</v>
      </c>
      <c r="C52" s="276"/>
      <c r="D52" s="277"/>
      <c r="E52" s="278"/>
      <c r="F52" s="278"/>
      <c r="G52" s="278"/>
      <c r="H52" s="279"/>
      <c r="I52" s="280">
        <f>I44+I45+I46+I47+I48+I49+I50</f>
        <v>105972.4</v>
      </c>
      <c r="J52" s="279"/>
      <c r="K52" s="280">
        <f>SUM(K44:K51)</f>
        <v>93016.8</v>
      </c>
      <c r="L52" s="280">
        <f>SUM(L44:L51)</f>
        <v>198989.2</v>
      </c>
      <c r="M52" s="281"/>
      <c r="O52" s="393"/>
      <c r="P52" s="393"/>
      <c r="Q52" s="399"/>
      <c r="R52" s="399"/>
      <c r="S52" s="394"/>
      <c r="T52" s="394"/>
      <c r="U52" s="400"/>
    </row>
    <row r="53" spans="1:21" s="1" customFormat="1" ht="20.100000000000001" customHeight="1" thickTop="1">
      <c r="A53" s="121" t="s">
        <v>19</v>
      </c>
      <c r="B53" s="122" t="s">
        <v>378</v>
      </c>
      <c r="C53" s="93"/>
      <c r="D53" s="94"/>
      <c r="E53" s="95"/>
      <c r="F53" s="75"/>
      <c r="G53" s="75"/>
      <c r="H53" s="123"/>
      <c r="I53" s="109"/>
      <c r="J53" s="123"/>
      <c r="K53" s="123"/>
      <c r="L53" s="77"/>
      <c r="M53" s="124"/>
      <c r="O53" s="393"/>
      <c r="P53" s="393"/>
      <c r="Q53" s="393"/>
      <c r="R53" s="393"/>
      <c r="S53" s="394"/>
      <c r="T53" s="394"/>
      <c r="U53" s="394"/>
    </row>
    <row r="54" spans="1:21" s="1" customFormat="1" ht="20.100000000000001" customHeight="1">
      <c r="A54" s="80" t="s">
        <v>113</v>
      </c>
      <c r="B54" s="96" t="s">
        <v>171</v>
      </c>
      <c r="C54" s="82"/>
      <c r="D54" s="83"/>
      <c r="E54" s="163"/>
      <c r="F54" s="100"/>
      <c r="G54" s="84"/>
      <c r="H54" s="177"/>
      <c r="I54" s="109"/>
      <c r="J54" s="177"/>
      <c r="K54" s="177"/>
      <c r="L54" s="86"/>
      <c r="M54" s="102"/>
      <c r="O54" s="393"/>
      <c r="P54" s="393"/>
      <c r="Q54" s="393"/>
      <c r="R54" s="393"/>
      <c r="S54" s="394"/>
      <c r="T54" s="394"/>
      <c r="U54" s="394"/>
    </row>
    <row r="55" spans="1:21" s="1" customFormat="1" ht="20.100000000000001" customHeight="1">
      <c r="A55" s="188" t="s">
        <v>114</v>
      </c>
      <c r="B55" s="189" t="s">
        <v>188</v>
      </c>
      <c r="C55" s="105" t="s">
        <v>115</v>
      </c>
      <c r="D55" s="106"/>
      <c r="E55" s="107"/>
      <c r="F55" s="108"/>
      <c r="G55" s="108">
        <v>4</v>
      </c>
      <c r="H55" s="108">
        <v>8200</v>
      </c>
      <c r="I55" s="109">
        <f t="shared" si="0"/>
        <v>32800</v>
      </c>
      <c r="J55" s="109"/>
      <c r="K55" s="109"/>
      <c r="L55" s="110">
        <f t="shared" ref="L55:L118" si="13">K55+I55</f>
        <v>32800</v>
      </c>
      <c r="M55" s="111" t="s">
        <v>33</v>
      </c>
      <c r="O55" s="393"/>
      <c r="P55" s="393"/>
      <c r="Q55" s="393"/>
      <c r="R55" s="393"/>
      <c r="S55" s="394"/>
      <c r="T55" s="394"/>
      <c r="U55" s="394"/>
    </row>
    <row r="56" spans="1:21" s="7" customFormat="1" ht="18.899999999999999" customHeight="1">
      <c r="A56" s="155" t="s">
        <v>116</v>
      </c>
      <c r="B56" s="417" t="s">
        <v>189</v>
      </c>
      <c r="C56" s="157" t="s">
        <v>115</v>
      </c>
      <c r="D56" s="158"/>
      <c r="E56" s="159"/>
      <c r="F56" s="160"/>
      <c r="G56" s="160">
        <v>4</v>
      </c>
      <c r="H56" s="418">
        <v>9450</v>
      </c>
      <c r="I56" s="125">
        <f t="shared" si="0"/>
        <v>37800</v>
      </c>
      <c r="J56" s="266"/>
      <c r="K56" s="266"/>
      <c r="L56" s="161">
        <f t="shared" si="13"/>
        <v>37800</v>
      </c>
      <c r="M56" s="79" t="s">
        <v>33</v>
      </c>
      <c r="O56" s="401">
        <f>H56/2500</f>
        <v>3.78</v>
      </c>
      <c r="P56" s="401">
        <f>O56*2300</f>
        <v>8694</v>
      </c>
      <c r="Q56" s="393">
        <f>G56*P56</f>
        <v>34776</v>
      </c>
      <c r="R56" s="393"/>
      <c r="S56" s="402">
        <f>O56*3200</f>
        <v>12096</v>
      </c>
      <c r="T56" s="394">
        <f t="shared" ref="T56:T57" si="14">G56*S56</f>
        <v>48384</v>
      </c>
      <c r="U56" s="394"/>
    </row>
    <row r="57" spans="1:21" s="7" customFormat="1" ht="18.899999999999999" customHeight="1">
      <c r="A57" s="155" t="s">
        <v>117</v>
      </c>
      <c r="B57" s="417" t="s">
        <v>190</v>
      </c>
      <c r="C57" s="157" t="s">
        <v>115</v>
      </c>
      <c r="D57" s="158">
        <v>0</v>
      </c>
      <c r="E57" s="159">
        <v>6</v>
      </c>
      <c r="F57" s="160"/>
      <c r="G57" s="160">
        <v>12</v>
      </c>
      <c r="H57" s="418">
        <v>10250</v>
      </c>
      <c r="I57" s="125">
        <f t="shared" si="0"/>
        <v>123000</v>
      </c>
      <c r="J57" s="266"/>
      <c r="K57" s="266"/>
      <c r="L57" s="161">
        <f t="shared" si="13"/>
        <v>123000</v>
      </c>
      <c r="M57" s="79"/>
      <c r="O57" s="401">
        <f>H57/2500</f>
        <v>4.0999999999999996</v>
      </c>
      <c r="P57" s="401">
        <f>O57*2300</f>
        <v>9430</v>
      </c>
      <c r="Q57" s="393">
        <f>G57*P57</f>
        <v>113160</v>
      </c>
      <c r="R57" s="393"/>
      <c r="S57" s="402">
        <f>O57*3200</f>
        <v>13119.999999999998</v>
      </c>
      <c r="T57" s="394">
        <f t="shared" si="14"/>
        <v>157439.99999999997</v>
      </c>
      <c r="U57" s="394"/>
    </row>
    <row r="58" spans="1:21" s="7" customFormat="1" ht="18.899999999999999" customHeight="1">
      <c r="A58" s="188" t="s">
        <v>118</v>
      </c>
      <c r="B58" s="189" t="s">
        <v>191</v>
      </c>
      <c r="C58" s="105" t="s">
        <v>115</v>
      </c>
      <c r="D58" s="106"/>
      <c r="E58" s="107"/>
      <c r="F58" s="108"/>
      <c r="G58" s="108">
        <v>8</v>
      </c>
      <c r="H58" s="283">
        <v>5535</v>
      </c>
      <c r="I58" s="109">
        <f t="shared" si="0"/>
        <v>44280</v>
      </c>
      <c r="J58" s="266"/>
      <c r="K58" s="266"/>
      <c r="L58" s="110">
        <f t="shared" si="13"/>
        <v>44280</v>
      </c>
      <c r="M58" s="111"/>
      <c r="O58" s="401"/>
      <c r="P58" s="401"/>
      <c r="Q58" s="393"/>
      <c r="R58" s="393"/>
      <c r="S58" s="402"/>
      <c r="T58" s="394"/>
      <c r="U58" s="400"/>
    </row>
    <row r="59" spans="1:21" s="7" customFormat="1" ht="18.899999999999999" customHeight="1">
      <c r="A59" s="188" t="s">
        <v>119</v>
      </c>
      <c r="B59" s="189" t="s">
        <v>192</v>
      </c>
      <c r="C59" s="105" t="s">
        <v>115</v>
      </c>
      <c r="D59" s="106"/>
      <c r="E59" s="107"/>
      <c r="F59" s="108"/>
      <c r="G59" s="108">
        <v>12</v>
      </c>
      <c r="H59" s="108">
        <v>4612.5</v>
      </c>
      <c r="I59" s="109">
        <f t="shared" si="0"/>
        <v>55350</v>
      </c>
      <c r="J59" s="109"/>
      <c r="K59" s="109"/>
      <c r="L59" s="110">
        <f t="shared" si="13"/>
        <v>55350</v>
      </c>
      <c r="M59" s="111"/>
      <c r="O59" s="401"/>
      <c r="P59" s="401"/>
      <c r="Q59" s="393"/>
      <c r="R59" s="393"/>
      <c r="S59" s="402"/>
      <c r="T59" s="394"/>
      <c r="U59" s="400"/>
    </row>
    <row r="60" spans="1:21" s="7" customFormat="1" ht="18.899999999999999" customHeight="1">
      <c r="A60" s="188" t="s">
        <v>120</v>
      </c>
      <c r="B60" s="189" t="s">
        <v>193</v>
      </c>
      <c r="C60" s="105" t="s">
        <v>115</v>
      </c>
      <c r="D60" s="106">
        <v>0</v>
      </c>
      <c r="E60" s="107"/>
      <c r="F60" s="108"/>
      <c r="G60" s="108">
        <v>8</v>
      </c>
      <c r="H60" s="108">
        <v>4612.5</v>
      </c>
      <c r="I60" s="109">
        <f t="shared" si="0"/>
        <v>36900</v>
      </c>
      <c r="J60" s="109"/>
      <c r="K60" s="109"/>
      <c r="L60" s="110">
        <f t="shared" si="13"/>
        <v>36900</v>
      </c>
      <c r="M60" s="111"/>
      <c r="O60" s="401"/>
      <c r="P60" s="401"/>
      <c r="Q60" s="393"/>
      <c r="R60" s="393"/>
      <c r="S60" s="402"/>
      <c r="T60" s="394"/>
      <c r="U60" s="400"/>
    </row>
    <row r="61" spans="1:21" s="7" customFormat="1" ht="18.899999999999999" customHeight="1">
      <c r="A61" s="188" t="s">
        <v>380</v>
      </c>
      <c r="B61" s="189" t="s">
        <v>381</v>
      </c>
      <c r="C61" s="105" t="s">
        <v>115</v>
      </c>
      <c r="D61" s="106">
        <v>0</v>
      </c>
      <c r="E61" s="107">
        <f>22+6</f>
        <v>28</v>
      </c>
      <c r="F61" s="108"/>
      <c r="G61" s="108">
        <v>4</v>
      </c>
      <c r="H61" s="108">
        <v>4100</v>
      </c>
      <c r="I61" s="109">
        <f t="shared" si="0"/>
        <v>16400</v>
      </c>
      <c r="J61" s="109"/>
      <c r="K61" s="109"/>
      <c r="L61" s="110">
        <f t="shared" si="13"/>
        <v>16400</v>
      </c>
      <c r="M61" s="111"/>
      <c r="O61" s="401"/>
      <c r="P61" s="401"/>
      <c r="Q61" s="393"/>
      <c r="R61" s="393"/>
      <c r="S61" s="402"/>
      <c r="T61" s="394"/>
      <c r="U61" s="400"/>
    </row>
    <row r="62" spans="1:21" s="7" customFormat="1" ht="18.899999999999999" customHeight="1">
      <c r="A62" s="188" t="s">
        <v>382</v>
      </c>
      <c r="B62" s="189" t="s">
        <v>383</v>
      </c>
      <c r="C62" s="105" t="s">
        <v>115</v>
      </c>
      <c r="D62" s="106">
        <v>0</v>
      </c>
      <c r="E62" s="107">
        <f>22+6</f>
        <v>28</v>
      </c>
      <c r="F62" s="108"/>
      <c r="G62" s="108">
        <v>4</v>
      </c>
      <c r="H62" s="108">
        <v>6500</v>
      </c>
      <c r="I62" s="109">
        <f t="shared" si="0"/>
        <v>26000</v>
      </c>
      <c r="J62" s="109"/>
      <c r="K62" s="109"/>
      <c r="L62" s="110">
        <f t="shared" si="13"/>
        <v>26000</v>
      </c>
      <c r="M62" s="111"/>
      <c r="O62" s="401"/>
      <c r="P62" s="401"/>
      <c r="Q62" s="393"/>
      <c r="R62" s="393"/>
      <c r="S62" s="402"/>
      <c r="T62" s="394"/>
      <c r="U62" s="400"/>
    </row>
    <row r="63" spans="1:21" s="7" customFormat="1" ht="18.899999999999999" customHeight="1">
      <c r="A63" s="188" t="s">
        <v>384</v>
      </c>
      <c r="B63" s="189" t="s">
        <v>385</v>
      </c>
      <c r="C63" s="105" t="s">
        <v>115</v>
      </c>
      <c r="D63" s="106">
        <v>0</v>
      </c>
      <c r="E63" s="107">
        <f>22+6</f>
        <v>28</v>
      </c>
      <c r="F63" s="108"/>
      <c r="G63" s="108">
        <v>4</v>
      </c>
      <c r="H63" s="283">
        <v>5625</v>
      </c>
      <c r="I63" s="109">
        <f t="shared" si="0"/>
        <v>22500</v>
      </c>
      <c r="J63" s="266"/>
      <c r="K63" s="266"/>
      <c r="L63" s="110">
        <f t="shared" si="13"/>
        <v>22500</v>
      </c>
      <c r="M63" s="111"/>
      <c r="O63" s="401"/>
      <c r="P63" s="401"/>
      <c r="Q63" s="393"/>
      <c r="R63" s="393"/>
      <c r="S63" s="402"/>
      <c r="T63" s="394"/>
      <c r="U63" s="400"/>
    </row>
    <row r="64" spans="1:21" s="7" customFormat="1" ht="18.899999999999999" customHeight="1">
      <c r="A64" s="155" t="s">
        <v>386</v>
      </c>
      <c r="B64" s="417" t="s">
        <v>387</v>
      </c>
      <c r="C64" s="157" t="s">
        <v>115</v>
      </c>
      <c r="D64" s="158"/>
      <c r="E64" s="159"/>
      <c r="F64" s="160"/>
      <c r="G64" s="160">
        <v>4</v>
      </c>
      <c r="H64" s="422">
        <v>12500</v>
      </c>
      <c r="I64" s="125">
        <f t="shared" si="0"/>
        <v>50000</v>
      </c>
      <c r="J64" s="266"/>
      <c r="K64" s="266"/>
      <c r="L64" s="161">
        <f t="shared" si="13"/>
        <v>50000</v>
      </c>
      <c r="M64" s="79"/>
      <c r="O64" s="401">
        <f t="shared" ref="O64:O65" si="15">H64/2500</f>
        <v>5</v>
      </c>
      <c r="P64" s="401">
        <f t="shared" ref="P64:P65" si="16">O64*2300</f>
        <v>11500</v>
      </c>
      <c r="Q64" s="393">
        <f t="shared" ref="Q64:Q65" si="17">G64*P64</f>
        <v>46000</v>
      </c>
      <c r="R64" s="393"/>
      <c r="S64" s="402">
        <f t="shared" ref="S64:S65" si="18">O64*3200</f>
        <v>16000</v>
      </c>
      <c r="T64" s="394">
        <f t="shared" ref="T64:T65" si="19">G64*S64</f>
        <v>64000</v>
      </c>
      <c r="U64" s="400"/>
    </row>
    <row r="65" spans="1:21" s="7" customFormat="1" ht="18.899999999999999" customHeight="1">
      <c r="A65" s="155" t="s">
        <v>444</v>
      </c>
      <c r="B65" s="417" t="s">
        <v>445</v>
      </c>
      <c r="C65" s="157" t="s">
        <v>115</v>
      </c>
      <c r="D65" s="158">
        <v>0</v>
      </c>
      <c r="E65" s="159">
        <f>22+6</f>
        <v>28</v>
      </c>
      <c r="F65" s="160"/>
      <c r="G65" s="160">
        <v>8</v>
      </c>
      <c r="H65" s="160">
        <v>15625</v>
      </c>
      <c r="I65" s="125">
        <f t="shared" si="0"/>
        <v>125000</v>
      </c>
      <c r="J65" s="125"/>
      <c r="K65" s="125"/>
      <c r="L65" s="161">
        <f t="shared" si="13"/>
        <v>125000</v>
      </c>
      <c r="M65" s="79"/>
      <c r="O65" s="401">
        <f t="shared" si="15"/>
        <v>6.25</v>
      </c>
      <c r="P65" s="401">
        <f t="shared" si="16"/>
        <v>14375</v>
      </c>
      <c r="Q65" s="393">
        <f t="shared" si="17"/>
        <v>115000</v>
      </c>
      <c r="R65" s="393"/>
      <c r="S65" s="402">
        <f t="shared" si="18"/>
        <v>20000</v>
      </c>
      <c r="T65" s="394">
        <f t="shared" si="19"/>
        <v>160000</v>
      </c>
      <c r="U65" s="400"/>
    </row>
    <row r="66" spans="1:21" s="7" customFormat="1" ht="18.899999999999999" customHeight="1">
      <c r="A66" s="356"/>
      <c r="I66" s="109">
        <f t="shared" si="0"/>
        <v>0</v>
      </c>
      <c r="L66" s="110">
        <f t="shared" si="13"/>
        <v>0</v>
      </c>
      <c r="M66" s="357"/>
      <c r="O66" s="401"/>
      <c r="P66" s="401"/>
      <c r="Q66" s="393"/>
      <c r="R66" s="393"/>
      <c r="S66" s="402"/>
      <c r="T66" s="394"/>
      <c r="U66" s="400"/>
    </row>
    <row r="67" spans="1:21" s="1" customFormat="1" ht="18.899999999999999" customHeight="1">
      <c r="A67" s="155" t="s">
        <v>121</v>
      </c>
      <c r="B67" s="345" t="s">
        <v>122</v>
      </c>
      <c r="C67" s="157"/>
      <c r="D67" s="158"/>
      <c r="E67" s="159"/>
      <c r="F67" s="108"/>
      <c r="G67" s="160"/>
      <c r="H67" s="266"/>
      <c r="I67" s="109">
        <f t="shared" si="0"/>
        <v>0</v>
      </c>
      <c r="J67" s="266"/>
      <c r="K67" s="266"/>
      <c r="L67" s="110">
        <f t="shared" si="13"/>
        <v>0</v>
      </c>
      <c r="M67" s="111"/>
      <c r="O67" s="404"/>
      <c r="P67" s="405"/>
      <c r="Q67" s="406"/>
      <c r="R67" s="406"/>
      <c r="S67" s="394"/>
      <c r="T67" s="394"/>
      <c r="U67" s="400"/>
    </row>
    <row r="68" spans="1:21" s="1" customFormat="1" ht="18.899999999999999" customHeight="1">
      <c r="A68" s="155" t="s">
        <v>123</v>
      </c>
      <c r="B68" s="417" t="s">
        <v>194</v>
      </c>
      <c r="C68" s="157" t="s">
        <v>115</v>
      </c>
      <c r="D68" s="158">
        <v>0</v>
      </c>
      <c r="E68" s="159">
        <v>4</v>
      </c>
      <c r="F68" s="160"/>
      <c r="G68" s="160">
        <v>4</v>
      </c>
      <c r="H68" s="418">
        <v>8000</v>
      </c>
      <c r="I68" s="125">
        <f t="shared" si="0"/>
        <v>32000</v>
      </c>
      <c r="J68" s="266"/>
      <c r="K68" s="266"/>
      <c r="L68" s="161">
        <f t="shared" si="13"/>
        <v>32000</v>
      </c>
      <c r="M68" s="79"/>
      <c r="O68" s="401">
        <f>H68/2500</f>
        <v>3.2</v>
      </c>
      <c r="P68" s="401">
        <f>O68*2300</f>
        <v>7360</v>
      </c>
      <c r="Q68" s="393">
        <f>G68*P68</f>
        <v>29440</v>
      </c>
      <c r="R68" s="393"/>
      <c r="S68" s="402">
        <f>O68*3200</f>
        <v>10240</v>
      </c>
      <c r="T68" s="394">
        <f t="shared" ref="T68:T69" si="20">G68*S68</f>
        <v>40960</v>
      </c>
      <c r="U68" s="394"/>
    </row>
    <row r="69" spans="1:21" s="1" customFormat="1" ht="18.899999999999999" customHeight="1">
      <c r="A69" s="155" t="s">
        <v>124</v>
      </c>
      <c r="B69" s="417" t="s">
        <v>195</v>
      </c>
      <c r="C69" s="157" t="s">
        <v>115</v>
      </c>
      <c r="D69" s="158"/>
      <c r="E69" s="159">
        <v>4</v>
      </c>
      <c r="F69" s="160"/>
      <c r="G69" s="160">
        <v>4</v>
      </c>
      <c r="H69" s="418">
        <v>10000</v>
      </c>
      <c r="I69" s="125">
        <f t="shared" si="0"/>
        <v>40000</v>
      </c>
      <c r="J69" s="266"/>
      <c r="K69" s="266"/>
      <c r="L69" s="161">
        <f t="shared" si="13"/>
        <v>40000</v>
      </c>
      <c r="M69" s="79"/>
      <c r="O69" s="401">
        <f t="shared" ref="O69" si="21">H69/2500</f>
        <v>4</v>
      </c>
      <c r="P69" s="401">
        <f t="shared" ref="P69:P72" si="22">O69*2300</f>
        <v>9200</v>
      </c>
      <c r="Q69" s="393">
        <f t="shared" ref="Q69" si="23">G69*P69</f>
        <v>36800</v>
      </c>
      <c r="R69" s="393"/>
      <c r="S69" s="402">
        <f t="shared" ref="S69" si="24">O69*3200</f>
        <v>12800</v>
      </c>
      <c r="T69" s="394">
        <f t="shared" si="20"/>
        <v>51200</v>
      </c>
      <c r="U69" s="394"/>
    </row>
    <row r="70" spans="1:21" s="1" customFormat="1" ht="18.899999999999999" customHeight="1">
      <c r="A70" s="188" t="s">
        <v>365</v>
      </c>
      <c r="B70" s="189" t="s">
        <v>366</v>
      </c>
      <c r="C70" s="105" t="s">
        <v>115</v>
      </c>
      <c r="D70" s="106"/>
      <c r="E70" s="107">
        <v>4</v>
      </c>
      <c r="F70" s="108"/>
      <c r="G70" s="108">
        <v>12</v>
      </c>
      <c r="H70" s="283">
        <v>750</v>
      </c>
      <c r="I70" s="109">
        <f t="shared" si="0"/>
        <v>9000</v>
      </c>
      <c r="J70" s="266"/>
      <c r="K70" s="266"/>
      <c r="L70" s="110">
        <f t="shared" si="13"/>
        <v>9000</v>
      </c>
      <c r="M70" s="111"/>
      <c r="O70" s="401"/>
      <c r="P70" s="401"/>
      <c r="Q70" s="393"/>
      <c r="R70" s="393"/>
      <c r="S70" s="402"/>
      <c r="T70" s="394"/>
      <c r="U70" s="394"/>
    </row>
    <row r="71" spans="1:21" s="1" customFormat="1" ht="18.899999999999999" customHeight="1">
      <c r="A71" s="155" t="s">
        <v>391</v>
      </c>
      <c r="B71" s="417" t="s">
        <v>392</v>
      </c>
      <c r="C71" s="157" t="s">
        <v>115</v>
      </c>
      <c r="D71" s="158"/>
      <c r="E71" s="159">
        <v>4</v>
      </c>
      <c r="F71" s="160"/>
      <c r="G71" s="160">
        <v>4</v>
      </c>
      <c r="H71" s="418">
        <v>4300</v>
      </c>
      <c r="I71" s="125">
        <f t="shared" si="0"/>
        <v>17200</v>
      </c>
      <c r="J71" s="266"/>
      <c r="K71" s="266"/>
      <c r="L71" s="161">
        <f t="shared" si="13"/>
        <v>17200</v>
      </c>
      <c r="M71" s="79"/>
      <c r="O71" s="401">
        <f>H71/2500</f>
        <v>1.72</v>
      </c>
      <c r="P71" s="401">
        <f>O71*2300</f>
        <v>3956</v>
      </c>
      <c r="Q71" s="393">
        <f>G71*P71</f>
        <v>15824</v>
      </c>
      <c r="R71" s="393"/>
      <c r="S71" s="402">
        <f>O71*3200</f>
        <v>5504</v>
      </c>
      <c r="T71" s="394">
        <f t="shared" ref="T71:T72" si="25">G71*S71</f>
        <v>22016</v>
      </c>
      <c r="U71" s="394"/>
    </row>
    <row r="72" spans="1:21" s="1" customFormat="1" ht="18.899999999999999" customHeight="1">
      <c r="A72" s="155" t="s">
        <v>396</v>
      </c>
      <c r="B72" s="417" t="s">
        <v>397</v>
      </c>
      <c r="C72" s="157" t="s">
        <v>115</v>
      </c>
      <c r="D72" s="419"/>
      <c r="E72" s="420"/>
      <c r="F72" s="421"/>
      <c r="G72" s="160">
        <v>4</v>
      </c>
      <c r="H72" s="418">
        <v>7800</v>
      </c>
      <c r="I72" s="125">
        <f t="shared" si="0"/>
        <v>31200</v>
      </c>
      <c r="J72" s="360"/>
      <c r="K72" s="360"/>
      <c r="L72" s="161">
        <f t="shared" si="13"/>
        <v>31200</v>
      </c>
      <c r="M72" s="89"/>
      <c r="O72" s="401">
        <f t="shared" ref="O72" si="26">H72/2500</f>
        <v>3.12</v>
      </c>
      <c r="P72" s="401">
        <f t="shared" si="22"/>
        <v>7176</v>
      </c>
      <c r="Q72" s="393">
        <f t="shared" ref="Q72" si="27">G72*P72</f>
        <v>28704</v>
      </c>
      <c r="R72" s="393"/>
      <c r="S72" s="402">
        <f t="shared" ref="S72" si="28">O72*3200</f>
        <v>9984</v>
      </c>
      <c r="T72" s="394">
        <f t="shared" si="25"/>
        <v>39936</v>
      </c>
      <c r="U72" s="402"/>
    </row>
    <row r="73" spans="1:21" s="1" customFormat="1" ht="18.899999999999999" customHeight="1">
      <c r="A73" s="155" t="s">
        <v>446</v>
      </c>
      <c r="B73" s="417" t="s">
        <v>447</v>
      </c>
      <c r="C73" s="157" t="s">
        <v>115</v>
      </c>
      <c r="D73" s="419"/>
      <c r="E73" s="420"/>
      <c r="F73" s="421"/>
      <c r="G73" s="160">
        <v>8</v>
      </c>
      <c r="H73" s="418">
        <v>1800</v>
      </c>
      <c r="I73" s="125">
        <f t="shared" si="0"/>
        <v>14400</v>
      </c>
      <c r="J73" s="360"/>
      <c r="K73" s="360"/>
      <c r="L73" s="161">
        <f t="shared" si="13"/>
        <v>14400</v>
      </c>
      <c r="M73" s="89"/>
      <c r="O73" s="401">
        <f>H73/2500</f>
        <v>0.72</v>
      </c>
      <c r="P73" s="401">
        <f>O73*2300</f>
        <v>1656</v>
      </c>
      <c r="Q73" s="393">
        <f>G73*P73</f>
        <v>13248</v>
      </c>
      <c r="R73" s="393"/>
      <c r="S73" s="402">
        <f>O73*3200</f>
        <v>2304</v>
      </c>
      <c r="T73" s="394">
        <f t="shared" ref="T73" si="29">G73*S73</f>
        <v>18432</v>
      </c>
      <c r="U73" s="394"/>
    </row>
    <row r="74" spans="1:21" s="1" customFormat="1" ht="18.899999999999999" customHeight="1" thickBot="1">
      <c r="A74" s="256"/>
      <c r="B74" s="358"/>
      <c r="C74" s="257"/>
      <c r="D74" s="258"/>
      <c r="E74" s="259"/>
      <c r="F74" s="260"/>
      <c r="G74" s="260"/>
      <c r="H74" s="359"/>
      <c r="I74" s="109">
        <f t="shared" si="0"/>
        <v>0</v>
      </c>
      <c r="J74" s="360"/>
      <c r="K74" s="360"/>
      <c r="L74" s="110">
        <f t="shared" si="13"/>
        <v>0</v>
      </c>
      <c r="M74" s="337"/>
      <c r="O74" s="404"/>
      <c r="P74" s="405"/>
      <c r="Q74" s="409"/>
      <c r="R74" s="410"/>
      <c r="S74" s="394"/>
      <c r="T74" s="394"/>
      <c r="U74" s="402"/>
    </row>
    <row r="75" spans="1:21" s="1" customFormat="1" ht="18.899999999999999" customHeight="1" thickTop="1" thickBot="1">
      <c r="A75" s="38"/>
      <c r="B75" s="39" t="s">
        <v>125</v>
      </c>
      <c r="C75" s="42"/>
      <c r="D75" s="43"/>
      <c r="E75" s="44"/>
      <c r="F75" s="44"/>
      <c r="G75" s="29">
        <f>SUM(G55:G74)</f>
        <v>108</v>
      </c>
      <c r="H75" s="45"/>
      <c r="I75" s="29">
        <f>SUM(I55:I74)</f>
        <v>713830</v>
      </c>
      <c r="J75" s="45"/>
      <c r="K75" s="29"/>
      <c r="L75" s="29">
        <f>SUM(L55:L74)</f>
        <v>713830</v>
      </c>
      <c r="M75" s="30"/>
      <c r="O75" s="407">
        <f>SUM(I56:I57,I64:I65,I68:I69,I71:I73)</f>
        <v>470600</v>
      </c>
      <c r="P75" s="405"/>
      <c r="Q75" s="406">
        <f>SUM(Q55:Q74)</f>
        <v>432952</v>
      </c>
      <c r="R75" s="408">
        <f>O75-Q75</f>
        <v>37648</v>
      </c>
      <c r="S75" s="402"/>
      <c r="T75" s="406">
        <f>SUM(T55:T74)</f>
        <v>602368</v>
      </c>
      <c r="U75" s="402">
        <f>O75-T75</f>
        <v>-131768</v>
      </c>
    </row>
    <row r="76" spans="1:21" s="1" customFormat="1" ht="18.899999999999999" customHeight="1" thickTop="1">
      <c r="A76" s="73" t="s">
        <v>20</v>
      </c>
      <c r="B76" s="74" t="s">
        <v>186</v>
      </c>
      <c r="C76" s="93"/>
      <c r="D76" s="94"/>
      <c r="E76" s="95"/>
      <c r="F76" s="75"/>
      <c r="G76" s="75"/>
      <c r="H76" s="76"/>
      <c r="I76" s="76"/>
      <c r="J76" s="76"/>
      <c r="K76" s="76"/>
      <c r="L76" s="110">
        <f t="shared" si="13"/>
        <v>0</v>
      </c>
      <c r="M76" s="78"/>
      <c r="O76" s="404"/>
      <c r="P76" s="405"/>
      <c r="Q76" s="406"/>
      <c r="R76" s="406"/>
      <c r="S76" s="394"/>
      <c r="T76" s="394"/>
      <c r="U76" s="394"/>
    </row>
    <row r="77" spans="1:21" s="1" customFormat="1" ht="18.899999999999999" customHeight="1">
      <c r="A77" s="268" t="s">
        <v>126</v>
      </c>
      <c r="B77" s="96" t="s">
        <v>398</v>
      </c>
      <c r="C77" s="97"/>
      <c r="D77" s="98"/>
      <c r="E77" s="99"/>
      <c r="F77" s="100"/>
      <c r="G77" s="100"/>
      <c r="H77" s="101"/>
      <c r="I77" s="101"/>
      <c r="J77" s="101"/>
      <c r="K77" s="101"/>
      <c r="L77" s="110">
        <f t="shared" si="13"/>
        <v>0</v>
      </c>
      <c r="M77" s="102"/>
      <c r="O77" s="404"/>
      <c r="P77" s="405"/>
      <c r="Q77" s="409"/>
      <c r="R77" s="410">
        <f>R75+Q42+Q23</f>
        <v>177108.875</v>
      </c>
      <c r="S77" s="394"/>
      <c r="T77" s="394"/>
      <c r="U77" s="402">
        <f>U75+U42+U23</f>
        <v>-573274.94499999995</v>
      </c>
    </row>
    <row r="78" spans="1:21" s="7" customFormat="1" ht="18.899999999999999" customHeight="1">
      <c r="A78" s="103" t="s">
        <v>127</v>
      </c>
      <c r="B78" s="189" t="s">
        <v>213</v>
      </c>
      <c r="C78" s="105" t="s">
        <v>115</v>
      </c>
      <c r="D78" s="106">
        <v>0</v>
      </c>
      <c r="E78" s="107">
        <v>12</v>
      </c>
      <c r="F78" s="108"/>
      <c r="G78" s="108">
        <v>4</v>
      </c>
      <c r="H78" s="108">
        <v>4628</v>
      </c>
      <c r="I78" s="109">
        <f>G78*H78</f>
        <v>18512</v>
      </c>
      <c r="J78" s="109"/>
      <c r="K78" s="109"/>
      <c r="L78" s="110">
        <f t="shared" si="13"/>
        <v>18512</v>
      </c>
      <c r="M78" s="79"/>
      <c r="O78" s="404"/>
      <c r="P78" s="405"/>
      <c r="Q78" s="409"/>
      <c r="R78" s="410">
        <f>R77*1.1</f>
        <v>194819.76250000001</v>
      </c>
      <c r="S78" s="394"/>
      <c r="T78" s="394"/>
      <c r="U78" s="410">
        <f>U77*1.1</f>
        <v>-630602.43949999998</v>
      </c>
    </row>
    <row r="79" spans="1:21" s="7" customFormat="1" ht="18.899999999999999" customHeight="1">
      <c r="A79" s="103" t="s">
        <v>128</v>
      </c>
      <c r="B79" s="235" t="s">
        <v>214</v>
      </c>
      <c r="C79" s="105" t="s">
        <v>115</v>
      </c>
      <c r="D79" s="106">
        <v>0</v>
      </c>
      <c r="E79" s="107">
        <v>28</v>
      </c>
      <c r="F79" s="108"/>
      <c r="G79" s="108">
        <v>4</v>
      </c>
      <c r="H79" s="108">
        <v>150</v>
      </c>
      <c r="I79" s="109">
        <f t="shared" ref="I79:I127" si="30">G79*H79</f>
        <v>600</v>
      </c>
      <c r="J79" s="109"/>
      <c r="K79" s="109"/>
      <c r="L79" s="110">
        <f t="shared" si="13"/>
        <v>600</v>
      </c>
      <c r="M79" s="79"/>
      <c r="O79" s="404"/>
      <c r="P79" s="405"/>
      <c r="Q79" s="409"/>
      <c r="R79" s="411">
        <f>R78*1.07</f>
        <v>208457.14587500002</v>
      </c>
      <c r="S79" s="394"/>
      <c r="T79" s="394"/>
      <c r="U79" s="411">
        <f>U78*1.07</f>
        <v>-674744.61026500002</v>
      </c>
    </row>
    <row r="80" spans="1:21" s="7" customFormat="1" ht="18.899999999999999" customHeight="1">
      <c r="A80" s="103" t="s">
        <v>129</v>
      </c>
      <c r="B80" s="235" t="s">
        <v>215</v>
      </c>
      <c r="C80" s="105" t="s">
        <v>115</v>
      </c>
      <c r="D80" s="106">
        <v>0</v>
      </c>
      <c r="E80" s="107">
        <v>28</v>
      </c>
      <c r="F80" s="108"/>
      <c r="G80" s="108">
        <v>4</v>
      </c>
      <c r="H80" s="108">
        <v>94</v>
      </c>
      <c r="I80" s="109">
        <f t="shared" si="30"/>
        <v>376</v>
      </c>
      <c r="J80" s="109"/>
      <c r="K80" s="109"/>
      <c r="L80" s="110">
        <f t="shared" si="13"/>
        <v>376</v>
      </c>
      <c r="M80" s="79"/>
      <c r="O80" s="404"/>
      <c r="P80" s="405"/>
      <c r="Q80" s="409"/>
      <c r="R80" s="411">
        <f>R79/4</f>
        <v>52114.286468750004</v>
      </c>
      <c r="S80" s="394"/>
      <c r="T80" s="394"/>
      <c r="U80" s="411">
        <f>U79/4</f>
        <v>-168686.15256625001</v>
      </c>
    </row>
    <row r="81" spans="1:21" s="7" customFormat="1" ht="20.100000000000001" customHeight="1">
      <c r="A81" s="103" t="s">
        <v>130</v>
      </c>
      <c r="B81" s="189" t="s">
        <v>216</v>
      </c>
      <c r="C81" s="105" t="s">
        <v>115</v>
      </c>
      <c r="D81" s="106">
        <v>0</v>
      </c>
      <c r="E81" s="107">
        <v>16</v>
      </c>
      <c r="F81" s="108"/>
      <c r="G81" s="108">
        <v>4</v>
      </c>
      <c r="H81" s="108">
        <v>2440</v>
      </c>
      <c r="I81" s="109">
        <f t="shared" si="30"/>
        <v>9760</v>
      </c>
      <c r="J81" s="109"/>
      <c r="K81" s="109"/>
      <c r="L81" s="110">
        <f t="shared" si="13"/>
        <v>9760</v>
      </c>
      <c r="M81" s="79"/>
      <c r="O81" s="393"/>
      <c r="P81" s="393"/>
      <c r="Q81" s="393"/>
      <c r="R81" s="393"/>
      <c r="S81" s="394"/>
      <c r="T81" s="394"/>
      <c r="U81" s="394"/>
    </row>
    <row r="82" spans="1:21" s="1" customFormat="1" ht="20.100000000000001" customHeight="1">
      <c r="A82" s="103" t="s">
        <v>131</v>
      </c>
      <c r="B82" s="235" t="s">
        <v>217</v>
      </c>
      <c r="C82" s="105" t="s">
        <v>115</v>
      </c>
      <c r="D82" s="106">
        <v>0</v>
      </c>
      <c r="E82" s="107">
        <v>12</v>
      </c>
      <c r="F82" s="108"/>
      <c r="G82" s="108">
        <v>4</v>
      </c>
      <c r="H82" s="108">
        <v>834.6</v>
      </c>
      <c r="I82" s="109">
        <f t="shared" si="30"/>
        <v>3338.4</v>
      </c>
      <c r="J82" s="109"/>
      <c r="K82" s="109"/>
      <c r="L82" s="110">
        <f t="shared" si="13"/>
        <v>3338.4</v>
      </c>
      <c r="M82" s="79"/>
      <c r="O82" s="393"/>
      <c r="P82" s="393"/>
      <c r="Q82" s="393"/>
      <c r="R82" s="393"/>
      <c r="S82" s="394"/>
      <c r="T82" s="394"/>
      <c r="U82" s="394"/>
    </row>
    <row r="83" spans="1:21" s="1" customFormat="1" ht="20.100000000000001" customHeight="1">
      <c r="A83" s="103" t="s">
        <v>132</v>
      </c>
      <c r="B83" s="190" t="s">
        <v>218</v>
      </c>
      <c r="C83" s="105" t="s">
        <v>115</v>
      </c>
      <c r="D83" s="106">
        <v>0</v>
      </c>
      <c r="E83" s="107">
        <v>20</v>
      </c>
      <c r="F83" s="108"/>
      <c r="G83" s="108">
        <v>4</v>
      </c>
      <c r="H83" s="108">
        <v>670</v>
      </c>
      <c r="I83" s="109">
        <f t="shared" si="30"/>
        <v>2680</v>
      </c>
      <c r="J83" s="109"/>
      <c r="K83" s="109"/>
      <c r="L83" s="110">
        <f t="shared" si="13"/>
        <v>2680</v>
      </c>
      <c r="M83" s="79"/>
      <c r="O83" s="393"/>
      <c r="P83" s="393"/>
      <c r="Q83" s="393"/>
      <c r="R83" s="393"/>
      <c r="S83" s="394"/>
      <c r="T83" s="394"/>
      <c r="U83" s="394"/>
    </row>
    <row r="84" spans="1:21" s="1" customFormat="1" ht="20.100000000000001" customHeight="1">
      <c r="A84" s="103" t="s">
        <v>133</v>
      </c>
      <c r="B84" s="190" t="s">
        <v>219</v>
      </c>
      <c r="C84" s="105" t="s">
        <v>115</v>
      </c>
      <c r="D84" s="106">
        <v>0</v>
      </c>
      <c r="E84" s="107">
        <v>20</v>
      </c>
      <c r="F84" s="108"/>
      <c r="G84" s="108">
        <v>4</v>
      </c>
      <c r="H84" s="108">
        <v>300</v>
      </c>
      <c r="I84" s="109">
        <f t="shared" si="30"/>
        <v>1200</v>
      </c>
      <c r="J84" s="109"/>
      <c r="K84" s="109"/>
      <c r="L84" s="110">
        <f t="shared" si="13"/>
        <v>1200</v>
      </c>
      <c r="M84" s="79"/>
      <c r="O84" s="393"/>
      <c r="P84" s="393"/>
      <c r="Q84" s="399"/>
      <c r="R84" s="399"/>
      <c r="S84" s="394"/>
      <c r="T84" s="394"/>
      <c r="U84" s="400"/>
    </row>
    <row r="85" spans="1:21" s="1" customFormat="1" ht="20.100000000000001" customHeight="1">
      <c r="A85" s="103" t="s">
        <v>134</v>
      </c>
      <c r="B85" s="190" t="s">
        <v>220</v>
      </c>
      <c r="C85" s="105" t="s">
        <v>115</v>
      </c>
      <c r="D85" s="106">
        <v>0</v>
      </c>
      <c r="E85" s="107">
        <v>20</v>
      </c>
      <c r="F85" s="108"/>
      <c r="G85" s="108">
        <v>4</v>
      </c>
      <c r="H85" s="108">
        <v>94</v>
      </c>
      <c r="I85" s="109">
        <f t="shared" si="30"/>
        <v>376</v>
      </c>
      <c r="J85" s="109"/>
      <c r="K85" s="109"/>
      <c r="L85" s="110">
        <f t="shared" si="13"/>
        <v>376</v>
      </c>
      <c r="M85" s="79"/>
      <c r="O85" s="393"/>
      <c r="P85" s="393"/>
      <c r="Q85" s="399"/>
      <c r="R85" s="399"/>
      <c r="S85" s="394"/>
      <c r="T85" s="394"/>
      <c r="U85" s="400"/>
    </row>
    <row r="86" spans="1:21" s="7" customFormat="1" ht="20.100000000000001" customHeight="1">
      <c r="A86" s="103" t="s">
        <v>135</v>
      </c>
      <c r="B86" s="190" t="s">
        <v>232</v>
      </c>
      <c r="C86" s="105" t="s">
        <v>115</v>
      </c>
      <c r="D86" s="106">
        <v>0</v>
      </c>
      <c r="E86" s="107">
        <v>20</v>
      </c>
      <c r="F86" s="108"/>
      <c r="G86" s="108">
        <v>4</v>
      </c>
      <c r="H86" s="108">
        <v>315</v>
      </c>
      <c r="I86" s="109">
        <f t="shared" si="30"/>
        <v>1260</v>
      </c>
      <c r="J86" s="109"/>
      <c r="K86" s="109"/>
      <c r="L86" s="110">
        <f t="shared" si="13"/>
        <v>1260</v>
      </c>
      <c r="M86" s="79"/>
      <c r="O86" s="393"/>
      <c r="P86" s="393"/>
      <c r="Q86" s="399"/>
      <c r="R86" s="399"/>
      <c r="S86" s="394"/>
      <c r="T86" s="394"/>
      <c r="U86" s="400"/>
    </row>
    <row r="87" spans="1:21" s="7" customFormat="1" ht="20.25" customHeight="1">
      <c r="A87" s="103" t="s">
        <v>136</v>
      </c>
      <c r="B87" s="190" t="s">
        <v>221</v>
      </c>
      <c r="C87" s="105" t="s">
        <v>115</v>
      </c>
      <c r="D87" s="106">
        <v>0</v>
      </c>
      <c r="E87" s="107">
        <v>48</v>
      </c>
      <c r="F87" s="108"/>
      <c r="G87" s="108">
        <v>8</v>
      </c>
      <c r="H87" s="108">
        <v>231</v>
      </c>
      <c r="I87" s="109">
        <f t="shared" si="30"/>
        <v>1848</v>
      </c>
      <c r="J87" s="109"/>
      <c r="K87" s="109"/>
      <c r="L87" s="110">
        <f t="shared" si="13"/>
        <v>1848</v>
      </c>
      <c r="M87" s="79"/>
      <c r="O87" s="393"/>
      <c r="P87" s="393"/>
      <c r="Q87" s="399"/>
      <c r="R87" s="399"/>
      <c r="S87" s="394"/>
      <c r="T87" s="394"/>
      <c r="U87" s="400"/>
    </row>
    <row r="88" spans="1:21" s="7" customFormat="1" ht="20.100000000000001" customHeight="1">
      <c r="A88" s="103" t="s">
        <v>137</v>
      </c>
      <c r="B88" s="189" t="s">
        <v>233</v>
      </c>
      <c r="C88" s="105" t="s">
        <v>115</v>
      </c>
      <c r="D88" s="106">
        <v>0</v>
      </c>
      <c r="E88" s="107">
        <v>28</v>
      </c>
      <c r="F88" s="108"/>
      <c r="G88" s="108">
        <v>4</v>
      </c>
      <c r="H88" s="108">
        <v>350</v>
      </c>
      <c r="I88" s="109">
        <f t="shared" si="30"/>
        <v>1400</v>
      </c>
      <c r="J88" s="109"/>
      <c r="K88" s="109"/>
      <c r="L88" s="110">
        <f t="shared" si="13"/>
        <v>1400</v>
      </c>
      <c r="M88" s="79"/>
      <c r="O88" s="393"/>
      <c r="P88" s="393"/>
      <c r="Q88" s="399"/>
      <c r="R88" s="399"/>
      <c r="S88" s="394"/>
      <c r="T88" s="394"/>
      <c r="U88" s="400"/>
    </row>
    <row r="89" spans="1:21" s="7" customFormat="1" ht="20.100000000000001" customHeight="1">
      <c r="A89" s="103" t="s">
        <v>138</v>
      </c>
      <c r="B89" s="189" t="s">
        <v>222</v>
      </c>
      <c r="C89" s="105" t="s">
        <v>115</v>
      </c>
      <c r="D89" s="106">
        <v>0</v>
      </c>
      <c r="E89" s="107">
        <v>28</v>
      </c>
      <c r="F89" s="108"/>
      <c r="G89" s="108">
        <v>4</v>
      </c>
      <c r="H89" s="108">
        <v>172.2</v>
      </c>
      <c r="I89" s="109">
        <f>G89*H89</f>
        <v>688.8</v>
      </c>
      <c r="J89" s="109"/>
      <c r="K89" s="109"/>
      <c r="L89" s="110">
        <f t="shared" si="13"/>
        <v>688.8</v>
      </c>
      <c r="M89" s="79"/>
      <c r="O89" s="393"/>
      <c r="P89" s="393"/>
      <c r="Q89" s="399"/>
      <c r="R89" s="399"/>
      <c r="S89" s="394"/>
      <c r="T89" s="394"/>
      <c r="U89" s="400"/>
    </row>
    <row r="90" spans="1:21" s="7" customFormat="1" ht="20.100000000000001" customHeight="1">
      <c r="A90" s="103" t="s">
        <v>367</v>
      </c>
      <c r="B90" s="189" t="s">
        <v>223</v>
      </c>
      <c r="C90" s="105" t="s">
        <v>115</v>
      </c>
      <c r="D90" s="106">
        <v>0</v>
      </c>
      <c r="E90" s="107">
        <v>28</v>
      </c>
      <c r="F90" s="108"/>
      <c r="G90" s="108">
        <v>4</v>
      </c>
      <c r="H90" s="108">
        <v>90</v>
      </c>
      <c r="I90" s="109">
        <f t="shared" si="30"/>
        <v>360</v>
      </c>
      <c r="J90" s="109"/>
      <c r="K90" s="109"/>
      <c r="L90" s="110">
        <f t="shared" si="13"/>
        <v>360</v>
      </c>
      <c r="M90" s="79"/>
      <c r="O90" s="393"/>
      <c r="P90" s="393"/>
      <c r="Q90" s="399"/>
      <c r="R90" s="399"/>
      <c r="S90" s="394"/>
      <c r="T90" s="394"/>
      <c r="U90" s="400"/>
    </row>
    <row r="91" spans="1:21" s="7" customFormat="1" ht="20.100000000000001" customHeight="1">
      <c r="A91" s="103" t="s">
        <v>368</v>
      </c>
      <c r="B91" s="189" t="s">
        <v>224</v>
      </c>
      <c r="C91" s="105" t="s">
        <v>115</v>
      </c>
      <c r="D91" s="106">
        <v>0</v>
      </c>
      <c r="E91" s="107">
        <v>28</v>
      </c>
      <c r="F91" s="108"/>
      <c r="G91" s="108">
        <v>4</v>
      </c>
      <c r="H91" s="108">
        <v>570</v>
      </c>
      <c r="I91" s="109">
        <f t="shared" si="30"/>
        <v>2280</v>
      </c>
      <c r="J91" s="109"/>
      <c r="K91" s="109"/>
      <c r="L91" s="110">
        <f t="shared" si="13"/>
        <v>2280</v>
      </c>
      <c r="M91" s="79"/>
      <c r="O91" s="393"/>
      <c r="P91" s="393"/>
      <c r="Q91" s="399"/>
      <c r="R91" s="399"/>
      <c r="S91" s="394"/>
      <c r="T91" s="394"/>
      <c r="U91" s="400"/>
    </row>
    <row r="92" spans="1:21" s="7" customFormat="1" ht="20.100000000000001" customHeight="1">
      <c r="A92" s="103"/>
      <c r="B92" s="189"/>
      <c r="C92" s="105"/>
      <c r="D92" s="106"/>
      <c r="E92" s="107"/>
      <c r="F92" s="108"/>
      <c r="G92" s="108"/>
      <c r="H92" s="108"/>
      <c r="I92" s="109"/>
      <c r="J92" s="109"/>
      <c r="K92" s="109"/>
      <c r="L92" s="110">
        <f t="shared" si="13"/>
        <v>0</v>
      </c>
      <c r="M92" s="79"/>
      <c r="O92" s="393"/>
      <c r="P92" s="393"/>
      <c r="Q92" s="399"/>
      <c r="R92" s="399"/>
      <c r="S92" s="394"/>
      <c r="T92" s="394"/>
      <c r="U92" s="400"/>
    </row>
    <row r="93" spans="1:21" s="7" customFormat="1" ht="20.100000000000001" customHeight="1">
      <c r="A93" s="103" t="s">
        <v>369</v>
      </c>
      <c r="B93" s="104" t="s">
        <v>73</v>
      </c>
      <c r="C93" s="105"/>
      <c r="D93" s="106"/>
      <c r="E93" s="107"/>
      <c r="F93" s="108"/>
      <c r="G93" s="108"/>
      <c r="H93" s="109"/>
      <c r="I93" s="109"/>
      <c r="J93" s="109"/>
      <c r="K93" s="109"/>
      <c r="L93" s="110">
        <f t="shared" si="13"/>
        <v>0</v>
      </c>
      <c r="M93" s="79"/>
      <c r="O93" s="393"/>
      <c r="P93" s="393"/>
      <c r="Q93" s="399"/>
      <c r="R93" s="399"/>
      <c r="S93" s="394"/>
      <c r="T93" s="394"/>
      <c r="U93" s="400"/>
    </row>
    <row r="94" spans="1:21" s="7" customFormat="1" ht="20.100000000000001" customHeight="1">
      <c r="A94" s="103"/>
      <c r="B94" s="104" t="s">
        <v>234</v>
      </c>
      <c r="C94" s="105" t="s">
        <v>115</v>
      </c>
      <c r="D94" s="106">
        <v>0</v>
      </c>
      <c r="E94" s="107">
        <v>20</v>
      </c>
      <c r="F94" s="108"/>
      <c r="G94" s="108">
        <v>1</v>
      </c>
      <c r="H94" s="108">
        <v>450</v>
      </c>
      <c r="I94" s="109">
        <f t="shared" si="30"/>
        <v>450</v>
      </c>
      <c r="J94" s="109"/>
      <c r="K94" s="109"/>
      <c r="L94" s="110">
        <f t="shared" si="13"/>
        <v>450</v>
      </c>
      <c r="M94" s="111"/>
      <c r="O94" s="393"/>
      <c r="P94" s="393"/>
      <c r="Q94" s="399"/>
      <c r="R94" s="399"/>
      <c r="S94" s="394"/>
      <c r="T94" s="394"/>
      <c r="U94" s="400"/>
    </row>
    <row r="95" spans="1:21" s="7" customFormat="1" ht="18" customHeight="1">
      <c r="A95" s="103"/>
      <c r="B95" s="104" t="s">
        <v>185</v>
      </c>
      <c r="C95" s="105" t="s">
        <v>115</v>
      </c>
      <c r="D95" s="106">
        <v>0</v>
      </c>
      <c r="E95" s="107">
        <v>20</v>
      </c>
      <c r="F95" s="108"/>
      <c r="G95" s="108">
        <v>1</v>
      </c>
      <c r="H95" s="108">
        <v>450</v>
      </c>
      <c r="I95" s="109">
        <f t="shared" si="30"/>
        <v>450</v>
      </c>
      <c r="J95" s="109"/>
      <c r="K95" s="109"/>
      <c r="L95" s="110">
        <f t="shared" si="13"/>
        <v>450</v>
      </c>
      <c r="M95" s="111" t="s">
        <v>33</v>
      </c>
      <c r="O95" s="393"/>
      <c r="P95" s="393"/>
      <c r="Q95" s="399"/>
      <c r="R95" s="399"/>
      <c r="S95" s="394"/>
      <c r="T95" s="394"/>
      <c r="U95" s="400"/>
    </row>
    <row r="96" spans="1:21" s="7" customFormat="1" ht="19.5" hidden="1" customHeight="1">
      <c r="A96" s="103"/>
      <c r="B96" s="501"/>
      <c r="C96" s="361"/>
      <c r="D96" s="497"/>
      <c r="E96" s="497"/>
      <c r="F96" s="497"/>
      <c r="G96" s="502"/>
      <c r="H96" s="361"/>
      <c r="I96" s="109">
        <f t="shared" si="30"/>
        <v>0</v>
      </c>
      <c r="J96" s="361"/>
      <c r="K96" s="502"/>
      <c r="L96" s="110">
        <f t="shared" si="13"/>
        <v>0</v>
      </c>
      <c r="M96" s="79"/>
      <c r="O96" s="393"/>
      <c r="P96" s="393"/>
      <c r="Q96" s="399"/>
      <c r="R96" s="399"/>
      <c r="S96" s="394"/>
      <c r="T96" s="394"/>
      <c r="U96" s="400"/>
    </row>
    <row r="97" spans="1:21" s="7" customFormat="1" ht="19.5" customHeight="1">
      <c r="A97" s="103"/>
      <c r="B97" s="497"/>
      <c r="C97" s="361"/>
      <c r="D97" s="497"/>
      <c r="E97" s="497"/>
      <c r="F97" s="497"/>
      <c r="G97" s="502"/>
      <c r="H97" s="361"/>
      <c r="I97" s="109"/>
      <c r="J97" s="361"/>
      <c r="K97" s="502"/>
      <c r="L97" s="110">
        <f t="shared" si="13"/>
        <v>0</v>
      </c>
      <c r="M97" s="79"/>
      <c r="O97" s="393"/>
      <c r="P97" s="393"/>
      <c r="Q97" s="399"/>
      <c r="R97" s="399"/>
      <c r="S97" s="394"/>
      <c r="T97" s="394"/>
      <c r="U97" s="400"/>
    </row>
    <row r="98" spans="1:21" s="7" customFormat="1" ht="20.100000000000001" customHeight="1">
      <c r="A98" s="503" t="s">
        <v>399</v>
      </c>
      <c r="B98" s="345" t="s">
        <v>400</v>
      </c>
      <c r="C98" s="361"/>
      <c r="D98" s="497"/>
      <c r="E98" s="497"/>
      <c r="F98" s="497"/>
      <c r="G98" s="502"/>
      <c r="H98" s="361"/>
      <c r="I98" s="109"/>
      <c r="J98" s="361"/>
      <c r="K98" s="502"/>
      <c r="L98" s="110">
        <f t="shared" si="13"/>
        <v>0</v>
      </c>
      <c r="M98" s="79"/>
      <c r="O98" s="393"/>
      <c r="P98" s="393"/>
      <c r="Q98" s="399"/>
      <c r="R98" s="399"/>
      <c r="S98" s="394"/>
      <c r="T98" s="394"/>
      <c r="U98" s="400"/>
    </row>
    <row r="99" spans="1:21" s="7" customFormat="1" ht="20.100000000000001" customHeight="1">
      <c r="A99" s="103" t="s">
        <v>401</v>
      </c>
      <c r="B99" s="189" t="s">
        <v>213</v>
      </c>
      <c r="C99" s="105" t="s">
        <v>115</v>
      </c>
      <c r="D99" s="497"/>
      <c r="E99" s="497"/>
      <c r="F99" s="497"/>
      <c r="G99" s="108">
        <v>4</v>
      </c>
      <c r="H99" s="108">
        <v>4628</v>
      </c>
      <c r="I99" s="109">
        <f t="shared" si="30"/>
        <v>18512</v>
      </c>
      <c r="J99" s="361"/>
      <c r="K99" s="502"/>
      <c r="L99" s="110">
        <f t="shared" si="13"/>
        <v>18512</v>
      </c>
      <c r="M99" s="79"/>
      <c r="O99" s="393"/>
      <c r="P99" s="393"/>
      <c r="Q99" s="399"/>
      <c r="R99" s="399"/>
      <c r="S99" s="394"/>
      <c r="T99" s="394"/>
      <c r="U99" s="400"/>
    </row>
    <row r="100" spans="1:21" s="7" customFormat="1" ht="20.100000000000001" customHeight="1">
      <c r="A100" s="103" t="s">
        <v>402</v>
      </c>
      <c r="B100" s="235" t="s">
        <v>214</v>
      </c>
      <c r="C100" s="105" t="s">
        <v>115</v>
      </c>
      <c r="D100" s="497"/>
      <c r="E100" s="497"/>
      <c r="F100" s="497"/>
      <c r="G100" s="108">
        <v>4</v>
      </c>
      <c r="H100" s="108">
        <v>150</v>
      </c>
      <c r="I100" s="109">
        <f t="shared" si="30"/>
        <v>600</v>
      </c>
      <c r="J100" s="361"/>
      <c r="K100" s="502"/>
      <c r="L100" s="110">
        <f t="shared" si="13"/>
        <v>600</v>
      </c>
      <c r="M100" s="79"/>
      <c r="O100" s="393"/>
      <c r="P100" s="393"/>
      <c r="Q100" s="399"/>
      <c r="R100" s="399"/>
      <c r="S100" s="394"/>
      <c r="T100" s="394"/>
      <c r="U100" s="400"/>
    </row>
    <row r="101" spans="1:21" s="7" customFormat="1" ht="20.100000000000001" customHeight="1">
      <c r="A101" s="103" t="s">
        <v>403</v>
      </c>
      <c r="B101" s="235" t="s">
        <v>215</v>
      </c>
      <c r="C101" s="105" t="s">
        <v>115</v>
      </c>
      <c r="D101" s="497"/>
      <c r="E101" s="497"/>
      <c r="F101" s="497"/>
      <c r="G101" s="108">
        <v>4</v>
      </c>
      <c r="H101" s="108">
        <v>94</v>
      </c>
      <c r="I101" s="109">
        <f t="shared" si="30"/>
        <v>376</v>
      </c>
      <c r="J101" s="361"/>
      <c r="K101" s="502"/>
      <c r="L101" s="110">
        <f t="shared" si="13"/>
        <v>376</v>
      </c>
      <c r="M101" s="79"/>
      <c r="O101" s="393"/>
      <c r="P101" s="393"/>
      <c r="Q101" s="399"/>
      <c r="R101" s="399"/>
      <c r="S101" s="394"/>
      <c r="T101" s="394"/>
      <c r="U101" s="400"/>
    </row>
    <row r="102" spans="1:21" s="7" customFormat="1" ht="20.100000000000001" customHeight="1">
      <c r="A102" s="103" t="s">
        <v>404</v>
      </c>
      <c r="B102" s="189" t="s">
        <v>216</v>
      </c>
      <c r="C102" s="105" t="s">
        <v>115</v>
      </c>
      <c r="D102" s="497"/>
      <c r="E102" s="497"/>
      <c r="F102" s="497"/>
      <c r="G102" s="108">
        <v>4</v>
      </c>
      <c r="H102" s="108">
        <v>2440</v>
      </c>
      <c r="I102" s="109">
        <f t="shared" si="30"/>
        <v>9760</v>
      </c>
      <c r="J102" s="361"/>
      <c r="K102" s="502"/>
      <c r="L102" s="110">
        <f t="shared" si="13"/>
        <v>9760</v>
      </c>
      <c r="M102" s="79"/>
      <c r="O102" s="393"/>
      <c r="P102" s="393"/>
      <c r="Q102" s="399"/>
      <c r="R102" s="399"/>
      <c r="S102" s="394"/>
      <c r="T102" s="394"/>
      <c r="U102" s="400"/>
    </row>
    <row r="103" spans="1:21" s="7" customFormat="1" ht="20.100000000000001" customHeight="1">
      <c r="A103" s="103" t="s">
        <v>405</v>
      </c>
      <c r="B103" s="235" t="s">
        <v>217</v>
      </c>
      <c r="C103" s="105" t="s">
        <v>115</v>
      </c>
      <c r="D103" s="497"/>
      <c r="E103" s="497"/>
      <c r="F103" s="497"/>
      <c r="G103" s="108">
        <v>4</v>
      </c>
      <c r="H103" s="108">
        <v>834.6</v>
      </c>
      <c r="I103" s="109">
        <f t="shared" si="30"/>
        <v>3338.4</v>
      </c>
      <c r="J103" s="361"/>
      <c r="K103" s="502"/>
      <c r="L103" s="110">
        <f t="shared" si="13"/>
        <v>3338.4</v>
      </c>
      <c r="M103" s="79"/>
      <c r="O103" s="393"/>
      <c r="P103" s="393"/>
      <c r="Q103" s="399"/>
      <c r="R103" s="399"/>
      <c r="S103" s="394"/>
      <c r="T103" s="394"/>
      <c r="U103" s="400"/>
    </row>
    <row r="104" spans="1:21" s="7" customFormat="1" ht="20.100000000000001" customHeight="1">
      <c r="A104" s="103" t="s">
        <v>406</v>
      </c>
      <c r="B104" s="190" t="s">
        <v>219</v>
      </c>
      <c r="C104" s="105" t="s">
        <v>115</v>
      </c>
      <c r="D104" s="497"/>
      <c r="E104" s="497"/>
      <c r="F104" s="497"/>
      <c r="G104" s="108">
        <v>4</v>
      </c>
      <c r="H104" s="108">
        <v>300</v>
      </c>
      <c r="I104" s="109">
        <f t="shared" si="30"/>
        <v>1200</v>
      </c>
      <c r="J104" s="361"/>
      <c r="K104" s="502"/>
      <c r="L104" s="110">
        <f t="shared" si="13"/>
        <v>1200</v>
      </c>
      <c r="M104" s="79"/>
      <c r="O104" s="393"/>
      <c r="P104" s="393"/>
      <c r="Q104" s="399"/>
      <c r="R104" s="399"/>
      <c r="S104" s="394"/>
      <c r="T104" s="394"/>
      <c r="U104" s="400"/>
    </row>
    <row r="105" spans="1:21" s="7" customFormat="1" ht="20.100000000000001" customHeight="1">
      <c r="A105" s="103" t="s">
        <v>407</v>
      </c>
      <c r="B105" s="190" t="s">
        <v>232</v>
      </c>
      <c r="C105" s="105" t="s">
        <v>115</v>
      </c>
      <c r="D105" s="497"/>
      <c r="E105" s="497"/>
      <c r="F105" s="497"/>
      <c r="G105" s="108">
        <v>4</v>
      </c>
      <c r="H105" s="108">
        <v>315</v>
      </c>
      <c r="I105" s="109">
        <f t="shared" si="30"/>
        <v>1260</v>
      </c>
      <c r="J105" s="361"/>
      <c r="K105" s="502"/>
      <c r="L105" s="110">
        <f t="shared" si="13"/>
        <v>1260</v>
      </c>
      <c r="M105" s="79"/>
      <c r="O105" s="393"/>
      <c r="P105" s="393"/>
      <c r="Q105" s="399"/>
      <c r="R105" s="399"/>
      <c r="S105" s="394"/>
      <c r="T105" s="394"/>
      <c r="U105" s="400"/>
    </row>
    <row r="106" spans="1:21" s="7" customFormat="1" ht="20.100000000000001" customHeight="1">
      <c r="A106" s="103" t="s">
        <v>408</v>
      </c>
      <c r="B106" s="190" t="s">
        <v>221</v>
      </c>
      <c r="C106" s="105" t="s">
        <v>115</v>
      </c>
      <c r="D106" s="497"/>
      <c r="E106" s="497"/>
      <c r="F106" s="497"/>
      <c r="G106" s="108">
        <v>4</v>
      </c>
      <c r="H106" s="108">
        <v>231</v>
      </c>
      <c r="I106" s="109">
        <f t="shared" si="30"/>
        <v>924</v>
      </c>
      <c r="J106" s="361"/>
      <c r="K106" s="502"/>
      <c r="L106" s="110">
        <f t="shared" si="13"/>
        <v>924</v>
      </c>
      <c r="M106" s="79"/>
      <c r="O106" s="393"/>
      <c r="P106" s="393"/>
      <c r="Q106" s="399"/>
      <c r="R106" s="399"/>
      <c r="S106" s="394"/>
      <c r="T106" s="394"/>
      <c r="U106" s="400"/>
    </row>
    <row r="107" spans="1:21" s="7" customFormat="1" ht="20.100000000000001" customHeight="1">
      <c r="A107" s="103" t="s">
        <v>409</v>
      </c>
      <c r="B107" s="189" t="s">
        <v>233</v>
      </c>
      <c r="C107" s="105" t="s">
        <v>115</v>
      </c>
      <c r="D107" s="497"/>
      <c r="E107" s="497"/>
      <c r="F107" s="497"/>
      <c r="G107" s="108">
        <v>4</v>
      </c>
      <c r="H107" s="108">
        <v>350</v>
      </c>
      <c r="I107" s="109">
        <f t="shared" si="30"/>
        <v>1400</v>
      </c>
      <c r="J107" s="361"/>
      <c r="K107" s="502"/>
      <c r="L107" s="110">
        <f t="shared" si="13"/>
        <v>1400</v>
      </c>
      <c r="M107" s="79"/>
      <c r="O107" s="393"/>
      <c r="P107" s="393"/>
      <c r="Q107" s="399"/>
      <c r="R107" s="399"/>
      <c r="S107" s="394"/>
      <c r="T107" s="394"/>
      <c r="U107" s="400"/>
    </row>
    <row r="108" spans="1:21" s="7" customFormat="1" ht="20.100000000000001" customHeight="1">
      <c r="A108" s="103" t="s">
        <v>410</v>
      </c>
      <c r="B108" s="189" t="s">
        <v>222</v>
      </c>
      <c r="C108" s="105" t="s">
        <v>115</v>
      </c>
      <c r="D108" s="497"/>
      <c r="E108" s="497"/>
      <c r="F108" s="497"/>
      <c r="G108" s="108">
        <v>4</v>
      </c>
      <c r="H108" s="108">
        <v>172.2</v>
      </c>
      <c r="I108" s="109">
        <f t="shared" si="30"/>
        <v>688.8</v>
      </c>
      <c r="J108" s="361"/>
      <c r="K108" s="502"/>
      <c r="L108" s="110">
        <f t="shared" si="13"/>
        <v>688.8</v>
      </c>
      <c r="M108" s="79"/>
      <c r="O108" s="393"/>
      <c r="P108" s="393"/>
      <c r="Q108" s="399"/>
      <c r="R108" s="399"/>
      <c r="S108" s="394"/>
      <c r="T108" s="394"/>
      <c r="U108" s="400"/>
    </row>
    <row r="109" spans="1:21" s="7" customFormat="1" ht="20.100000000000001" customHeight="1">
      <c r="A109" s="103" t="s">
        <v>411</v>
      </c>
      <c r="B109" s="189" t="s">
        <v>223</v>
      </c>
      <c r="C109" s="105" t="s">
        <v>115</v>
      </c>
      <c r="D109" s="497"/>
      <c r="E109" s="497"/>
      <c r="F109" s="497"/>
      <c r="G109" s="108">
        <v>4</v>
      </c>
      <c r="H109" s="108">
        <v>90</v>
      </c>
      <c r="I109" s="109">
        <f t="shared" si="30"/>
        <v>360</v>
      </c>
      <c r="J109" s="361"/>
      <c r="K109" s="502"/>
      <c r="L109" s="110">
        <f t="shared" si="13"/>
        <v>360</v>
      </c>
      <c r="M109" s="79"/>
      <c r="O109" s="393"/>
      <c r="P109" s="393"/>
      <c r="Q109" s="399"/>
      <c r="R109" s="399"/>
      <c r="S109" s="394"/>
      <c r="T109" s="394"/>
      <c r="U109" s="400"/>
    </row>
    <row r="110" spans="1:21" s="7" customFormat="1" ht="20.100000000000001" customHeight="1">
      <c r="A110" s="103" t="s">
        <v>412</v>
      </c>
      <c r="B110" s="189" t="s">
        <v>224</v>
      </c>
      <c r="C110" s="105" t="s">
        <v>115</v>
      </c>
      <c r="D110" s="497"/>
      <c r="E110" s="497"/>
      <c r="F110" s="497"/>
      <c r="G110" s="108">
        <v>4</v>
      </c>
      <c r="H110" s="108">
        <v>570</v>
      </c>
      <c r="I110" s="109">
        <f t="shared" si="30"/>
        <v>2280</v>
      </c>
      <c r="J110" s="361"/>
      <c r="K110" s="502"/>
      <c r="L110" s="110">
        <f t="shared" si="13"/>
        <v>2280</v>
      </c>
      <c r="M110" s="79"/>
      <c r="O110" s="393"/>
      <c r="P110" s="393"/>
      <c r="Q110" s="399"/>
      <c r="R110" s="399"/>
      <c r="S110" s="394"/>
      <c r="T110" s="394"/>
      <c r="U110" s="400"/>
    </row>
    <row r="111" spans="1:21" s="7" customFormat="1" ht="20.100000000000001" customHeight="1">
      <c r="A111" s="103"/>
      <c r="B111" s="104"/>
      <c r="C111" s="105"/>
      <c r="D111" s="497"/>
      <c r="E111" s="497"/>
      <c r="F111" s="497"/>
      <c r="G111" s="502"/>
      <c r="H111" s="497"/>
      <c r="I111" s="109"/>
      <c r="J111" s="361"/>
      <c r="K111" s="502"/>
      <c r="L111" s="110">
        <f t="shared" si="13"/>
        <v>0</v>
      </c>
      <c r="M111" s="79"/>
      <c r="O111" s="393"/>
      <c r="P111" s="393"/>
      <c r="Q111" s="399"/>
      <c r="R111" s="399"/>
      <c r="S111" s="394"/>
      <c r="T111" s="394"/>
      <c r="U111" s="400"/>
    </row>
    <row r="112" spans="1:21" s="7" customFormat="1" ht="20.100000000000001" customHeight="1">
      <c r="A112" s="103"/>
      <c r="B112" s="104"/>
      <c r="C112" s="105"/>
      <c r="D112" s="497"/>
      <c r="E112" s="497"/>
      <c r="F112" s="497"/>
      <c r="G112" s="502"/>
      <c r="H112" s="497"/>
      <c r="I112" s="109"/>
      <c r="J112" s="361"/>
      <c r="K112" s="502"/>
      <c r="L112" s="110">
        <f t="shared" si="13"/>
        <v>0</v>
      </c>
      <c r="M112" s="79"/>
      <c r="O112" s="393"/>
      <c r="P112" s="393"/>
      <c r="Q112" s="399"/>
      <c r="R112" s="399"/>
      <c r="S112" s="394"/>
      <c r="T112" s="394"/>
      <c r="U112" s="400"/>
    </row>
    <row r="113" spans="1:21" s="7" customFormat="1" ht="20.100000000000001" customHeight="1">
      <c r="A113" s="503" t="s">
        <v>413</v>
      </c>
      <c r="B113" s="345" t="s">
        <v>414</v>
      </c>
      <c r="C113" s="361"/>
      <c r="D113" s="497"/>
      <c r="E113" s="497"/>
      <c r="F113" s="497"/>
      <c r="G113" s="502"/>
      <c r="H113" s="361"/>
      <c r="I113" s="109"/>
      <c r="J113" s="361"/>
      <c r="K113" s="502"/>
      <c r="L113" s="110">
        <f t="shared" si="13"/>
        <v>0</v>
      </c>
      <c r="M113" s="79"/>
      <c r="O113" s="393"/>
      <c r="P113" s="393"/>
      <c r="Q113" s="393"/>
      <c r="R113" s="393"/>
      <c r="S113" s="394"/>
      <c r="T113" s="394"/>
      <c r="U113" s="394"/>
    </row>
    <row r="114" spans="1:21" s="7" customFormat="1" ht="20.100000000000001" customHeight="1">
      <c r="A114" s="103" t="s">
        <v>415</v>
      </c>
      <c r="B114" s="189" t="s">
        <v>213</v>
      </c>
      <c r="C114" s="105" t="s">
        <v>115</v>
      </c>
      <c r="D114" s="497"/>
      <c r="E114" s="497"/>
      <c r="F114" s="497"/>
      <c r="G114" s="108">
        <v>4</v>
      </c>
      <c r="H114" s="108">
        <v>4628</v>
      </c>
      <c r="I114" s="109">
        <f t="shared" si="30"/>
        <v>18512</v>
      </c>
      <c r="J114" s="361"/>
      <c r="K114" s="502"/>
      <c r="L114" s="110">
        <f t="shared" si="13"/>
        <v>18512</v>
      </c>
      <c r="M114" s="79"/>
      <c r="O114" s="393"/>
      <c r="P114" s="393"/>
      <c r="Q114" s="393"/>
      <c r="R114" s="393"/>
      <c r="S114" s="394"/>
      <c r="T114" s="394"/>
      <c r="U114" s="394"/>
    </row>
    <row r="115" spans="1:21" s="7" customFormat="1" ht="20.100000000000001" customHeight="1">
      <c r="A115" s="103" t="s">
        <v>416</v>
      </c>
      <c r="B115" s="235" t="s">
        <v>214</v>
      </c>
      <c r="C115" s="105" t="s">
        <v>115</v>
      </c>
      <c r="D115" s="497"/>
      <c r="E115" s="497"/>
      <c r="F115" s="497"/>
      <c r="G115" s="108">
        <v>4</v>
      </c>
      <c r="H115" s="108">
        <v>150</v>
      </c>
      <c r="I115" s="109">
        <f t="shared" si="30"/>
        <v>600</v>
      </c>
      <c r="J115" s="361"/>
      <c r="K115" s="502"/>
      <c r="L115" s="110">
        <f t="shared" si="13"/>
        <v>600</v>
      </c>
      <c r="M115" s="79"/>
      <c r="O115" s="412"/>
      <c r="P115" s="412"/>
      <c r="Q115" s="409"/>
      <c r="R115" s="409"/>
      <c r="S115" s="413"/>
      <c r="T115" s="413"/>
      <c r="U115" s="414"/>
    </row>
    <row r="116" spans="1:21" s="7" customFormat="1" ht="20.100000000000001" customHeight="1">
      <c r="A116" s="103" t="s">
        <v>417</v>
      </c>
      <c r="B116" s="235" t="s">
        <v>215</v>
      </c>
      <c r="C116" s="105" t="s">
        <v>115</v>
      </c>
      <c r="D116" s="497"/>
      <c r="E116" s="497"/>
      <c r="F116" s="497"/>
      <c r="G116" s="108">
        <v>4</v>
      </c>
      <c r="H116" s="108">
        <v>94</v>
      </c>
      <c r="I116" s="109">
        <f t="shared" si="30"/>
        <v>376</v>
      </c>
      <c r="J116" s="361"/>
      <c r="K116" s="502"/>
      <c r="L116" s="110">
        <f t="shared" si="13"/>
        <v>376</v>
      </c>
      <c r="M116" s="79"/>
      <c r="O116" s="393"/>
      <c r="P116" s="393"/>
      <c r="Q116" s="399"/>
      <c r="R116" s="399"/>
      <c r="S116" s="394"/>
      <c r="T116" s="394"/>
      <c r="U116" s="400"/>
    </row>
    <row r="117" spans="1:21" s="7" customFormat="1" ht="20.100000000000001" customHeight="1">
      <c r="A117" s="103" t="s">
        <v>418</v>
      </c>
      <c r="B117" s="189" t="s">
        <v>216</v>
      </c>
      <c r="C117" s="105" t="s">
        <v>115</v>
      </c>
      <c r="D117" s="497"/>
      <c r="E117" s="497"/>
      <c r="F117" s="497"/>
      <c r="G117" s="108">
        <v>4</v>
      </c>
      <c r="H117" s="108">
        <v>2440</v>
      </c>
      <c r="I117" s="109">
        <f t="shared" si="30"/>
        <v>9760</v>
      </c>
      <c r="J117" s="361"/>
      <c r="K117" s="502"/>
      <c r="L117" s="110">
        <f t="shared" si="13"/>
        <v>9760</v>
      </c>
      <c r="M117" s="79"/>
      <c r="O117" s="393"/>
      <c r="P117" s="393"/>
      <c r="Q117" s="399"/>
      <c r="R117" s="399"/>
      <c r="S117" s="394"/>
      <c r="T117" s="394"/>
      <c r="U117" s="400"/>
    </row>
    <row r="118" spans="1:21" s="7" customFormat="1" ht="20.100000000000001" customHeight="1">
      <c r="A118" s="103" t="s">
        <v>419</v>
      </c>
      <c r="B118" s="235" t="s">
        <v>217</v>
      </c>
      <c r="C118" s="105" t="s">
        <v>115</v>
      </c>
      <c r="D118" s="497"/>
      <c r="E118" s="497"/>
      <c r="F118" s="497"/>
      <c r="G118" s="108">
        <v>4</v>
      </c>
      <c r="H118" s="108">
        <v>834.6</v>
      </c>
      <c r="I118" s="109">
        <f t="shared" si="30"/>
        <v>3338.4</v>
      </c>
      <c r="J118" s="361"/>
      <c r="K118" s="502"/>
      <c r="L118" s="110">
        <f t="shared" si="13"/>
        <v>3338.4</v>
      </c>
      <c r="M118" s="79"/>
      <c r="O118" s="393"/>
      <c r="P118" s="393"/>
      <c r="Q118" s="399"/>
      <c r="R118" s="399"/>
      <c r="S118" s="394"/>
      <c r="T118" s="394"/>
      <c r="U118" s="400"/>
    </row>
    <row r="119" spans="1:21" s="7" customFormat="1" ht="20.100000000000001" customHeight="1">
      <c r="A119" s="103" t="s">
        <v>448</v>
      </c>
      <c r="B119" s="190" t="s">
        <v>218</v>
      </c>
      <c r="C119" s="105" t="s">
        <v>115</v>
      </c>
      <c r="D119" s="497"/>
      <c r="E119" s="497"/>
      <c r="F119" s="497"/>
      <c r="G119" s="108">
        <v>4</v>
      </c>
      <c r="H119" s="108">
        <v>670</v>
      </c>
      <c r="I119" s="109">
        <f>G119*H119</f>
        <v>2680</v>
      </c>
      <c r="J119" s="361"/>
      <c r="K119" s="502"/>
      <c r="L119" s="110">
        <f t="shared" ref="L119:L171" si="31">K119+I119</f>
        <v>2680</v>
      </c>
      <c r="M119" s="79"/>
      <c r="O119" s="393"/>
      <c r="P119" s="393"/>
      <c r="Q119" s="399"/>
      <c r="R119" s="399"/>
      <c r="S119" s="394"/>
      <c r="T119" s="394"/>
      <c r="U119" s="400"/>
    </row>
    <row r="120" spans="1:21" s="7" customFormat="1" ht="20.100000000000001" customHeight="1">
      <c r="A120" s="103" t="s">
        <v>420</v>
      </c>
      <c r="B120" s="190" t="s">
        <v>219</v>
      </c>
      <c r="C120" s="105" t="s">
        <v>115</v>
      </c>
      <c r="D120" s="497"/>
      <c r="E120" s="497"/>
      <c r="F120" s="497"/>
      <c r="G120" s="108">
        <v>4</v>
      </c>
      <c r="H120" s="108">
        <v>300</v>
      </c>
      <c r="I120" s="109">
        <f t="shared" si="30"/>
        <v>1200</v>
      </c>
      <c r="J120" s="361"/>
      <c r="K120" s="502"/>
      <c r="L120" s="110">
        <f t="shared" si="31"/>
        <v>1200</v>
      </c>
      <c r="M120" s="79"/>
      <c r="O120" s="393"/>
      <c r="P120" s="393"/>
      <c r="Q120" s="399"/>
      <c r="R120" s="399"/>
      <c r="S120" s="394"/>
      <c r="T120" s="394"/>
      <c r="U120" s="400"/>
    </row>
    <row r="121" spans="1:21" s="7" customFormat="1" ht="20.100000000000001" customHeight="1">
      <c r="A121" s="103" t="s">
        <v>449</v>
      </c>
      <c r="B121" s="190" t="s">
        <v>220</v>
      </c>
      <c r="C121" s="105" t="s">
        <v>115</v>
      </c>
      <c r="D121" s="497"/>
      <c r="E121" s="497"/>
      <c r="F121" s="497"/>
      <c r="G121" s="108">
        <v>4</v>
      </c>
      <c r="H121" s="108">
        <v>94</v>
      </c>
      <c r="I121" s="109">
        <f t="shared" si="30"/>
        <v>376</v>
      </c>
      <c r="J121" s="361"/>
      <c r="K121" s="502"/>
      <c r="L121" s="110">
        <f t="shared" si="31"/>
        <v>376</v>
      </c>
      <c r="M121" s="79"/>
      <c r="O121" s="393"/>
      <c r="P121" s="393"/>
      <c r="Q121" s="399"/>
      <c r="R121" s="399"/>
      <c r="S121" s="394"/>
      <c r="T121" s="394"/>
      <c r="U121" s="400"/>
    </row>
    <row r="122" spans="1:21" s="7" customFormat="1" ht="20.100000000000001" customHeight="1">
      <c r="A122" s="103" t="s">
        <v>421</v>
      </c>
      <c r="B122" s="190" t="s">
        <v>232</v>
      </c>
      <c r="C122" s="105" t="s">
        <v>115</v>
      </c>
      <c r="D122" s="497"/>
      <c r="E122" s="497"/>
      <c r="F122" s="497"/>
      <c r="G122" s="108">
        <v>4</v>
      </c>
      <c r="H122" s="108">
        <v>315</v>
      </c>
      <c r="I122" s="109">
        <f t="shared" si="30"/>
        <v>1260</v>
      </c>
      <c r="J122" s="361"/>
      <c r="K122" s="502"/>
      <c r="L122" s="110">
        <f t="shared" si="31"/>
        <v>1260</v>
      </c>
      <c r="M122" s="79"/>
      <c r="O122" s="393"/>
      <c r="P122" s="393"/>
      <c r="Q122" s="399"/>
      <c r="R122" s="399"/>
      <c r="S122" s="394"/>
      <c r="T122" s="394"/>
      <c r="U122" s="400"/>
    </row>
    <row r="123" spans="1:21" s="7" customFormat="1" ht="20.100000000000001" customHeight="1">
      <c r="A123" s="103" t="s">
        <v>422</v>
      </c>
      <c r="B123" s="190" t="s">
        <v>221</v>
      </c>
      <c r="C123" s="105" t="s">
        <v>115</v>
      </c>
      <c r="D123" s="497"/>
      <c r="E123" s="497"/>
      <c r="F123" s="497"/>
      <c r="G123" s="108">
        <v>8</v>
      </c>
      <c r="H123" s="108">
        <v>231</v>
      </c>
      <c r="I123" s="109">
        <f t="shared" si="30"/>
        <v>1848</v>
      </c>
      <c r="J123" s="361"/>
      <c r="K123" s="502"/>
      <c r="L123" s="110">
        <f t="shared" si="31"/>
        <v>1848</v>
      </c>
      <c r="M123" s="79"/>
      <c r="O123" s="393"/>
      <c r="P123" s="393"/>
      <c r="Q123" s="399"/>
      <c r="R123" s="399"/>
      <c r="S123" s="394"/>
      <c r="T123" s="394"/>
      <c r="U123" s="400"/>
    </row>
    <row r="124" spans="1:21" s="7" customFormat="1" ht="20.100000000000001" customHeight="1">
      <c r="A124" s="103" t="s">
        <v>423</v>
      </c>
      <c r="B124" s="189" t="s">
        <v>233</v>
      </c>
      <c r="C124" s="105" t="s">
        <v>115</v>
      </c>
      <c r="D124" s="497"/>
      <c r="E124" s="497"/>
      <c r="F124" s="497"/>
      <c r="G124" s="108">
        <v>4</v>
      </c>
      <c r="H124" s="108">
        <v>350</v>
      </c>
      <c r="I124" s="109">
        <f t="shared" si="30"/>
        <v>1400</v>
      </c>
      <c r="J124" s="361"/>
      <c r="K124" s="502"/>
      <c r="L124" s="110">
        <f t="shared" si="31"/>
        <v>1400</v>
      </c>
      <c r="M124" s="79"/>
      <c r="O124" s="393"/>
      <c r="P124" s="393"/>
      <c r="Q124" s="399"/>
      <c r="R124" s="399"/>
      <c r="S124" s="394"/>
      <c r="T124" s="394"/>
      <c r="U124" s="400"/>
    </row>
    <row r="125" spans="1:21" s="7" customFormat="1" ht="20.100000000000001" customHeight="1">
      <c r="A125" s="103" t="s">
        <v>424</v>
      </c>
      <c r="B125" s="189" t="s">
        <v>222</v>
      </c>
      <c r="C125" s="105" t="s">
        <v>115</v>
      </c>
      <c r="D125" s="497"/>
      <c r="E125" s="497"/>
      <c r="F125" s="497"/>
      <c r="G125" s="108">
        <v>4</v>
      </c>
      <c r="H125" s="108">
        <v>172.2</v>
      </c>
      <c r="I125" s="109">
        <f t="shared" si="30"/>
        <v>688.8</v>
      </c>
      <c r="J125" s="361"/>
      <c r="K125" s="502"/>
      <c r="L125" s="110">
        <f t="shared" si="31"/>
        <v>688.8</v>
      </c>
      <c r="M125" s="79"/>
      <c r="O125" s="393"/>
      <c r="P125" s="393"/>
      <c r="Q125" s="399"/>
      <c r="R125" s="399"/>
      <c r="S125" s="394"/>
      <c r="T125" s="394"/>
      <c r="U125" s="400"/>
    </row>
    <row r="126" spans="1:21" s="7" customFormat="1" ht="20.100000000000001" customHeight="1">
      <c r="A126" s="103" t="s">
        <v>425</v>
      </c>
      <c r="B126" s="189" t="s">
        <v>223</v>
      </c>
      <c r="C126" s="105" t="s">
        <v>115</v>
      </c>
      <c r="D126" s="497"/>
      <c r="E126" s="497"/>
      <c r="F126" s="497"/>
      <c r="G126" s="108">
        <v>4</v>
      </c>
      <c r="H126" s="108">
        <v>90</v>
      </c>
      <c r="I126" s="109">
        <f t="shared" si="30"/>
        <v>360</v>
      </c>
      <c r="J126" s="361"/>
      <c r="K126" s="502"/>
      <c r="L126" s="110">
        <f t="shared" si="31"/>
        <v>360</v>
      </c>
      <c r="M126" s="79"/>
      <c r="O126" s="393"/>
      <c r="P126" s="393"/>
      <c r="Q126" s="399"/>
      <c r="R126" s="399"/>
      <c r="S126" s="394"/>
      <c r="T126" s="394"/>
      <c r="U126" s="400"/>
    </row>
    <row r="127" spans="1:21" s="7" customFormat="1" ht="20.100000000000001" customHeight="1">
      <c r="A127" s="103" t="s">
        <v>426</v>
      </c>
      <c r="B127" s="189" t="s">
        <v>224</v>
      </c>
      <c r="C127" s="105" t="s">
        <v>115</v>
      </c>
      <c r="D127" s="497"/>
      <c r="E127" s="497"/>
      <c r="F127" s="497"/>
      <c r="G127" s="108">
        <v>4</v>
      </c>
      <c r="H127" s="108">
        <v>570</v>
      </c>
      <c r="I127" s="109">
        <f t="shared" si="30"/>
        <v>2280</v>
      </c>
      <c r="J127" s="361"/>
      <c r="K127" s="502"/>
      <c r="L127" s="110">
        <f t="shared" si="31"/>
        <v>2280</v>
      </c>
      <c r="M127" s="79"/>
      <c r="O127" s="393"/>
      <c r="P127" s="393"/>
      <c r="Q127" s="399"/>
      <c r="R127" s="399"/>
      <c r="S127" s="394"/>
      <c r="T127" s="394"/>
      <c r="U127" s="400"/>
    </row>
    <row r="128" spans="1:21" s="7" customFormat="1" ht="20.100000000000001" customHeight="1">
      <c r="A128" s="103"/>
      <c r="B128" s="235"/>
      <c r="C128" s="105"/>
      <c r="D128" s="497"/>
      <c r="E128" s="497"/>
      <c r="F128" s="497"/>
      <c r="G128" s="502"/>
      <c r="H128" s="361"/>
      <c r="I128" s="109"/>
      <c r="J128" s="361"/>
      <c r="K128" s="502"/>
      <c r="L128" s="110">
        <f t="shared" si="31"/>
        <v>0</v>
      </c>
      <c r="M128" s="79"/>
      <c r="O128" s="393"/>
      <c r="P128" s="393"/>
      <c r="Q128" s="399"/>
      <c r="R128" s="399"/>
      <c r="S128" s="394"/>
      <c r="T128" s="394"/>
      <c r="U128" s="400"/>
    </row>
    <row r="129" spans="1:21" s="7" customFormat="1" ht="20.100000000000001" customHeight="1">
      <c r="A129" s="504"/>
      <c r="B129" s="505" t="s">
        <v>370</v>
      </c>
      <c r="C129" s="506"/>
      <c r="D129" s="507"/>
      <c r="E129" s="508"/>
      <c r="F129" s="508"/>
      <c r="G129" s="508"/>
      <c r="H129" s="509"/>
      <c r="I129" s="510">
        <f>SUM(I78:I128)</f>
        <v>130957.6</v>
      </c>
      <c r="J129" s="509"/>
      <c r="K129" s="510"/>
      <c r="L129" s="510">
        <f>SUM(L78:L128)</f>
        <v>130957.6</v>
      </c>
      <c r="M129" s="511"/>
      <c r="O129" s="393"/>
      <c r="P129" s="393"/>
      <c r="Q129" s="399"/>
      <c r="R129" s="399"/>
      <c r="S129" s="394"/>
      <c r="T129" s="394"/>
      <c r="U129" s="400"/>
    </row>
    <row r="130" spans="1:21" s="7" customFormat="1" ht="20.100000000000001" customHeight="1">
      <c r="A130" s="512"/>
      <c r="B130" s="513"/>
      <c r="C130" s="514"/>
      <c r="D130" s="515"/>
      <c r="E130" s="515"/>
      <c r="F130" s="515"/>
      <c r="G130" s="513"/>
      <c r="H130" s="514"/>
      <c r="I130" s="109"/>
      <c r="J130" s="514"/>
      <c r="K130" s="514"/>
      <c r="L130" s="110">
        <f t="shared" si="31"/>
        <v>0</v>
      </c>
      <c r="M130" s="516"/>
      <c r="O130" s="393"/>
      <c r="P130" s="393"/>
      <c r="Q130" s="399"/>
      <c r="R130" s="399"/>
      <c r="S130" s="394"/>
      <c r="T130" s="394"/>
      <c r="U130" s="400"/>
    </row>
    <row r="131" spans="1:21" s="7" customFormat="1" ht="20.100000000000001" customHeight="1">
      <c r="A131" s="493" t="s">
        <v>21</v>
      </c>
      <c r="B131" s="494" t="s">
        <v>139</v>
      </c>
      <c r="C131" s="495"/>
      <c r="D131" s="496"/>
      <c r="E131" s="160"/>
      <c r="F131" s="160"/>
      <c r="G131" s="160"/>
      <c r="H131" s="125"/>
      <c r="I131" s="109"/>
      <c r="J131" s="125"/>
      <c r="K131" s="125"/>
      <c r="L131" s="110">
        <f t="shared" si="31"/>
        <v>0</v>
      </c>
      <c r="M131" s="79"/>
      <c r="O131" s="393"/>
      <c r="P131" s="393"/>
      <c r="Q131" s="399"/>
      <c r="R131" s="399"/>
      <c r="S131" s="394"/>
      <c r="T131" s="394"/>
      <c r="U131" s="400"/>
    </row>
    <row r="132" spans="1:21" s="7" customFormat="1" ht="20.100000000000001" customHeight="1">
      <c r="A132" s="493" t="s">
        <v>140</v>
      </c>
      <c r="B132" s="242" t="s">
        <v>235</v>
      </c>
      <c r="C132" s="239"/>
      <c r="D132" s="240"/>
      <c r="E132" s="108"/>
      <c r="F132" s="108"/>
      <c r="G132" s="108"/>
      <c r="H132" s="109"/>
      <c r="I132" s="109"/>
      <c r="J132" s="109"/>
      <c r="K132" s="109"/>
      <c r="L132" s="110">
        <f t="shared" si="31"/>
        <v>0</v>
      </c>
      <c r="M132" s="111"/>
      <c r="O132" s="393"/>
      <c r="P132" s="393"/>
      <c r="Q132" s="399"/>
      <c r="R132" s="399"/>
      <c r="S132" s="394"/>
      <c r="T132" s="394"/>
      <c r="U132" s="400"/>
    </row>
    <row r="133" spans="1:21" s="7" customFormat="1" ht="20.100000000000001" customHeight="1">
      <c r="A133" s="238" t="s">
        <v>427</v>
      </c>
      <c r="B133" s="104" t="s">
        <v>225</v>
      </c>
      <c r="C133" s="239" t="s">
        <v>162</v>
      </c>
      <c r="D133" s="240"/>
      <c r="E133" s="108"/>
      <c r="F133" s="108"/>
      <c r="G133" s="108">
        <v>224</v>
      </c>
      <c r="H133" s="108">
        <v>42</v>
      </c>
      <c r="I133" s="109">
        <f>G133*H133</f>
        <v>9408</v>
      </c>
      <c r="J133" s="109"/>
      <c r="K133" s="109"/>
      <c r="L133" s="110">
        <f t="shared" si="31"/>
        <v>9408</v>
      </c>
      <c r="M133" s="241"/>
      <c r="O133" s="393"/>
      <c r="P133" s="393"/>
      <c r="Q133" s="399"/>
      <c r="R133" s="399"/>
      <c r="S133" s="394"/>
      <c r="T133" s="394"/>
      <c r="U133" s="400"/>
    </row>
    <row r="134" spans="1:21" s="7" customFormat="1" ht="19.5" customHeight="1">
      <c r="A134" s="238" t="s">
        <v>163</v>
      </c>
      <c r="B134" s="104" t="s">
        <v>428</v>
      </c>
      <c r="C134" s="497"/>
      <c r="D134" s="497"/>
      <c r="E134" s="497"/>
      <c r="F134" s="497"/>
      <c r="G134" s="108"/>
      <c r="H134" s="108"/>
      <c r="I134" s="109"/>
      <c r="J134" s="109"/>
      <c r="K134" s="109"/>
      <c r="L134" s="110">
        <f t="shared" si="31"/>
        <v>0</v>
      </c>
      <c r="M134" s="241"/>
      <c r="O134" s="393"/>
      <c r="P134" s="393"/>
      <c r="Q134" s="399"/>
      <c r="R134" s="399"/>
      <c r="S134" s="394"/>
      <c r="T134" s="394"/>
      <c r="U134" s="400"/>
    </row>
    <row r="135" spans="1:21">
      <c r="A135" s="498"/>
      <c r="B135" s="499" t="s">
        <v>429</v>
      </c>
      <c r="C135" s="239" t="s">
        <v>35</v>
      </c>
      <c r="D135" s="239" t="s">
        <v>35</v>
      </c>
      <c r="E135" s="239" t="s">
        <v>35</v>
      </c>
      <c r="F135" s="239" t="s">
        <v>35</v>
      </c>
      <c r="G135" s="499">
        <v>326.39999999999998</v>
      </c>
      <c r="H135" s="499">
        <v>450</v>
      </c>
      <c r="I135" s="109">
        <f>G135*H135</f>
        <v>146880</v>
      </c>
      <c r="J135" s="499"/>
      <c r="K135" s="499"/>
      <c r="L135" s="110">
        <f t="shared" si="31"/>
        <v>146880</v>
      </c>
      <c r="M135" s="500"/>
      <c r="O135" s="393"/>
      <c r="P135" s="393"/>
      <c r="Q135" s="399"/>
      <c r="R135" s="399"/>
      <c r="S135" s="394"/>
      <c r="T135" s="394"/>
      <c r="U135" s="400"/>
    </row>
    <row r="136" spans="1:21" s="7" customFormat="1" ht="19.5" customHeight="1">
      <c r="A136" s="238" t="s">
        <v>430</v>
      </c>
      <c r="B136" s="104" t="s">
        <v>181</v>
      </c>
      <c r="C136" s="239" t="s">
        <v>165</v>
      </c>
      <c r="D136" s="240"/>
      <c r="E136" s="108"/>
      <c r="F136" s="108"/>
      <c r="G136" s="108"/>
      <c r="H136" s="108"/>
      <c r="I136" s="109">
        <v>30000</v>
      </c>
      <c r="J136" s="109"/>
      <c r="K136" s="109"/>
      <c r="L136" s="110">
        <f t="shared" si="31"/>
        <v>30000</v>
      </c>
      <c r="M136" s="241"/>
      <c r="O136" s="393"/>
      <c r="P136" s="393"/>
      <c r="Q136" s="399"/>
      <c r="R136" s="399"/>
      <c r="S136" s="394"/>
      <c r="T136" s="394"/>
      <c r="U136" s="400"/>
    </row>
    <row r="137" spans="1:21" s="7" customFormat="1" ht="20.100000000000001" customHeight="1">
      <c r="A137" s="238"/>
      <c r="B137" s="104"/>
      <c r="C137" s="239"/>
      <c r="D137" s="240"/>
      <c r="E137" s="108"/>
      <c r="F137" s="108"/>
      <c r="G137" s="108"/>
      <c r="H137" s="108"/>
      <c r="I137" s="109"/>
      <c r="J137" s="109"/>
      <c r="K137" s="109"/>
      <c r="L137" s="110">
        <f t="shared" si="31"/>
        <v>0</v>
      </c>
      <c r="M137" s="241"/>
      <c r="O137" s="393"/>
      <c r="P137" s="393"/>
      <c r="Q137" s="393"/>
      <c r="R137" s="393"/>
      <c r="S137" s="394"/>
      <c r="T137" s="394"/>
      <c r="U137" s="394"/>
    </row>
    <row r="138" spans="1:21" s="7" customFormat="1" ht="19.5" customHeight="1">
      <c r="A138" s="238"/>
      <c r="B138" s="104"/>
      <c r="C138" s="239"/>
      <c r="D138" s="240"/>
      <c r="E138" s="108"/>
      <c r="F138" s="108"/>
      <c r="G138" s="108"/>
      <c r="H138" s="108"/>
      <c r="I138" s="109">
        <f>G138*H138</f>
        <v>0</v>
      </c>
      <c r="J138" s="109"/>
      <c r="K138" s="109"/>
      <c r="L138" s="110">
        <f t="shared" si="31"/>
        <v>0</v>
      </c>
      <c r="M138" s="241"/>
      <c r="O138" s="393"/>
      <c r="P138" s="393"/>
      <c r="Q138" s="393"/>
      <c r="R138" s="393"/>
      <c r="S138" s="394"/>
      <c r="T138" s="394"/>
      <c r="U138" s="394"/>
    </row>
    <row r="139" spans="1:21" s="7" customFormat="1" ht="19.5" customHeight="1">
      <c r="A139" s="504"/>
      <c r="B139" s="505" t="s">
        <v>141</v>
      </c>
      <c r="C139" s="506"/>
      <c r="D139" s="507"/>
      <c r="E139" s="508"/>
      <c r="F139" s="508"/>
      <c r="G139" s="508"/>
      <c r="H139" s="509"/>
      <c r="I139" s="510">
        <f>SUM(I133:I138)</f>
        <v>186288</v>
      </c>
      <c r="J139" s="509"/>
      <c r="K139" s="510"/>
      <c r="L139" s="510">
        <f>SUM(L133:L138)</f>
        <v>186288</v>
      </c>
      <c r="M139" s="511"/>
      <c r="O139" s="393"/>
      <c r="P139" s="393"/>
      <c r="Q139" s="399"/>
      <c r="R139" s="399"/>
      <c r="S139" s="394"/>
      <c r="T139" s="394"/>
      <c r="U139" s="400"/>
    </row>
    <row r="140" spans="1:21" s="7" customFormat="1" ht="20.25" customHeight="1">
      <c r="A140" s="493" t="s">
        <v>22</v>
      </c>
      <c r="B140" s="494" t="s">
        <v>343</v>
      </c>
      <c r="C140" s="495" t="s">
        <v>33</v>
      </c>
      <c r="D140" s="496"/>
      <c r="E140" s="160"/>
      <c r="F140" s="160"/>
      <c r="G140" s="160"/>
      <c r="H140" s="125"/>
      <c r="I140" s="109"/>
      <c r="J140" s="125"/>
      <c r="K140" s="125"/>
      <c r="L140" s="110">
        <f t="shared" si="31"/>
        <v>0</v>
      </c>
      <c r="M140" s="79"/>
      <c r="O140" s="393"/>
      <c r="P140" s="393"/>
      <c r="Q140" s="399"/>
      <c r="R140" s="399"/>
      <c r="S140" s="394"/>
      <c r="T140" s="394"/>
      <c r="U140" s="400"/>
    </row>
    <row r="141" spans="1:21" s="7" customFormat="1" ht="20.100000000000001" customHeight="1">
      <c r="A141" s="493" t="s">
        <v>142</v>
      </c>
      <c r="B141" s="242" t="s">
        <v>344</v>
      </c>
      <c r="C141" s="239"/>
      <c r="D141" s="240"/>
      <c r="E141" s="108"/>
      <c r="F141" s="108"/>
      <c r="G141" s="108"/>
      <c r="H141" s="109"/>
      <c r="I141" s="109"/>
      <c r="J141" s="109"/>
      <c r="K141" s="109"/>
      <c r="L141" s="110">
        <f t="shared" si="31"/>
        <v>0</v>
      </c>
      <c r="M141" s="111"/>
      <c r="O141" s="393"/>
      <c r="P141" s="393"/>
      <c r="Q141" s="399"/>
      <c r="R141" s="399"/>
      <c r="S141" s="394"/>
      <c r="T141" s="394"/>
      <c r="U141" s="400"/>
    </row>
    <row r="142" spans="1:21" s="7" customFormat="1" ht="20.100000000000001" customHeight="1">
      <c r="A142" s="238"/>
      <c r="B142" s="243" t="s">
        <v>345</v>
      </c>
      <c r="C142" s="239" t="s">
        <v>346</v>
      </c>
      <c r="D142" s="106">
        <v>0</v>
      </c>
      <c r="E142" s="107">
        <f>32*2</f>
        <v>64</v>
      </c>
      <c r="F142" s="108"/>
      <c r="G142" s="108">
        <v>128</v>
      </c>
      <c r="H142" s="108">
        <v>540</v>
      </c>
      <c r="I142" s="109">
        <f>G142*H142</f>
        <v>69120</v>
      </c>
      <c r="J142" s="109"/>
      <c r="K142" s="109"/>
      <c r="L142" s="110">
        <f t="shared" si="31"/>
        <v>69120</v>
      </c>
      <c r="M142" s="79"/>
      <c r="O142" s="393"/>
      <c r="P142" s="393"/>
      <c r="Q142" s="399"/>
      <c r="R142" s="399"/>
      <c r="S142" s="394"/>
      <c r="T142" s="394"/>
      <c r="U142" s="400"/>
    </row>
    <row r="143" spans="1:21" s="7" customFormat="1" ht="20.100000000000001" customHeight="1">
      <c r="A143" s="238"/>
      <c r="B143" s="243" t="s">
        <v>347</v>
      </c>
      <c r="C143" s="105" t="s">
        <v>63</v>
      </c>
      <c r="D143" s="106">
        <v>0</v>
      </c>
      <c r="E143" s="107">
        <f>4.38*2</f>
        <v>8.76</v>
      </c>
      <c r="F143" s="108"/>
      <c r="G143" s="108">
        <v>8.8000000000000007</v>
      </c>
      <c r="H143" s="108">
        <v>470</v>
      </c>
      <c r="I143" s="109">
        <f>G143*H143</f>
        <v>4136</v>
      </c>
      <c r="J143" s="109"/>
      <c r="K143" s="109"/>
      <c r="L143" s="110">
        <f t="shared" si="31"/>
        <v>4136</v>
      </c>
      <c r="M143" s="79"/>
      <c r="O143" s="393"/>
      <c r="P143" s="393"/>
      <c r="Q143" s="399"/>
      <c r="R143" s="399"/>
      <c r="S143" s="394"/>
      <c r="T143" s="394"/>
      <c r="U143" s="400"/>
    </row>
    <row r="144" spans="1:21" s="7" customFormat="1" ht="20.100000000000001" customHeight="1">
      <c r="A144" s="238"/>
      <c r="B144" s="269" t="s">
        <v>348</v>
      </c>
      <c r="C144" s="105" t="s">
        <v>95</v>
      </c>
      <c r="D144" s="106">
        <v>0</v>
      </c>
      <c r="E144" s="107">
        <f>6*3.12*2</f>
        <v>37.44</v>
      </c>
      <c r="F144" s="108"/>
      <c r="G144" s="108">
        <v>65.599999999999994</v>
      </c>
      <c r="H144" s="108">
        <v>70</v>
      </c>
      <c r="I144" s="109">
        <f>G144*H144</f>
        <v>4592</v>
      </c>
      <c r="J144" s="109"/>
      <c r="K144" s="109"/>
      <c r="L144" s="110">
        <f t="shared" si="31"/>
        <v>4592</v>
      </c>
      <c r="M144" s="79"/>
      <c r="O144" s="393"/>
      <c r="P144" s="393"/>
      <c r="Q144" s="399"/>
      <c r="R144" s="399"/>
      <c r="S144" s="394"/>
      <c r="T144" s="394"/>
      <c r="U144" s="400"/>
    </row>
    <row r="145" spans="1:21" s="7" customFormat="1" ht="20.100000000000001" customHeight="1">
      <c r="A145" s="238"/>
      <c r="B145" s="243" t="s">
        <v>349</v>
      </c>
      <c r="C145" s="105" t="s">
        <v>161</v>
      </c>
      <c r="D145" s="106"/>
      <c r="E145" s="107"/>
      <c r="F145" s="108"/>
      <c r="G145" s="108">
        <v>4</v>
      </c>
      <c r="H145" s="108"/>
      <c r="I145" s="109">
        <v>12000</v>
      </c>
      <c r="J145" s="109"/>
      <c r="K145" s="109"/>
      <c r="L145" s="110">
        <f t="shared" si="31"/>
        <v>12000</v>
      </c>
      <c r="M145" s="79"/>
      <c r="O145" s="393"/>
      <c r="P145" s="393"/>
      <c r="Q145" s="399"/>
      <c r="R145" s="399"/>
      <c r="S145" s="394"/>
      <c r="T145" s="394"/>
      <c r="U145" s="400"/>
    </row>
    <row r="146" spans="1:21" s="7" customFormat="1" ht="20.100000000000001" customHeight="1">
      <c r="A146" s="238"/>
      <c r="B146" s="231" t="s">
        <v>350</v>
      </c>
      <c r="C146" s="105" t="s">
        <v>161</v>
      </c>
      <c r="D146" s="106"/>
      <c r="E146" s="107"/>
      <c r="F146" s="108"/>
      <c r="G146" s="108">
        <v>4</v>
      </c>
      <c r="H146" s="108">
        <v>2500</v>
      </c>
      <c r="I146" s="109">
        <f>G146*H146</f>
        <v>10000</v>
      </c>
      <c r="J146" s="109"/>
      <c r="K146" s="109"/>
      <c r="L146" s="110">
        <f t="shared" si="31"/>
        <v>10000</v>
      </c>
      <c r="M146" s="79"/>
      <c r="O146" s="393"/>
      <c r="P146" s="393"/>
      <c r="Q146" s="399"/>
      <c r="R146" s="399"/>
      <c r="S146" s="394"/>
      <c r="T146" s="394"/>
      <c r="U146" s="400"/>
    </row>
    <row r="147" spans="1:21" s="7" customFormat="1" ht="20.100000000000001" customHeight="1">
      <c r="A147" s="238"/>
      <c r="B147" s="231" t="s">
        <v>351</v>
      </c>
      <c r="C147" s="105" t="s">
        <v>161</v>
      </c>
      <c r="D147" s="106"/>
      <c r="E147" s="107"/>
      <c r="F147" s="108"/>
      <c r="G147" s="108">
        <v>4</v>
      </c>
      <c r="H147" s="108">
        <v>3500</v>
      </c>
      <c r="I147" s="109">
        <f>G147*H147</f>
        <v>14000</v>
      </c>
      <c r="J147" s="109"/>
      <c r="K147" s="109"/>
      <c r="L147" s="110">
        <f t="shared" si="31"/>
        <v>14000</v>
      </c>
      <c r="M147" s="79"/>
      <c r="O147" s="393"/>
      <c r="P147" s="393"/>
      <c r="Q147" s="399"/>
      <c r="R147" s="399"/>
      <c r="S147" s="394"/>
      <c r="T147" s="394"/>
      <c r="U147" s="400"/>
    </row>
    <row r="148" spans="1:21" s="1" customFormat="1" ht="39" customHeight="1">
      <c r="A148" s="238"/>
      <c r="B148" s="243" t="s">
        <v>352</v>
      </c>
      <c r="C148" s="105" t="s">
        <v>95</v>
      </c>
      <c r="D148" s="106">
        <v>0</v>
      </c>
      <c r="E148" s="107">
        <f>6*3.12*2</f>
        <v>37.44</v>
      </c>
      <c r="F148" s="108"/>
      <c r="G148" s="108">
        <v>49.4</v>
      </c>
      <c r="H148" s="108">
        <v>1800</v>
      </c>
      <c r="I148" s="109">
        <f>G148*H148</f>
        <v>88920</v>
      </c>
      <c r="J148" s="109"/>
      <c r="K148" s="109"/>
      <c r="L148" s="110">
        <f t="shared" si="31"/>
        <v>88920</v>
      </c>
      <c r="M148" s="79"/>
      <c r="O148" s="393"/>
      <c r="P148" s="393"/>
      <c r="Q148" s="399"/>
      <c r="R148" s="399"/>
      <c r="S148" s="394"/>
      <c r="T148" s="394"/>
      <c r="U148" s="400"/>
    </row>
    <row r="149" spans="1:21" s="1" customFormat="1" ht="20.100000000000001" customHeight="1" thickBot="1">
      <c r="A149" s="346"/>
      <c r="B149" s="195"/>
      <c r="C149" s="113"/>
      <c r="D149" s="114"/>
      <c r="E149" s="115"/>
      <c r="F149" s="116"/>
      <c r="G149" s="116"/>
      <c r="H149" s="347"/>
      <c r="I149" s="117"/>
      <c r="J149" s="347"/>
      <c r="K149" s="117"/>
      <c r="L149" s="118">
        <f t="shared" si="31"/>
        <v>0</v>
      </c>
      <c r="M149" s="517"/>
      <c r="O149" s="393"/>
      <c r="P149" s="393"/>
      <c r="Q149" s="393"/>
      <c r="R149" s="393"/>
      <c r="S149" s="394"/>
      <c r="T149" s="394"/>
      <c r="U149" s="394"/>
    </row>
    <row r="150" spans="1:21" s="7" customFormat="1" ht="20.100000000000001" customHeight="1" thickTop="1" thickBot="1">
      <c r="A150" s="38"/>
      <c r="B150" s="39" t="s">
        <v>143</v>
      </c>
      <c r="C150" s="42"/>
      <c r="D150" s="43"/>
      <c r="E150" s="44"/>
      <c r="F150" s="44"/>
      <c r="G150" s="44"/>
      <c r="H150" s="45"/>
      <c r="I150" s="29">
        <f>SUM(I142:I149)</f>
        <v>202768</v>
      </c>
      <c r="J150" s="45"/>
      <c r="K150" s="29"/>
      <c r="L150" s="29">
        <f>SUM(L142:L149)</f>
        <v>202768</v>
      </c>
      <c r="M150" s="30"/>
      <c r="O150" s="393"/>
      <c r="P150" s="393"/>
      <c r="Q150" s="393"/>
      <c r="R150" s="393"/>
      <c r="S150" s="394"/>
      <c r="T150" s="394"/>
      <c r="U150" s="394"/>
    </row>
    <row r="151" spans="1:21" s="7" customFormat="1" ht="20.100000000000001" customHeight="1" thickTop="1">
      <c r="A151" s="73" t="s">
        <v>353</v>
      </c>
      <c r="B151" s="74" t="s">
        <v>144</v>
      </c>
      <c r="C151" s="179" t="s">
        <v>33</v>
      </c>
      <c r="D151" s="180"/>
      <c r="E151" s="75"/>
      <c r="F151" s="75"/>
      <c r="G151" s="75"/>
      <c r="H151" s="76"/>
      <c r="I151" s="76"/>
      <c r="J151" s="76"/>
      <c r="K151" s="76"/>
      <c r="L151" s="110">
        <f t="shared" si="31"/>
        <v>0</v>
      </c>
      <c r="M151" s="355"/>
      <c r="O151" s="393"/>
      <c r="P151" s="393"/>
      <c r="Q151" s="399"/>
      <c r="R151" s="399"/>
      <c r="S151" s="394"/>
      <c r="T151" s="394"/>
      <c r="U151" s="400"/>
    </row>
    <row r="152" spans="1:21" s="7" customFormat="1" ht="20.100000000000001" customHeight="1">
      <c r="A152" s="238" t="s">
        <v>354</v>
      </c>
      <c r="B152" s="245" t="s">
        <v>431</v>
      </c>
      <c r="C152" s="105"/>
      <c r="D152" s="106">
        <v>0</v>
      </c>
      <c r="E152" s="107">
        <v>530</v>
      </c>
      <c r="F152" s="108"/>
      <c r="G152" s="108"/>
      <c r="H152" s="108"/>
      <c r="I152" s="109"/>
      <c r="J152" s="109"/>
      <c r="K152" s="109"/>
      <c r="L152" s="110">
        <f t="shared" si="31"/>
        <v>0</v>
      </c>
      <c r="M152" s="368"/>
      <c r="O152" s="393"/>
      <c r="P152" s="393"/>
      <c r="Q152" s="399"/>
      <c r="R152" s="399"/>
      <c r="S152" s="394"/>
      <c r="T152" s="394"/>
      <c r="U152" s="400"/>
    </row>
    <row r="153" spans="1:21" s="7" customFormat="1" ht="20.100000000000001" customHeight="1">
      <c r="A153" s="238" t="s">
        <v>432</v>
      </c>
      <c r="B153" s="223" t="s">
        <v>226</v>
      </c>
      <c r="C153" s="105" t="s">
        <v>115</v>
      </c>
      <c r="G153" s="105">
        <v>4</v>
      </c>
      <c r="H153" s="108">
        <v>18000</v>
      </c>
      <c r="I153" s="109">
        <f t="shared" ref="I153:I171" si="32">G153*H153</f>
        <v>72000</v>
      </c>
      <c r="J153" s="109"/>
      <c r="K153" s="361"/>
      <c r="L153" s="110">
        <f t="shared" si="31"/>
        <v>72000</v>
      </c>
      <c r="M153" s="368"/>
      <c r="O153" s="393"/>
      <c r="P153" s="393"/>
      <c r="Q153" s="399"/>
      <c r="R153" s="399"/>
      <c r="S153" s="394"/>
      <c r="T153" s="394"/>
      <c r="U153" s="400"/>
    </row>
    <row r="154" spans="1:21" s="7" customFormat="1" ht="20.100000000000001" customHeight="1">
      <c r="A154" s="238" t="s">
        <v>433</v>
      </c>
      <c r="B154" s="223" t="s">
        <v>227</v>
      </c>
      <c r="C154" s="105" t="s">
        <v>115</v>
      </c>
      <c r="D154" s="106">
        <v>0</v>
      </c>
      <c r="E154" s="107">
        <v>530</v>
      </c>
      <c r="F154" s="108"/>
      <c r="G154" s="105">
        <v>4</v>
      </c>
      <c r="H154" s="108">
        <v>9400</v>
      </c>
      <c r="I154" s="109">
        <f t="shared" si="32"/>
        <v>37600</v>
      </c>
      <c r="J154" s="109"/>
      <c r="K154" s="361"/>
      <c r="L154" s="110">
        <f t="shared" si="31"/>
        <v>37600</v>
      </c>
      <c r="M154" s="368"/>
      <c r="O154" s="393"/>
      <c r="P154" s="393"/>
      <c r="Q154" s="399"/>
      <c r="R154" s="399"/>
      <c r="S154" s="394"/>
      <c r="T154" s="394"/>
      <c r="U154" s="400"/>
    </row>
    <row r="155" spans="1:21" s="7" customFormat="1" ht="20.100000000000001" customHeight="1">
      <c r="A155" s="238" t="s">
        <v>434</v>
      </c>
      <c r="B155" s="223" t="s">
        <v>237</v>
      </c>
      <c r="C155" s="105" t="s">
        <v>115</v>
      </c>
      <c r="G155" s="105">
        <v>2</v>
      </c>
      <c r="H155" s="108">
        <v>3600</v>
      </c>
      <c r="I155" s="109">
        <f t="shared" si="32"/>
        <v>7200</v>
      </c>
      <c r="J155" s="109"/>
      <c r="K155" s="361"/>
      <c r="L155" s="110">
        <f t="shared" si="31"/>
        <v>7200</v>
      </c>
      <c r="M155" s="368"/>
      <c r="O155" s="393"/>
      <c r="P155" s="393"/>
      <c r="Q155" s="399"/>
      <c r="R155" s="399"/>
      <c r="S155" s="394"/>
      <c r="T155" s="394"/>
      <c r="U155" s="400"/>
    </row>
    <row r="156" spans="1:21" s="7" customFormat="1" ht="20.25" customHeight="1">
      <c r="A156" s="238" t="s">
        <v>435</v>
      </c>
      <c r="B156" s="223" t="s">
        <v>238</v>
      </c>
      <c r="C156" s="105" t="s">
        <v>115</v>
      </c>
      <c r="D156" s="106">
        <v>0</v>
      </c>
      <c r="E156" s="107">
        <f>6*3.12*2</f>
        <v>37.44</v>
      </c>
      <c r="F156" s="108"/>
      <c r="G156" s="105">
        <v>2</v>
      </c>
      <c r="H156" s="108">
        <v>3750</v>
      </c>
      <c r="I156" s="109">
        <f t="shared" si="32"/>
        <v>7500</v>
      </c>
      <c r="J156" s="109"/>
      <c r="K156" s="361"/>
      <c r="L156" s="110">
        <f t="shared" si="31"/>
        <v>7500</v>
      </c>
      <c r="M156" s="368"/>
      <c r="O156" s="393"/>
      <c r="P156" s="393"/>
      <c r="Q156" s="399"/>
      <c r="R156" s="399"/>
      <c r="S156" s="394"/>
      <c r="T156" s="394"/>
      <c r="U156" s="400"/>
    </row>
    <row r="157" spans="1:21" s="7" customFormat="1" ht="20.100000000000001" customHeight="1" thickBot="1">
      <c r="A157" s="238" t="s">
        <v>436</v>
      </c>
      <c r="B157" s="223" t="s">
        <v>371</v>
      </c>
      <c r="C157" s="105" t="s">
        <v>115</v>
      </c>
      <c r="D157" s="114"/>
      <c r="E157" s="115"/>
      <c r="F157" s="116"/>
      <c r="G157" s="105">
        <v>2</v>
      </c>
      <c r="H157" s="108">
        <v>11418.75</v>
      </c>
      <c r="I157" s="109">
        <f t="shared" si="32"/>
        <v>22837.5</v>
      </c>
      <c r="J157" s="109"/>
      <c r="K157" s="361"/>
      <c r="L157" s="110">
        <f t="shared" si="31"/>
        <v>22837.5</v>
      </c>
      <c r="M157" s="368"/>
      <c r="O157" s="393"/>
      <c r="P157" s="393"/>
      <c r="Q157" s="393"/>
      <c r="R157" s="393"/>
      <c r="S157" s="394"/>
      <c r="T157" s="394"/>
      <c r="U157" s="394"/>
    </row>
    <row r="158" spans="1:21" s="7" customFormat="1" ht="20.100000000000001" customHeight="1" thickTop="1" thickBot="1">
      <c r="A158" s="238" t="s">
        <v>437</v>
      </c>
      <c r="B158" s="223" t="s">
        <v>372</v>
      </c>
      <c r="C158" s="105" t="s">
        <v>115</v>
      </c>
      <c r="D158" s="362"/>
      <c r="E158" s="363"/>
      <c r="F158" s="364"/>
      <c r="G158" s="105">
        <v>2</v>
      </c>
      <c r="H158" s="108">
        <v>7425</v>
      </c>
      <c r="I158" s="109">
        <f t="shared" si="32"/>
        <v>14850</v>
      </c>
      <c r="J158" s="109"/>
      <c r="K158" s="361"/>
      <c r="L158" s="110">
        <f t="shared" si="31"/>
        <v>14850</v>
      </c>
      <c r="M158" s="368"/>
      <c r="O158" s="393"/>
      <c r="P158" s="393"/>
      <c r="Q158" s="399"/>
      <c r="R158" s="399"/>
      <c r="S158" s="394"/>
      <c r="T158" s="394"/>
      <c r="U158" s="400"/>
    </row>
    <row r="159" spans="1:21" s="7" customFormat="1" ht="20.100000000000001" customHeight="1" thickTop="1" thickBot="1">
      <c r="A159" s="238" t="s">
        <v>438</v>
      </c>
      <c r="B159" s="223" t="s">
        <v>373</v>
      </c>
      <c r="C159" s="105" t="s">
        <v>115</v>
      </c>
      <c r="D159" s="362"/>
      <c r="E159" s="363"/>
      <c r="F159" s="364"/>
      <c r="G159" s="105">
        <v>2</v>
      </c>
      <c r="H159" s="108">
        <v>5819.5</v>
      </c>
      <c r="I159" s="109">
        <f t="shared" si="32"/>
        <v>11639</v>
      </c>
      <c r="J159" s="109"/>
      <c r="K159" s="361"/>
      <c r="L159" s="110">
        <f t="shared" si="31"/>
        <v>11639</v>
      </c>
      <c r="M159" s="368"/>
      <c r="O159" s="393"/>
      <c r="P159" s="393"/>
      <c r="Q159" s="393"/>
      <c r="R159" s="393"/>
      <c r="S159" s="394"/>
      <c r="T159" s="394"/>
      <c r="U159" s="394"/>
    </row>
    <row r="160" spans="1:21" s="7" customFormat="1" ht="20.100000000000001" customHeight="1" thickTop="1" thickBot="1">
      <c r="A160" s="238" t="s">
        <v>439</v>
      </c>
      <c r="B160" s="223" t="s">
        <v>374</v>
      </c>
      <c r="C160" s="105" t="s">
        <v>115</v>
      </c>
      <c r="D160" s="362"/>
      <c r="E160" s="363"/>
      <c r="F160" s="364"/>
      <c r="G160" s="105">
        <v>4</v>
      </c>
      <c r="H160" s="108">
        <v>24300</v>
      </c>
      <c r="I160" s="109">
        <f t="shared" si="32"/>
        <v>97200</v>
      </c>
      <c r="J160" s="109"/>
      <c r="K160" s="361"/>
      <c r="L160" s="110">
        <f t="shared" si="31"/>
        <v>97200</v>
      </c>
      <c r="M160" s="368"/>
      <c r="O160" s="412"/>
      <c r="P160" s="412"/>
      <c r="Q160" s="409"/>
      <c r="R160" s="409"/>
      <c r="S160" s="413"/>
      <c r="T160" s="413"/>
      <c r="U160" s="414"/>
    </row>
    <row r="161" spans="1:21" s="7" customFormat="1" ht="20.100000000000001" customHeight="1" thickTop="1" thickBot="1">
      <c r="A161" s="238" t="s">
        <v>440</v>
      </c>
      <c r="B161" s="223" t="s">
        <v>375</v>
      </c>
      <c r="C161" s="105" t="s">
        <v>115</v>
      </c>
      <c r="D161" s="362"/>
      <c r="E161" s="363"/>
      <c r="F161" s="364"/>
      <c r="G161" s="105">
        <v>4</v>
      </c>
      <c r="H161" s="108">
        <v>27675</v>
      </c>
      <c r="I161" s="109">
        <f t="shared" si="32"/>
        <v>110700</v>
      </c>
      <c r="J161" s="109"/>
      <c r="K161" s="361"/>
      <c r="L161" s="110">
        <f t="shared" si="31"/>
        <v>110700</v>
      </c>
      <c r="M161" s="368"/>
      <c r="O161" s="412"/>
      <c r="P161" s="412"/>
      <c r="Q161" s="409"/>
      <c r="R161" s="409"/>
      <c r="S161" s="413"/>
      <c r="T161" s="413"/>
      <c r="U161" s="414"/>
    </row>
    <row r="162" spans="1:21" s="7" customFormat="1" ht="20.100000000000001" customHeight="1" thickTop="1" thickBot="1">
      <c r="A162" s="238" t="s">
        <v>441</v>
      </c>
      <c r="B162" s="223" t="s">
        <v>376</v>
      </c>
      <c r="C162" s="105" t="s">
        <v>115</v>
      </c>
      <c r="D162" s="362"/>
      <c r="E162" s="363"/>
      <c r="F162" s="364"/>
      <c r="G162" s="105">
        <v>4</v>
      </c>
      <c r="H162" s="108">
        <v>31050</v>
      </c>
      <c r="I162" s="109">
        <f t="shared" si="32"/>
        <v>124200</v>
      </c>
      <c r="J162" s="109"/>
      <c r="K162" s="361"/>
      <c r="L162" s="110">
        <f t="shared" si="31"/>
        <v>124200</v>
      </c>
      <c r="M162" s="368"/>
      <c r="O162" s="412"/>
      <c r="P162" s="412"/>
      <c r="Q162" s="409"/>
      <c r="R162" s="409"/>
      <c r="S162" s="413"/>
      <c r="T162" s="413"/>
      <c r="U162" s="414"/>
    </row>
    <row r="163" spans="1:21" s="7" customFormat="1" ht="20.100000000000001" customHeight="1" thickTop="1" thickBot="1">
      <c r="A163" s="238" t="s">
        <v>442</v>
      </c>
      <c r="B163" s="223" t="s">
        <v>377</v>
      </c>
      <c r="C163" s="105" t="s">
        <v>115</v>
      </c>
      <c r="D163" s="362"/>
      <c r="E163" s="363"/>
      <c r="F163" s="364"/>
      <c r="G163" s="105">
        <v>4</v>
      </c>
      <c r="H163" s="108">
        <v>24750</v>
      </c>
      <c r="I163" s="109">
        <f t="shared" si="32"/>
        <v>99000</v>
      </c>
      <c r="J163" s="109"/>
      <c r="K163" s="361"/>
      <c r="L163" s="110">
        <f t="shared" si="31"/>
        <v>99000</v>
      </c>
      <c r="M163" s="368"/>
      <c r="O163" s="412"/>
      <c r="P163" s="412"/>
      <c r="Q163" s="409"/>
      <c r="R163" s="409"/>
      <c r="S163" s="413"/>
      <c r="T163" s="413"/>
      <c r="U163" s="414"/>
    </row>
    <row r="164" spans="1:21" s="7" customFormat="1" ht="20.100000000000001" customHeight="1" thickTop="1" thickBot="1">
      <c r="A164" s="238" t="s">
        <v>443</v>
      </c>
      <c r="B164" s="223" t="s">
        <v>388</v>
      </c>
      <c r="C164" s="105" t="s">
        <v>115</v>
      </c>
      <c r="D164" s="362"/>
      <c r="E164" s="363"/>
      <c r="F164" s="364"/>
      <c r="G164" s="105">
        <v>2</v>
      </c>
      <c r="H164" s="108">
        <v>2700</v>
      </c>
      <c r="I164" s="109">
        <f t="shared" si="32"/>
        <v>5400</v>
      </c>
      <c r="J164" s="109"/>
      <c r="K164" s="361"/>
      <c r="L164" s="110">
        <f t="shared" si="31"/>
        <v>5400</v>
      </c>
      <c r="M164" s="368"/>
      <c r="O164" s="412"/>
      <c r="P164" s="412"/>
      <c r="Q164" s="409"/>
      <c r="R164" s="409"/>
      <c r="S164" s="413"/>
      <c r="T164" s="413"/>
      <c r="U164" s="414"/>
    </row>
    <row r="165" spans="1:21" s="7" customFormat="1" ht="20.100000000000001" customHeight="1" thickTop="1" thickBot="1">
      <c r="A165" s="238" t="s">
        <v>450</v>
      </c>
      <c r="B165" s="223" t="s">
        <v>389</v>
      </c>
      <c r="C165" s="105" t="s">
        <v>115</v>
      </c>
      <c r="D165" s="362"/>
      <c r="E165" s="363"/>
      <c r="F165" s="364"/>
      <c r="G165" s="105">
        <v>2</v>
      </c>
      <c r="H165" s="108">
        <v>4335</v>
      </c>
      <c r="I165" s="109">
        <f t="shared" si="32"/>
        <v>8670</v>
      </c>
      <c r="J165" s="109"/>
      <c r="K165" s="361"/>
      <c r="L165" s="110">
        <f t="shared" si="31"/>
        <v>8670</v>
      </c>
      <c r="M165" s="368"/>
      <c r="O165" s="412"/>
      <c r="P165" s="412"/>
      <c r="Q165" s="409"/>
      <c r="R165" s="409"/>
      <c r="S165" s="413"/>
      <c r="T165" s="413"/>
      <c r="U165" s="414"/>
    </row>
    <row r="166" spans="1:21" s="7" customFormat="1" ht="20.100000000000001" customHeight="1" thickTop="1" thickBot="1">
      <c r="A166" s="238"/>
      <c r="B166" s="365"/>
      <c r="D166" s="362"/>
      <c r="E166" s="363"/>
      <c r="F166" s="364"/>
      <c r="G166" s="105"/>
      <c r="H166" s="108"/>
      <c r="I166" s="109"/>
      <c r="J166" s="109"/>
      <c r="K166" s="361"/>
      <c r="L166" s="110">
        <f t="shared" si="31"/>
        <v>0</v>
      </c>
      <c r="M166" s="368"/>
      <c r="O166" s="412"/>
      <c r="P166" s="412"/>
      <c r="Q166" s="409"/>
      <c r="R166" s="409"/>
      <c r="S166" s="413"/>
      <c r="T166" s="413"/>
      <c r="U166" s="414"/>
    </row>
    <row r="167" spans="1:21" s="7" customFormat="1" ht="20.100000000000001" customHeight="1" thickTop="1" thickBot="1">
      <c r="A167" s="244" t="s">
        <v>355</v>
      </c>
      <c r="B167" s="245" t="s">
        <v>451</v>
      </c>
      <c r="D167" s="362"/>
      <c r="E167" s="363"/>
      <c r="F167" s="364"/>
      <c r="G167" s="105"/>
      <c r="H167" s="108"/>
      <c r="I167" s="109"/>
      <c r="J167" s="109"/>
      <c r="K167" s="361"/>
      <c r="L167" s="110">
        <f t="shared" si="31"/>
        <v>0</v>
      </c>
      <c r="M167" s="368"/>
      <c r="O167" s="412"/>
      <c r="P167" s="412"/>
      <c r="Q167" s="409"/>
      <c r="R167" s="409"/>
      <c r="S167" s="413"/>
      <c r="T167" s="413"/>
      <c r="U167" s="414"/>
    </row>
    <row r="168" spans="1:21" s="7" customFormat="1" ht="20.100000000000001" customHeight="1" thickTop="1" thickBot="1">
      <c r="A168" s="238" t="s">
        <v>452</v>
      </c>
      <c r="B168" s="223" t="s">
        <v>356</v>
      </c>
      <c r="C168" s="105" t="s">
        <v>115</v>
      </c>
      <c r="D168" s="362"/>
      <c r="E168" s="363"/>
      <c r="F168" s="364"/>
      <c r="G168" s="105">
        <v>2</v>
      </c>
      <c r="H168" s="108">
        <v>5700</v>
      </c>
      <c r="I168" s="109">
        <f t="shared" si="32"/>
        <v>11400</v>
      </c>
      <c r="J168" s="109"/>
      <c r="K168" s="361"/>
      <c r="L168" s="110">
        <f t="shared" si="31"/>
        <v>11400</v>
      </c>
      <c r="M168" s="368"/>
      <c r="O168" s="412"/>
      <c r="P168" s="412"/>
      <c r="Q168" s="409"/>
      <c r="R168" s="409"/>
      <c r="S168" s="413"/>
      <c r="T168" s="413"/>
      <c r="U168" s="414"/>
    </row>
    <row r="169" spans="1:21" s="7" customFormat="1" ht="20.100000000000001" customHeight="1" thickTop="1" thickBot="1">
      <c r="A169" s="238" t="s">
        <v>453</v>
      </c>
      <c r="B169" s="223" t="s">
        <v>454</v>
      </c>
      <c r="C169" s="105" t="s">
        <v>115</v>
      </c>
      <c r="D169" s="362"/>
      <c r="E169" s="363"/>
      <c r="F169" s="364"/>
      <c r="G169" s="105">
        <v>2</v>
      </c>
      <c r="H169" s="108">
        <v>5937.5</v>
      </c>
      <c r="I169" s="109">
        <f t="shared" si="32"/>
        <v>11875</v>
      </c>
      <c r="J169" s="109"/>
      <c r="K169" s="361"/>
      <c r="L169" s="110">
        <f t="shared" si="31"/>
        <v>11875</v>
      </c>
      <c r="M169" s="368"/>
      <c r="O169" s="412"/>
      <c r="P169" s="412"/>
      <c r="Q169" s="409"/>
      <c r="R169" s="409"/>
      <c r="S169" s="413"/>
      <c r="T169" s="413"/>
      <c r="U169" s="414"/>
    </row>
    <row r="170" spans="1:21" s="7" customFormat="1" ht="20.100000000000001" customHeight="1" thickTop="1" thickBot="1">
      <c r="A170" s="238" t="s">
        <v>455</v>
      </c>
      <c r="B170" s="223" t="s">
        <v>456</v>
      </c>
      <c r="C170" s="105" t="s">
        <v>115</v>
      </c>
      <c r="D170" s="362"/>
      <c r="E170" s="363"/>
      <c r="F170" s="364"/>
      <c r="G170" s="105">
        <v>2</v>
      </c>
      <c r="H170" s="108">
        <v>4275</v>
      </c>
      <c r="I170" s="109">
        <f t="shared" si="32"/>
        <v>8550</v>
      </c>
      <c r="J170" s="109"/>
      <c r="K170" s="361"/>
      <c r="L170" s="110">
        <f t="shared" si="31"/>
        <v>8550</v>
      </c>
      <c r="M170" s="368"/>
      <c r="O170" s="412"/>
      <c r="P170" s="412"/>
      <c r="Q170" s="409"/>
      <c r="R170" s="409"/>
      <c r="S170" s="413"/>
      <c r="T170" s="413"/>
      <c r="U170" s="414"/>
    </row>
    <row r="171" spans="1:21" s="7" customFormat="1" ht="20.100000000000001" customHeight="1" thickTop="1" thickBot="1">
      <c r="A171" s="238" t="s">
        <v>457</v>
      </c>
      <c r="B171" s="223" t="s">
        <v>458</v>
      </c>
      <c r="C171" s="105" t="s">
        <v>115</v>
      </c>
      <c r="D171" s="362"/>
      <c r="E171" s="363"/>
      <c r="F171" s="364"/>
      <c r="G171" s="105">
        <v>2</v>
      </c>
      <c r="H171" s="108">
        <v>4037.5</v>
      </c>
      <c r="I171" s="109">
        <f t="shared" si="32"/>
        <v>8075</v>
      </c>
      <c r="J171" s="109"/>
      <c r="K171" s="361"/>
      <c r="L171" s="110">
        <f t="shared" si="31"/>
        <v>8075</v>
      </c>
      <c r="M171" s="368"/>
      <c r="O171" s="412"/>
      <c r="P171" s="412"/>
      <c r="Q171" s="409"/>
      <c r="R171" s="409"/>
      <c r="S171" s="413"/>
      <c r="T171" s="413"/>
      <c r="U171" s="414"/>
    </row>
    <row r="172" spans="1:21" s="7" customFormat="1" ht="20.100000000000001" customHeight="1" thickTop="1" thickBot="1">
      <c r="A172" s="238"/>
      <c r="B172" s="365"/>
      <c r="C172" s="105"/>
      <c r="D172" s="362"/>
      <c r="E172" s="363"/>
      <c r="F172" s="364"/>
      <c r="H172" s="367"/>
      <c r="J172" s="109"/>
      <c r="K172" s="361"/>
      <c r="L172" s="110"/>
      <c r="M172" s="368"/>
      <c r="O172" s="412"/>
      <c r="P172" s="412"/>
      <c r="Q172" s="409"/>
      <c r="R172" s="409"/>
      <c r="S172" s="413"/>
      <c r="T172" s="413"/>
      <c r="U172" s="414"/>
    </row>
    <row r="173" spans="1:21" s="7" customFormat="1" ht="23.25" customHeight="1" thickTop="1" thickBot="1">
      <c r="A173" s="38"/>
      <c r="B173" s="39" t="s">
        <v>357</v>
      </c>
      <c r="C173" s="44"/>
      <c r="D173" s="43"/>
      <c r="E173" s="44"/>
      <c r="F173" s="44"/>
      <c r="G173" s="45"/>
      <c r="H173" s="45"/>
      <c r="I173" s="29">
        <f>SUM(I153:I172)</f>
        <v>658696.5</v>
      </c>
      <c r="J173" s="45"/>
      <c r="K173" s="29"/>
      <c r="L173" s="29">
        <f>SUM(L153:L172)</f>
        <v>658696.5</v>
      </c>
      <c r="M173" s="30"/>
      <c r="O173" s="412"/>
      <c r="P173" s="412"/>
      <c r="Q173" s="409"/>
      <c r="R173" s="409"/>
      <c r="S173" s="413"/>
      <c r="T173" s="413"/>
      <c r="U173" s="414"/>
    </row>
    <row r="174" spans="1:21" s="7" customFormat="1" ht="23.25" customHeight="1" thickTop="1" thickBot="1">
      <c r="A174" s="40"/>
      <c r="B174" s="41" t="s">
        <v>145</v>
      </c>
      <c r="C174" s="44"/>
      <c r="D174" s="348"/>
      <c r="E174" s="35"/>
      <c r="F174" s="35"/>
      <c r="G174" s="35"/>
      <c r="H174" s="36"/>
      <c r="I174" s="36">
        <f>I18+I33+I42+I52+I75+I129+I139+I150+I173</f>
        <v>3203383.4</v>
      </c>
      <c r="J174" s="36"/>
      <c r="K174" s="36">
        <f>K18+K33+K42+K52+K75+K129+K139+K150+K173</f>
        <v>692650.8</v>
      </c>
      <c r="L174" s="36">
        <f>L18+L33+L42+L52+L75+L129+L139+L150+L173</f>
        <v>3896034.1999999997</v>
      </c>
      <c r="M174" s="37"/>
      <c r="O174" s="412"/>
      <c r="P174" s="412"/>
      <c r="Q174" s="409"/>
      <c r="R174" s="409"/>
      <c r="S174" s="413"/>
      <c r="T174" s="413"/>
      <c r="U174" s="414"/>
    </row>
    <row r="175" spans="1:21" s="7" customFormat="1" ht="20.100000000000001" customHeight="1" thickBot="1">
      <c r="A175" s="369"/>
      <c r="B175" s="370"/>
      <c r="C175" s="371"/>
      <c r="D175" s="370"/>
      <c r="E175" s="370"/>
      <c r="F175" s="370"/>
      <c r="G175" s="370"/>
      <c r="H175" s="370"/>
      <c r="I175" s="370"/>
      <c r="J175" s="370"/>
      <c r="K175" s="370"/>
      <c r="L175" s="370"/>
      <c r="M175" s="372"/>
      <c r="O175" s="412"/>
      <c r="P175" s="412"/>
      <c r="Q175" s="409"/>
      <c r="R175" s="409"/>
      <c r="S175" s="413"/>
      <c r="T175" s="413"/>
      <c r="U175" s="414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1"/>
  <sheetViews>
    <sheetView view="pageBreakPreview" zoomScale="80" zoomScaleNormal="75" workbookViewId="0">
      <pane xSplit="7" ySplit="8" topLeftCell="H63" activePane="bottomRight" state="frozen"/>
      <selection activeCell="P4" sqref="P4"/>
      <selection pane="topRight" activeCell="P4" sqref="P4"/>
      <selection pane="bottomLeft" activeCell="P4" sqref="P4"/>
      <selection pane="bottomRight" activeCell="C71" sqref="C71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36</v>
      </c>
      <c r="B1" s="213"/>
      <c r="C1" s="213"/>
      <c r="D1" s="214"/>
      <c r="E1" s="215"/>
      <c r="F1" s="215"/>
      <c r="G1" s="215"/>
      <c r="H1" s="216"/>
      <c r="I1" s="215"/>
      <c r="J1" s="215"/>
      <c r="K1" s="215"/>
      <c r="L1" s="216"/>
      <c r="M1" s="217"/>
    </row>
    <row r="2" spans="1:13" s="1" customFormat="1" ht="20.100000000000001" customHeight="1">
      <c r="A2" s="185" t="s">
        <v>45</v>
      </c>
      <c r="B2" s="218"/>
      <c r="C2" s="218"/>
      <c r="D2" s="219"/>
      <c r="E2" s="220"/>
      <c r="F2" s="220"/>
      <c r="G2" s="220"/>
      <c r="H2" s="221"/>
      <c r="I2" s="220"/>
      <c r="J2" s="220"/>
      <c r="K2" s="220"/>
      <c r="L2" s="221"/>
      <c r="M2" s="222"/>
    </row>
    <row r="3" spans="1:13" s="1" customFormat="1" ht="20.100000000000001" customHeight="1">
      <c r="A3" s="129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0"/>
      <c r="C3" s="131"/>
      <c r="D3" s="164"/>
      <c r="E3" s="132"/>
      <c r="F3" s="132"/>
      <c r="G3" s="132"/>
      <c r="H3" s="133"/>
      <c r="I3" s="133"/>
      <c r="J3" s="165"/>
      <c r="K3" s="165"/>
      <c r="L3" s="135"/>
      <c r="M3" s="136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9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1"/>
      <c r="C4" s="131"/>
      <c r="D4" s="164"/>
      <c r="E4" s="132"/>
      <c r="F4" s="132"/>
      <c r="G4" s="132"/>
      <c r="H4" s="133"/>
      <c r="I4" s="133"/>
      <c r="J4" s="433" t="s">
        <v>230</v>
      </c>
      <c r="K4" s="433"/>
      <c r="L4" s="433"/>
      <c r="M4" s="434"/>
    </row>
    <row r="5" spans="1:13" s="1" customFormat="1" ht="20.100000000000001" customHeight="1" thickBot="1">
      <c r="A5" s="129" t="s">
        <v>459</v>
      </c>
      <c r="B5" s="131"/>
      <c r="C5" s="131"/>
      <c r="D5" s="164"/>
      <c r="E5" s="132"/>
      <c r="F5" s="132"/>
      <c r="G5" s="132"/>
      <c r="H5" s="133"/>
      <c r="I5" s="133"/>
      <c r="J5" s="134"/>
      <c r="K5" s="134"/>
      <c r="L5" s="132"/>
      <c r="M5" s="136"/>
    </row>
    <row r="6" spans="1:13" s="19" customFormat="1" ht="20.100000000000001" customHeight="1">
      <c r="A6" s="455" t="s">
        <v>2</v>
      </c>
      <c r="B6" s="457" t="s">
        <v>3</v>
      </c>
      <c r="C6" s="457" t="s">
        <v>37</v>
      </c>
      <c r="D6" s="24" t="s">
        <v>46</v>
      </c>
      <c r="E6" s="349" t="s">
        <v>38</v>
      </c>
      <c r="F6" s="349" t="s">
        <v>38</v>
      </c>
      <c r="G6" s="459" t="s">
        <v>38</v>
      </c>
      <c r="H6" s="451" t="s">
        <v>39</v>
      </c>
      <c r="I6" s="452"/>
      <c r="J6" s="453" t="s">
        <v>40</v>
      </c>
      <c r="K6" s="454"/>
      <c r="L6" s="25" t="s">
        <v>5</v>
      </c>
      <c r="M6" s="449" t="s">
        <v>41</v>
      </c>
    </row>
    <row r="7" spans="1:13" s="19" customFormat="1" ht="20.100000000000001" customHeight="1" thickBot="1">
      <c r="A7" s="456"/>
      <c r="B7" s="458"/>
      <c r="C7" s="458"/>
      <c r="D7" s="26" t="s">
        <v>47</v>
      </c>
      <c r="E7" s="350"/>
      <c r="F7" s="350"/>
      <c r="G7" s="460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450"/>
    </row>
    <row r="8" spans="1:13" s="1" customFormat="1" ht="20.100000000000001" customHeight="1">
      <c r="A8" s="23" t="s">
        <v>146</v>
      </c>
      <c r="B8" s="20" t="s">
        <v>481</v>
      </c>
      <c r="C8" s="9"/>
      <c r="D8" s="10"/>
      <c r="E8" s="11"/>
      <c r="F8" s="12"/>
      <c r="G8" s="13"/>
      <c r="H8" s="14"/>
      <c r="I8" s="14"/>
      <c r="J8" s="14"/>
      <c r="K8" s="14"/>
      <c r="L8" s="15"/>
      <c r="M8" s="21"/>
    </row>
    <row r="9" spans="1:13">
      <c r="A9" s="286" t="s">
        <v>243</v>
      </c>
      <c r="B9" s="87" t="s">
        <v>244</v>
      </c>
      <c r="C9" s="88"/>
      <c r="D9" s="246">
        <v>0</v>
      </c>
      <c r="E9" s="247">
        <v>1</v>
      </c>
      <c r="F9" s="248"/>
      <c r="G9" s="248"/>
      <c r="H9" s="249"/>
      <c r="I9" s="250"/>
      <c r="J9" s="249"/>
      <c r="K9" s="250"/>
      <c r="L9" s="251"/>
      <c r="M9" s="252"/>
    </row>
    <row r="10" spans="1:13" ht="18" customHeight="1">
      <c r="A10" s="254"/>
      <c r="B10" s="223" t="s">
        <v>482</v>
      </c>
      <c r="C10" s="105" t="s">
        <v>115</v>
      </c>
      <c r="D10" s="106"/>
      <c r="E10" s="107"/>
      <c r="F10" s="107"/>
      <c r="G10" s="108">
        <v>4</v>
      </c>
      <c r="H10" s="248">
        <v>1465</v>
      </c>
      <c r="I10" s="109">
        <v>5860</v>
      </c>
      <c r="J10" s="109">
        <v>110</v>
      </c>
      <c r="K10" s="109">
        <v>440</v>
      </c>
      <c r="L10" s="110">
        <v>6300</v>
      </c>
      <c r="M10" s="79"/>
    </row>
    <row r="11" spans="1:13" ht="18" customHeight="1">
      <c r="A11" s="254"/>
      <c r="B11" s="223" t="s">
        <v>245</v>
      </c>
      <c r="C11" s="105" t="s">
        <v>115</v>
      </c>
      <c r="D11" s="106"/>
      <c r="E11" s="107"/>
      <c r="F11" s="107"/>
      <c r="G11" s="108">
        <v>4</v>
      </c>
      <c r="H11" s="248">
        <v>1100</v>
      </c>
      <c r="I11" s="109">
        <v>4400</v>
      </c>
      <c r="J11" s="109">
        <v>110</v>
      </c>
      <c r="K11" s="109">
        <v>440</v>
      </c>
      <c r="L11" s="110">
        <v>4840</v>
      </c>
      <c r="M11" s="79"/>
    </row>
    <row r="12" spans="1:13" ht="18" customHeight="1">
      <c r="A12" s="254"/>
      <c r="B12" s="223" t="s">
        <v>246</v>
      </c>
      <c r="C12" s="105" t="s">
        <v>115</v>
      </c>
      <c r="D12" s="106">
        <v>0</v>
      </c>
      <c r="E12" s="107">
        <v>12</v>
      </c>
      <c r="F12" s="108"/>
      <c r="G12" s="108">
        <v>32</v>
      </c>
      <c r="H12" s="248">
        <v>110</v>
      </c>
      <c r="I12" s="109">
        <v>3520</v>
      </c>
      <c r="J12" s="109">
        <v>110</v>
      </c>
      <c r="K12" s="109">
        <v>3520</v>
      </c>
      <c r="L12" s="110">
        <v>7040</v>
      </c>
      <c r="M12" s="79"/>
    </row>
    <row r="13" spans="1:13" ht="18" customHeight="1">
      <c r="A13" s="254"/>
      <c r="B13" s="223" t="s">
        <v>247</v>
      </c>
      <c r="C13" s="105" t="s">
        <v>115</v>
      </c>
      <c r="D13" s="106">
        <v>0</v>
      </c>
      <c r="E13" s="107">
        <v>12</v>
      </c>
      <c r="F13" s="108"/>
      <c r="G13" s="108">
        <v>16</v>
      </c>
      <c r="H13" s="248">
        <v>1450</v>
      </c>
      <c r="I13" s="109">
        <v>23200</v>
      </c>
      <c r="J13" s="109">
        <v>110</v>
      </c>
      <c r="K13" s="109">
        <v>1760</v>
      </c>
      <c r="L13" s="110">
        <v>24960</v>
      </c>
      <c r="M13" s="79"/>
    </row>
    <row r="14" spans="1:13" ht="18" customHeight="1">
      <c r="A14" s="254"/>
      <c r="B14" s="223" t="s">
        <v>248</v>
      </c>
      <c r="C14" s="105" t="s">
        <v>115</v>
      </c>
      <c r="D14" s="106">
        <v>0</v>
      </c>
      <c r="E14" s="107">
        <v>12</v>
      </c>
      <c r="F14" s="108"/>
      <c r="G14" s="108">
        <v>8</v>
      </c>
      <c r="H14" s="248">
        <v>1450</v>
      </c>
      <c r="I14" s="109">
        <v>11600</v>
      </c>
      <c r="J14" s="109">
        <v>110</v>
      </c>
      <c r="K14" s="109">
        <v>880</v>
      </c>
      <c r="L14" s="110">
        <v>12480</v>
      </c>
      <c r="M14" s="79"/>
    </row>
    <row r="15" spans="1:13" ht="18" customHeight="1">
      <c r="A15" s="254"/>
      <c r="B15" s="223" t="s">
        <v>249</v>
      </c>
      <c r="C15" s="105" t="s">
        <v>115</v>
      </c>
      <c r="D15" s="106">
        <v>0</v>
      </c>
      <c r="E15" s="107">
        <v>12</v>
      </c>
      <c r="F15" s="108"/>
      <c r="G15" s="108">
        <v>4</v>
      </c>
      <c r="H15" s="248">
        <v>800</v>
      </c>
      <c r="I15" s="287">
        <v>3200</v>
      </c>
      <c r="J15" s="287">
        <v>200</v>
      </c>
      <c r="K15" s="109">
        <v>800</v>
      </c>
      <c r="L15" s="110">
        <v>4000</v>
      </c>
      <c r="M15" s="79"/>
    </row>
    <row r="16" spans="1:13" ht="18" customHeight="1" thickBot="1">
      <c r="A16" s="254"/>
      <c r="B16" s="223" t="s">
        <v>250</v>
      </c>
      <c r="C16" s="105" t="s">
        <v>115</v>
      </c>
      <c r="D16" s="106">
        <v>0</v>
      </c>
      <c r="E16" s="107">
        <v>12</v>
      </c>
      <c r="F16" s="108"/>
      <c r="G16" s="108">
        <v>4</v>
      </c>
      <c r="H16" s="248">
        <v>1900</v>
      </c>
      <c r="I16" s="287">
        <v>7600</v>
      </c>
      <c r="J16" s="287">
        <v>400</v>
      </c>
      <c r="K16" s="109">
        <v>1600</v>
      </c>
      <c r="L16" s="110">
        <v>9200</v>
      </c>
      <c r="M16" s="79"/>
    </row>
    <row r="17" spans="1:13" s="7" customFormat="1" ht="15" thickTop="1" thickBot="1">
      <c r="A17" s="255"/>
      <c r="B17" s="39" t="s">
        <v>147</v>
      </c>
      <c r="C17" s="42"/>
      <c r="D17" s="43"/>
      <c r="E17" s="44"/>
      <c r="F17" s="44"/>
      <c r="G17" s="44"/>
      <c r="H17" s="45"/>
      <c r="I17" s="29">
        <v>59380</v>
      </c>
      <c r="J17" s="45"/>
      <c r="K17" s="29">
        <v>9440</v>
      </c>
      <c r="L17" s="29">
        <v>68820</v>
      </c>
      <c r="M17" s="30"/>
    </row>
    <row r="18" spans="1:13" ht="20.100000000000001" customHeight="1" thickTop="1">
      <c r="A18" s="90" t="s">
        <v>160</v>
      </c>
      <c r="B18" s="91" t="s">
        <v>251</v>
      </c>
      <c r="C18" s="67"/>
      <c r="D18" s="68"/>
      <c r="E18" s="253"/>
      <c r="F18" s="120"/>
      <c r="G18" s="69"/>
      <c r="H18" s="70"/>
      <c r="I18" s="70"/>
      <c r="J18" s="70"/>
      <c r="K18" s="70"/>
      <c r="L18" s="71"/>
      <c r="M18" s="72"/>
    </row>
    <row r="19" spans="1:13" ht="20.100000000000001" customHeight="1">
      <c r="A19" s="254"/>
      <c r="B19" s="189" t="s">
        <v>252</v>
      </c>
      <c r="C19" s="105" t="s">
        <v>253</v>
      </c>
      <c r="D19" s="106">
        <v>0</v>
      </c>
      <c r="E19" s="107"/>
      <c r="F19" s="107">
        <v>3</v>
      </c>
      <c r="G19" s="108">
        <v>200</v>
      </c>
      <c r="H19" s="108">
        <v>112.31</v>
      </c>
      <c r="I19" s="109">
        <v>22462</v>
      </c>
      <c r="J19" s="108">
        <v>30</v>
      </c>
      <c r="K19" s="109">
        <v>6000</v>
      </c>
      <c r="L19" s="110">
        <v>28462</v>
      </c>
      <c r="M19" s="79"/>
    </row>
    <row r="20" spans="1:13" ht="18" customHeight="1">
      <c r="A20" s="254"/>
      <c r="B20" s="223" t="s">
        <v>254</v>
      </c>
      <c r="C20" s="105" t="s">
        <v>253</v>
      </c>
      <c r="D20" s="106"/>
      <c r="E20" s="107"/>
      <c r="F20" s="107"/>
      <c r="G20" s="108">
        <v>60</v>
      </c>
      <c r="H20" s="108">
        <v>34.76</v>
      </c>
      <c r="I20" s="109">
        <v>2085.6</v>
      </c>
      <c r="J20" s="108">
        <v>16</v>
      </c>
      <c r="K20" s="109">
        <v>960</v>
      </c>
      <c r="L20" s="110">
        <v>3045.6</v>
      </c>
      <c r="M20" s="79"/>
    </row>
    <row r="21" spans="1:13" ht="18" customHeight="1">
      <c r="A21" s="254"/>
      <c r="B21" s="223" t="s">
        <v>255</v>
      </c>
      <c r="C21" s="105" t="s">
        <v>253</v>
      </c>
      <c r="D21" s="106"/>
      <c r="E21" s="107"/>
      <c r="F21" s="107"/>
      <c r="G21" s="108">
        <v>1740</v>
      </c>
      <c r="H21" s="108">
        <v>12.13</v>
      </c>
      <c r="I21" s="109">
        <v>21106.2</v>
      </c>
      <c r="J21" s="108">
        <v>10</v>
      </c>
      <c r="K21" s="109">
        <v>17400</v>
      </c>
      <c r="L21" s="110">
        <v>38506.199999999997</v>
      </c>
      <c r="M21" s="79"/>
    </row>
    <row r="22" spans="1:13" ht="18" customHeight="1">
      <c r="A22" s="254"/>
      <c r="B22" s="189" t="s">
        <v>256</v>
      </c>
      <c r="C22" s="105" t="s">
        <v>253</v>
      </c>
      <c r="D22" s="106"/>
      <c r="E22" s="107"/>
      <c r="F22" s="107"/>
      <c r="G22" s="108">
        <v>3888</v>
      </c>
      <c r="H22" s="108">
        <v>8.0399999999999991</v>
      </c>
      <c r="I22" s="109">
        <v>31259.519999999997</v>
      </c>
      <c r="J22" s="108">
        <v>7</v>
      </c>
      <c r="K22" s="109">
        <v>27216</v>
      </c>
      <c r="L22" s="110">
        <v>58475.519999999997</v>
      </c>
      <c r="M22" s="79"/>
    </row>
    <row r="23" spans="1:13" ht="18" customHeight="1">
      <c r="A23" s="254"/>
      <c r="B23" s="189" t="s">
        <v>257</v>
      </c>
      <c r="C23" s="105" t="s">
        <v>253</v>
      </c>
      <c r="D23" s="106">
        <v>0</v>
      </c>
      <c r="E23" s="107">
        <v>12</v>
      </c>
      <c r="F23" s="108"/>
      <c r="G23" s="108">
        <v>240</v>
      </c>
      <c r="H23" s="108">
        <v>20.59</v>
      </c>
      <c r="I23" s="109">
        <v>4941.6000000000004</v>
      </c>
      <c r="J23" s="108">
        <v>12</v>
      </c>
      <c r="K23" s="109">
        <v>2880</v>
      </c>
      <c r="L23" s="110">
        <v>7821.6</v>
      </c>
      <c r="M23" s="79"/>
    </row>
    <row r="24" spans="1:13" ht="18" customHeight="1">
      <c r="A24" s="254"/>
      <c r="B24" s="189" t="s">
        <v>258</v>
      </c>
      <c r="C24" s="105" t="s">
        <v>253</v>
      </c>
      <c r="D24" s="106">
        <v>0</v>
      </c>
      <c r="E24" s="107">
        <v>12</v>
      </c>
      <c r="F24" s="108"/>
      <c r="G24" s="108">
        <v>120</v>
      </c>
      <c r="H24" s="108">
        <v>17.63</v>
      </c>
      <c r="I24" s="109">
        <v>2115.6</v>
      </c>
      <c r="J24" s="108">
        <v>10</v>
      </c>
      <c r="K24" s="109">
        <v>1200</v>
      </c>
      <c r="L24" s="110">
        <v>3315.6</v>
      </c>
      <c r="M24" s="79"/>
    </row>
    <row r="25" spans="1:13" ht="18" customHeight="1">
      <c r="A25" s="254"/>
      <c r="B25" s="189" t="s">
        <v>259</v>
      </c>
      <c r="C25" s="105" t="s">
        <v>253</v>
      </c>
      <c r="D25" s="106">
        <v>0</v>
      </c>
      <c r="E25" s="107">
        <v>12</v>
      </c>
      <c r="F25" s="108"/>
      <c r="G25" s="108">
        <v>300</v>
      </c>
      <c r="H25" s="248">
        <v>4.8</v>
      </c>
      <c r="I25" s="287">
        <v>1440</v>
      </c>
      <c r="J25" s="248">
        <v>3</v>
      </c>
      <c r="K25" s="109">
        <v>900</v>
      </c>
      <c r="L25" s="110">
        <v>2340</v>
      </c>
      <c r="M25" s="79"/>
    </row>
    <row r="26" spans="1:13" ht="18" customHeight="1">
      <c r="A26" s="254"/>
      <c r="B26" s="189" t="s">
        <v>260</v>
      </c>
      <c r="C26" s="105" t="s">
        <v>253</v>
      </c>
      <c r="D26" s="106">
        <v>0</v>
      </c>
      <c r="E26" s="107">
        <v>12</v>
      </c>
      <c r="F26" s="108"/>
      <c r="G26" s="108">
        <v>240</v>
      </c>
      <c r="H26" s="248">
        <v>9.35</v>
      </c>
      <c r="I26" s="109">
        <v>2244</v>
      </c>
      <c r="J26" s="108">
        <v>6</v>
      </c>
      <c r="K26" s="109">
        <v>1440</v>
      </c>
      <c r="L26" s="110">
        <v>3684</v>
      </c>
      <c r="M26" s="79"/>
    </row>
    <row r="27" spans="1:13" ht="18" customHeight="1">
      <c r="A27" s="254"/>
      <c r="B27" s="189" t="s">
        <v>261</v>
      </c>
      <c r="C27" s="105" t="s">
        <v>253</v>
      </c>
      <c r="D27" s="106">
        <v>0</v>
      </c>
      <c r="E27" s="107">
        <v>12</v>
      </c>
      <c r="F27" s="108"/>
      <c r="G27" s="108">
        <v>248</v>
      </c>
      <c r="H27" s="108">
        <v>39</v>
      </c>
      <c r="I27" s="109">
        <v>9672</v>
      </c>
      <c r="J27" s="108">
        <v>12</v>
      </c>
      <c r="K27" s="109">
        <v>2976</v>
      </c>
      <c r="L27" s="110">
        <v>12648</v>
      </c>
      <c r="M27" s="79"/>
    </row>
    <row r="28" spans="1:13" ht="18" customHeight="1">
      <c r="A28" s="254"/>
      <c r="B28" s="189" t="s">
        <v>263</v>
      </c>
      <c r="C28" s="105" t="s">
        <v>253</v>
      </c>
      <c r="D28" s="106">
        <v>0</v>
      </c>
      <c r="E28" s="107">
        <v>12</v>
      </c>
      <c r="F28" s="108"/>
      <c r="G28" s="108">
        <v>80</v>
      </c>
      <c r="H28" s="108">
        <v>16</v>
      </c>
      <c r="I28" s="109">
        <v>1280</v>
      </c>
      <c r="J28" s="108">
        <v>19</v>
      </c>
      <c r="K28" s="109">
        <v>1520</v>
      </c>
      <c r="L28" s="110">
        <v>2800</v>
      </c>
      <c r="M28" s="79"/>
    </row>
    <row r="29" spans="1:13" ht="18" customHeight="1">
      <c r="A29" s="254"/>
      <c r="B29" s="189" t="s">
        <v>264</v>
      </c>
      <c r="C29" s="105" t="s">
        <v>253</v>
      </c>
      <c r="D29" s="106">
        <v>0</v>
      </c>
      <c r="E29" s="107">
        <v>12</v>
      </c>
      <c r="F29" s="108"/>
      <c r="G29" s="108">
        <v>60</v>
      </c>
      <c r="H29" s="108">
        <v>22</v>
      </c>
      <c r="I29" s="109">
        <v>1320</v>
      </c>
      <c r="J29" s="108">
        <v>18</v>
      </c>
      <c r="K29" s="109">
        <v>1080</v>
      </c>
      <c r="L29" s="110">
        <v>2400</v>
      </c>
      <c r="M29" s="79"/>
    </row>
    <row r="30" spans="1:13" ht="18" customHeight="1">
      <c r="A30" s="254"/>
      <c r="B30" s="189" t="s">
        <v>265</v>
      </c>
      <c r="C30" s="105" t="s">
        <v>253</v>
      </c>
      <c r="D30" s="106">
        <v>0</v>
      </c>
      <c r="E30" s="107">
        <v>12</v>
      </c>
      <c r="F30" s="108"/>
      <c r="G30" s="108">
        <v>100</v>
      </c>
      <c r="H30" s="108">
        <v>77.28</v>
      </c>
      <c r="I30" s="109">
        <v>7728</v>
      </c>
      <c r="J30" s="108">
        <v>35</v>
      </c>
      <c r="K30" s="109">
        <v>3500</v>
      </c>
      <c r="L30" s="110">
        <v>11228</v>
      </c>
      <c r="M30" s="79"/>
    </row>
    <row r="31" spans="1:13" ht="18" customHeight="1">
      <c r="A31" s="254"/>
      <c r="B31" s="189" t="s">
        <v>266</v>
      </c>
      <c r="C31" s="105" t="s">
        <v>253</v>
      </c>
      <c r="D31" s="106">
        <v>0</v>
      </c>
      <c r="E31" s="107">
        <v>12</v>
      </c>
      <c r="F31" s="108"/>
      <c r="G31" s="108">
        <v>52</v>
      </c>
      <c r="H31" s="108">
        <v>18.149999999999999</v>
      </c>
      <c r="I31" s="109">
        <v>943.8</v>
      </c>
      <c r="J31" s="108">
        <v>23</v>
      </c>
      <c r="K31" s="109">
        <v>1196</v>
      </c>
      <c r="L31" s="110">
        <v>2139.8000000000002</v>
      </c>
      <c r="M31" s="79"/>
    </row>
    <row r="32" spans="1:13" ht="18" customHeight="1">
      <c r="A32" s="254"/>
      <c r="B32" s="189" t="s">
        <v>267</v>
      </c>
      <c r="C32" s="105" t="s">
        <v>253</v>
      </c>
      <c r="D32" s="106">
        <v>0</v>
      </c>
      <c r="E32" s="107">
        <v>12</v>
      </c>
      <c r="F32" s="108"/>
      <c r="G32" s="108">
        <v>2628</v>
      </c>
      <c r="H32" s="248">
        <v>14.04</v>
      </c>
      <c r="I32" s="109">
        <v>36897.119999999995</v>
      </c>
      <c r="J32" s="108">
        <v>20</v>
      </c>
      <c r="K32" s="109">
        <v>52560</v>
      </c>
      <c r="L32" s="110">
        <v>89457.12</v>
      </c>
      <c r="M32" s="79"/>
    </row>
    <row r="33" spans="1:13" ht="18" customHeight="1">
      <c r="A33" s="254"/>
      <c r="B33" s="189" t="s">
        <v>268</v>
      </c>
      <c r="C33" s="105" t="s">
        <v>253</v>
      </c>
      <c r="D33" s="106">
        <v>0</v>
      </c>
      <c r="E33" s="107">
        <v>12</v>
      </c>
      <c r="F33" s="108"/>
      <c r="G33" s="108">
        <v>248</v>
      </c>
      <c r="H33" s="248">
        <v>4.4000000000000004</v>
      </c>
      <c r="I33" s="109">
        <v>1091.2</v>
      </c>
      <c r="J33" s="108">
        <v>11</v>
      </c>
      <c r="K33" s="109">
        <v>2728</v>
      </c>
      <c r="L33" s="110">
        <v>3819.2</v>
      </c>
      <c r="M33" s="79"/>
    </row>
    <row r="34" spans="1:13" ht="18" customHeight="1">
      <c r="A34" s="254"/>
      <c r="B34" s="189" t="s">
        <v>483</v>
      </c>
      <c r="C34" s="105" t="s">
        <v>262</v>
      </c>
      <c r="D34" s="106">
        <v>0</v>
      </c>
      <c r="E34" s="107">
        <v>12</v>
      </c>
      <c r="F34" s="108"/>
      <c r="G34" s="108">
        <v>1</v>
      </c>
      <c r="H34" s="248"/>
      <c r="I34" s="109"/>
      <c r="J34" s="108"/>
      <c r="K34" s="109"/>
      <c r="L34" s="110">
        <v>27014.264000000003</v>
      </c>
      <c r="M34" s="79"/>
    </row>
    <row r="35" spans="1:13" ht="18" customHeight="1" thickBot="1">
      <c r="A35" s="254"/>
      <c r="B35" s="189" t="s">
        <v>269</v>
      </c>
      <c r="C35" s="105"/>
      <c r="D35" s="106"/>
      <c r="E35" s="107"/>
      <c r="F35" s="108"/>
      <c r="G35" s="108"/>
      <c r="H35" s="248"/>
      <c r="I35" s="109">
        <v>146586.64000000001</v>
      </c>
      <c r="J35" s="108"/>
      <c r="K35" s="109">
        <v>123556</v>
      </c>
      <c r="L35" s="110">
        <v>297156.90399999998</v>
      </c>
      <c r="M35" s="79" t="s">
        <v>33</v>
      </c>
    </row>
    <row r="36" spans="1:13" s="7" customFormat="1" ht="15" thickTop="1" thickBot="1">
      <c r="A36" s="255" t="s">
        <v>270</v>
      </c>
      <c r="B36" s="39" t="s">
        <v>271</v>
      </c>
      <c r="C36" s="42"/>
      <c r="D36" s="43"/>
      <c r="E36" s="44"/>
      <c r="F36" s="44"/>
      <c r="G36" s="44"/>
      <c r="H36" s="45"/>
      <c r="I36" s="29"/>
      <c r="J36" s="45"/>
      <c r="K36" s="29"/>
      <c r="L36" s="29"/>
      <c r="M36" s="30"/>
    </row>
    <row r="37" spans="1:13" ht="20.100000000000001" customHeight="1" thickTop="1">
      <c r="A37" s="90"/>
      <c r="B37" s="91" t="s">
        <v>272</v>
      </c>
      <c r="C37" s="67" t="s">
        <v>273</v>
      </c>
      <c r="D37" s="68">
        <v>0</v>
      </c>
      <c r="E37" s="253"/>
      <c r="F37" s="120">
        <v>3</v>
      </c>
      <c r="G37" s="69">
        <v>56</v>
      </c>
      <c r="H37" s="70">
        <v>420</v>
      </c>
      <c r="I37" s="70">
        <v>23520</v>
      </c>
      <c r="J37" s="70">
        <v>115</v>
      </c>
      <c r="K37" s="70">
        <v>6440</v>
      </c>
      <c r="L37" s="71">
        <v>29960</v>
      </c>
      <c r="M37" s="72"/>
    </row>
    <row r="38" spans="1:13" ht="35.25" customHeight="1">
      <c r="A38" s="254"/>
      <c r="B38" s="189" t="s">
        <v>274</v>
      </c>
      <c r="C38" s="105" t="s">
        <v>275</v>
      </c>
      <c r="D38" s="106"/>
      <c r="E38" s="107"/>
      <c r="F38" s="107"/>
      <c r="G38" s="108">
        <v>32</v>
      </c>
      <c r="H38" s="248">
        <v>250</v>
      </c>
      <c r="I38" s="109">
        <v>8000</v>
      </c>
      <c r="J38" s="109">
        <v>115</v>
      </c>
      <c r="K38" s="109">
        <v>3680</v>
      </c>
      <c r="L38" s="110">
        <v>11680</v>
      </c>
      <c r="M38" s="79"/>
    </row>
    <row r="39" spans="1:13" ht="35.25" customHeight="1">
      <c r="A39" s="254"/>
      <c r="B39" s="189" t="s">
        <v>276</v>
      </c>
      <c r="C39" s="105" t="s">
        <v>275</v>
      </c>
      <c r="D39" s="106"/>
      <c r="E39" s="107"/>
      <c r="F39" s="107"/>
      <c r="G39" s="108">
        <v>40</v>
      </c>
      <c r="H39" s="248">
        <v>250</v>
      </c>
      <c r="I39" s="109">
        <v>10000</v>
      </c>
      <c r="J39" s="109">
        <v>115</v>
      </c>
      <c r="K39" s="109">
        <v>4600</v>
      </c>
      <c r="L39" s="110">
        <v>14600</v>
      </c>
      <c r="M39" s="79"/>
    </row>
    <row r="40" spans="1:13" ht="35.25" customHeight="1">
      <c r="A40" s="254"/>
      <c r="B40" s="189" t="s">
        <v>277</v>
      </c>
      <c r="C40" s="105" t="s">
        <v>275</v>
      </c>
      <c r="D40" s="106"/>
      <c r="E40" s="107"/>
      <c r="F40" s="107"/>
      <c r="G40" s="108">
        <v>4</v>
      </c>
      <c r="H40" s="248">
        <v>320</v>
      </c>
      <c r="I40" s="109">
        <v>1280</v>
      </c>
      <c r="J40" s="109">
        <v>115</v>
      </c>
      <c r="K40" s="109">
        <v>460</v>
      </c>
      <c r="L40" s="110">
        <v>1740</v>
      </c>
      <c r="M40" s="79"/>
    </row>
    <row r="41" spans="1:13" ht="18" customHeight="1">
      <c r="A41" s="254"/>
      <c r="B41" s="189" t="s">
        <v>484</v>
      </c>
      <c r="C41" s="105" t="s">
        <v>275</v>
      </c>
      <c r="D41" s="106"/>
      <c r="E41" s="107"/>
      <c r="F41" s="107"/>
      <c r="G41" s="108">
        <v>4</v>
      </c>
      <c r="H41" s="248">
        <v>320</v>
      </c>
      <c r="I41" s="109">
        <v>1280</v>
      </c>
      <c r="J41" s="109">
        <v>115</v>
      </c>
      <c r="K41" s="109">
        <v>460</v>
      </c>
      <c r="L41" s="110">
        <v>1740</v>
      </c>
      <c r="M41" s="79"/>
    </row>
    <row r="42" spans="1:13" ht="18" customHeight="1">
      <c r="A42" s="254"/>
      <c r="B42" s="189" t="s">
        <v>278</v>
      </c>
      <c r="C42" s="105" t="s">
        <v>273</v>
      </c>
      <c r="D42" s="106">
        <v>0</v>
      </c>
      <c r="E42" s="107"/>
      <c r="F42" s="107">
        <v>3</v>
      </c>
      <c r="G42" s="108">
        <v>184</v>
      </c>
      <c r="H42" s="248">
        <v>120</v>
      </c>
      <c r="I42" s="109">
        <v>22080</v>
      </c>
      <c r="J42" s="287"/>
      <c r="K42" s="109">
        <v>0</v>
      </c>
      <c r="L42" s="110">
        <v>22080</v>
      </c>
      <c r="M42" s="79"/>
    </row>
    <row r="43" spans="1:13" ht="18" customHeight="1" thickBot="1">
      <c r="A43" s="254"/>
      <c r="B43" s="189" t="s">
        <v>279</v>
      </c>
      <c r="C43" s="105" t="s">
        <v>275</v>
      </c>
      <c r="D43" s="106"/>
      <c r="E43" s="107"/>
      <c r="F43" s="107"/>
      <c r="G43" s="108">
        <v>8</v>
      </c>
      <c r="H43" s="248">
        <v>220</v>
      </c>
      <c r="I43" s="109">
        <v>1760</v>
      </c>
      <c r="J43" s="287"/>
      <c r="K43" s="109">
        <v>0</v>
      </c>
      <c r="L43" s="110">
        <v>1760</v>
      </c>
      <c r="M43" s="79"/>
    </row>
    <row r="44" spans="1:13" s="7" customFormat="1" ht="15" thickTop="1" thickBot="1">
      <c r="A44" s="255"/>
      <c r="B44" s="39" t="s">
        <v>280</v>
      </c>
      <c r="C44" s="42"/>
      <c r="D44" s="43"/>
      <c r="E44" s="44"/>
      <c r="F44" s="44"/>
      <c r="G44" s="44"/>
      <c r="H44" s="45"/>
      <c r="I44" s="29">
        <v>67920</v>
      </c>
      <c r="J44" s="45"/>
      <c r="K44" s="29">
        <v>15640</v>
      </c>
      <c r="L44" s="29">
        <v>83560</v>
      </c>
      <c r="M44" s="30" t="s">
        <v>33</v>
      </c>
    </row>
    <row r="45" spans="1:13" ht="20.100000000000001" customHeight="1" thickTop="1">
      <c r="A45" s="90" t="s">
        <v>281</v>
      </c>
      <c r="B45" s="91" t="s">
        <v>282</v>
      </c>
      <c r="C45" s="67"/>
      <c r="D45" s="68"/>
      <c r="E45" s="253"/>
      <c r="F45" s="120"/>
      <c r="G45" s="69"/>
      <c r="H45" s="70"/>
      <c r="I45" s="70"/>
      <c r="J45" s="70"/>
      <c r="K45" s="70"/>
      <c r="L45" s="71"/>
      <c r="M45" s="72"/>
    </row>
    <row r="46" spans="1:13" ht="20.100000000000001" customHeight="1">
      <c r="A46" s="254"/>
      <c r="B46" s="189" t="s">
        <v>283</v>
      </c>
      <c r="C46" s="105" t="s">
        <v>273</v>
      </c>
      <c r="D46" s="106">
        <v>0</v>
      </c>
      <c r="E46" s="107"/>
      <c r="F46" s="107">
        <v>3</v>
      </c>
      <c r="G46" s="108">
        <v>124</v>
      </c>
      <c r="H46" s="108">
        <v>30</v>
      </c>
      <c r="I46" s="109">
        <v>3720</v>
      </c>
      <c r="J46" s="109">
        <v>80</v>
      </c>
      <c r="K46" s="109">
        <v>9920</v>
      </c>
      <c r="L46" s="110">
        <v>13640</v>
      </c>
      <c r="M46" s="79"/>
    </row>
    <row r="47" spans="1:13" ht="18" customHeight="1">
      <c r="A47" s="254"/>
      <c r="B47" s="189" t="s">
        <v>342</v>
      </c>
      <c r="C47" s="105" t="s">
        <v>275</v>
      </c>
      <c r="D47" s="106"/>
      <c r="E47" s="107"/>
      <c r="F47" s="107"/>
      <c r="G47" s="288">
        <v>16</v>
      </c>
      <c r="H47" s="108">
        <v>56</v>
      </c>
      <c r="I47" s="109">
        <v>896</v>
      </c>
      <c r="J47" s="109">
        <v>85</v>
      </c>
      <c r="K47" s="109">
        <v>1360</v>
      </c>
      <c r="L47" s="110">
        <v>2256</v>
      </c>
      <c r="M47" s="79"/>
    </row>
    <row r="48" spans="1:13" ht="18" customHeight="1">
      <c r="A48" s="254"/>
      <c r="B48" s="189" t="s">
        <v>284</v>
      </c>
      <c r="C48" s="105" t="s">
        <v>275</v>
      </c>
      <c r="D48" s="106"/>
      <c r="E48" s="107"/>
      <c r="F48" s="107"/>
      <c r="G48" s="108">
        <v>32</v>
      </c>
      <c r="H48" s="108">
        <v>22</v>
      </c>
      <c r="I48" s="109">
        <v>704</v>
      </c>
      <c r="J48" s="287"/>
      <c r="K48" s="109">
        <v>0</v>
      </c>
      <c r="L48" s="110">
        <v>704</v>
      </c>
      <c r="M48" s="79"/>
    </row>
    <row r="49" spans="1:13" ht="18" customHeight="1">
      <c r="A49" s="254"/>
      <c r="B49" s="189" t="s">
        <v>285</v>
      </c>
      <c r="C49" s="105" t="s">
        <v>275</v>
      </c>
      <c r="D49" s="106"/>
      <c r="E49" s="107"/>
      <c r="F49" s="107"/>
      <c r="G49" s="108">
        <v>20</v>
      </c>
      <c r="H49" s="108">
        <v>22</v>
      </c>
      <c r="I49" s="109">
        <v>440</v>
      </c>
      <c r="J49" s="287"/>
      <c r="K49" s="109">
        <v>0</v>
      </c>
      <c r="L49" s="110">
        <v>440</v>
      </c>
      <c r="M49" s="79"/>
    </row>
    <row r="50" spans="1:13" ht="18" customHeight="1">
      <c r="A50" s="254"/>
      <c r="B50" s="189" t="s">
        <v>341</v>
      </c>
      <c r="C50" s="105" t="s">
        <v>275</v>
      </c>
      <c r="D50" s="106">
        <v>0</v>
      </c>
      <c r="E50" s="107">
        <v>12</v>
      </c>
      <c r="F50" s="108"/>
      <c r="G50" s="288">
        <v>12</v>
      </c>
      <c r="H50" s="108">
        <v>22</v>
      </c>
      <c r="I50" s="109">
        <v>264</v>
      </c>
      <c r="J50" s="287"/>
      <c r="K50" s="109">
        <v>0</v>
      </c>
      <c r="L50" s="110">
        <v>264</v>
      </c>
      <c r="M50" s="79"/>
    </row>
    <row r="51" spans="1:13" ht="18" customHeight="1">
      <c r="A51" s="254"/>
      <c r="B51" s="189" t="s">
        <v>286</v>
      </c>
      <c r="C51" s="105" t="s">
        <v>275</v>
      </c>
      <c r="D51" s="106">
        <v>0</v>
      </c>
      <c r="E51" s="107">
        <v>12</v>
      </c>
      <c r="F51" s="108"/>
      <c r="G51" s="108">
        <v>4</v>
      </c>
      <c r="H51" s="108">
        <v>22</v>
      </c>
      <c r="I51" s="109">
        <v>88</v>
      </c>
      <c r="J51" s="287"/>
      <c r="K51" s="109">
        <v>0</v>
      </c>
      <c r="L51" s="110">
        <v>88</v>
      </c>
      <c r="M51" s="79"/>
    </row>
    <row r="52" spans="1:13" ht="18" customHeight="1">
      <c r="A52" s="254"/>
      <c r="B52" s="189" t="s">
        <v>287</v>
      </c>
      <c r="C52" s="105" t="s">
        <v>275</v>
      </c>
      <c r="D52" s="106">
        <v>0</v>
      </c>
      <c r="E52" s="107">
        <v>12</v>
      </c>
      <c r="F52" s="108"/>
      <c r="G52" s="108">
        <v>80</v>
      </c>
      <c r="H52" s="108">
        <v>130</v>
      </c>
      <c r="I52" s="109">
        <v>10400</v>
      </c>
      <c r="J52" s="287">
        <v>90</v>
      </c>
      <c r="K52" s="109">
        <v>7200</v>
      </c>
      <c r="L52" s="110">
        <v>17600</v>
      </c>
      <c r="M52" s="79"/>
    </row>
    <row r="53" spans="1:13" ht="18" customHeight="1">
      <c r="A53" s="254"/>
      <c r="B53" s="189" t="s">
        <v>288</v>
      </c>
      <c r="C53" s="105" t="s">
        <v>275</v>
      </c>
      <c r="D53" s="106">
        <v>0</v>
      </c>
      <c r="E53" s="107">
        <v>12</v>
      </c>
      <c r="F53" s="108"/>
      <c r="G53" s="108">
        <v>8</v>
      </c>
      <c r="H53" s="108">
        <v>130</v>
      </c>
      <c r="I53" s="109">
        <v>1040</v>
      </c>
      <c r="J53" s="287">
        <v>115</v>
      </c>
      <c r="K53" s="109">
        <v>920</v>
      </c>
      <c r="L53" s="110">
        <v>1960</v>
      </c>
      <c r="M53" s="79"/>
    </row>
    <row r="54" spans="1:13" ht="18" customHeight="1">
      <c r="A54" s="254"/>
      <c r="B54" s="189" t="s">
        <v>289</v>
      </c>
      <c r="C54" s="105" t="s">
        <v>275</v>
      </c>
      <c r="D54" s="106">
        <v>0</v>
      </c>
      <c r="E54" s="107">
        <v>12</v>
      </c>
      <c r="F54" s="108"/>
      <c r="G54" s="108">
        <v>80</v>
      </c>
      <c r="H54" s="108">
        <v>22</v>
      </c>
      <c r="I54" s="109">
        <v>1760</v>
      </c>
      <c r="J54" s="287"/>
      <c r="K54" s="109">
        <v>0</v>
      </c>
      <c r="L54" s="110">
        <v>1760</v>
      </c>
      <c r="M54" s="79"/>
    </row>
    <row r="55" spans="1:13" ht="18" customHeight="1" thickBot="1">
      <c r="A55" s="254"/>
      <c r="B55" s="189" t="s">
        <v>290</v>
      </c>
      <c r="C55" s="105" t="s">
        <v>275</v>
      </c>
      <c r="D55" s="106">
        <v>0</v>
      </c>
      <c r="E55" s="107">
        <v>12</v>
      </c>
      <c r="F55" s="108"/>
      <c r="G55" s="108">
        <v>8</v>
      </c>
      <c r="H55" s="108">
        <v>22</v>
      </c>
      <c r="I55" s="109">
        <v>176</v>
      </c>
      <c r="J55" s="287"/>
      <c r="K55" s="109">
        <v>0</v>
      </c>
      <c r="L55" s="110">
        <v>176</v>
      </c>
      <c r="M55" s="79"/>
    </row>
    <row r="56" spans="1:13" s="7" customFormat="1" ht="15" thickTop="1" thickBot="1">
      <c r="A56" s="255"/>
      <c r="B56" s="39" t="s">
        <v>291</v>
      </c>
      <c r="C56" s="42"/>
      <c r="D56" s="43"/>
      <c r="E56" s="44"/>
      <c r="F56" s="44"/>
      <c r="G56" s="44"/>
      <c r="H56" s="45"/>
      <c r="I56" s="29">
        <v>19488</v>
      </c>
      <c r="J56" s="45"/>
      <c r="K56" s="29">
        <v>19400</v>
      </c>
      <c r="L56" s="29">
        <v>38888</v>
      </c>
      <c r="M56" s="30" t="s">
        <v>33</v>
      </c>
    </row>
    <row r="57" spans="1:13" ht="20.100000000000001" customHeight="1" thickTop="1">
      <c r="A57" s="90" t="s">
        <v>292</v>
      </c>
      <c r="B57" s="91" t="s">
        <v>293</v>
      </c>
      <c r="C57" s="67"/>
      <c r="D57" s="68"/>
      <c r="E57" s="253"/>
      <c r="F57" s="120"/>
      <c r="G57" s="69"/>
      <c r="H57" s="70"/>
      <c r="I57" s="70"/>
      <c r="J57" s="70"/>
      <c r="K57" s="70"/>
      <c r="L57" s="71"/>
      <c r="M57" s="72"/>
    </row>
    <row r="58" spans="1:13" ht="20.100000000000001" customHeight="1">
      <c r="A58" s="254"/>
      <c r="B58" s="189" t="s">
        <v>294</v>
      </c>
      <c r="C58" s="105" t="s">
        <v>273</v>
      </c>
      <c r="D58" s="106">
        <v>0</v>
      </c>
      <c r="E58" s="107"/>
      <c r="F58" s="107">
        <v>3</v>
      </c>
      <c r="G58" s="108">
        <v>20</v>
      </c>
      <c r="H58" s="108">
        <v>300</v>
      </c>
      <c r="I58" s="109">
        <v>6000</v>
      </c>
      <c r="J58" s="109">
        <v>90</v>
      </c>
      <c r="K58" s="109">
        <v>1800</v>
      </c>
      <c r="L58" s="110">
        <v>7800</v>
      </c>
      <c r="M58" s="79"/>
    </row>
    <row r="59" spans="1:13" ht="18" customHeight="1">
      <c r="A59" s="254"/>
      <c r="B59" s="189" t="s">
        <v>295</v>
      </c>
      <c r="C59" s="105" t="s">
        <v>275</v>
      </c>
      <c r="D59" s="106"/>
      <c r="E59" s="107"/>
      <c r="F59" s="107"/>
      <c r="G59" s="288">
        <v>20</v>
      </c>
      <c r="H59" s="108">
        <v>330</v>
      </c>
      <c r="I59" s="109">
        <v>6600</v>
      </c>
      <c r="J59" s="109">
        <v>90</v>
      </c>
      <c r="K59" s="109">
        <v>1800</v>
      </c>
      <c r="L59" s="110">
        <v>8400</v>
      </c>
      <c r="M59" s="79"/>
    </row>
    <row r="60" spans="1:13" ht="18" customHeight="1">
      <c r="A60" s="254"/>
      <c r="B60" s="189" t="s">
        <v>485</v>
      </c>
      <c r="C60" s="105" t="s">
        <v>275</v>
      </c>
      <c r="D60" s="106"/>
      <c r="E60" s="107"/>
      <c r="F60" s="107"/>
      <c r="G60" s="108">
        <v>4</v>
      </c>
      <c r="H60" s="108">
        <v>950</v>
      </c>
      <c r="I60" s="109">
        <v>3800</v>
      </c>
      <c r="J60" s="109">
        <v>115</v>
      </c>
      <c r="K60" s="109">
        <v>460</v>
      </c>
      <c r="L60" s="110">
        <v>4260</v>
      </c>
      <c r="M60" s="79"/>
    </row>
    <row r="61" spans="1:13" ht="18" customHeight="1">
      <c r="A61" s="254"/>
      <c r="B61" s="189" t="s">
        <v>296</v>
      </c>
      <c r="C61" s="105" t="s">
        <v>275</v>
      </c>
      <c r="D61" s="106"/>
      <c r="E61" s="107"/>
      <c r="F61" s="107"/>
      <c r="G61" s="108">
        <v>20</v>
      </c>
      <c r="H61" s="108">
        <v>140</v>
      </c>
      <c r="I61" s="109">
        <v>2800</v>
      </c>
      <c r="J61" s="109">
        <v>90</v>
      </c>
      <c r="K61" s="109">
        <v>1800</v>
      </c>
      <c r="L61" s="110">
        <v>4600</v>
      </c>
      <c r="M61" s="79"/>
    </row>
    <row r="62" spans="1:13" ht="18" customHeight="1">
      <c r="A62" s="254"/>
      <c r="B62" s="189" t="s">
        <v>297</v>
      </c>
      <c r="C62" s="105" t="s">
        <v>275</v>
      </c>
      <c r="D62" s="106">
        <v>0</v>
      </c>
      <c r="E62" s="107">
        <v>12</v>
      </c>
      <c r="F62" s="108"/>
      <c r="G62" s="288">
        <v>12</v>
      </c>
      <c r="H62" s="108">
        <v>200</v>
      </c>
      <c r="I62" s="109">
        <v>2400</v>
      </c>
      <c r="J62" s="109">
        <v>90</v>
      </c>
      <c r="K62" s="109">
        <v>1080</v>
      </c>
      <c r="L62" s="110">
        <v>3480</v>
      </c>
      <c r="M62" s="79"/>
    </row>
    <row r="63" spans="1:13" ht="18" customHeight="1">
      <c r="A63" s="254"/>
      <c r="B63" s="189" t="s">
        <v>298</v>
      </c>
      <c r="C63" s="105" t="s">
        <v>275</v>
      </c>
      <c r="D63" s="106">
        <v>0</v>
      </c>
      <c r="E63" s="107">
        <v>12</v>
      </c>
      <c r="F63" s="108"/>
      <c r="G63" s="108">
        <v>4</v>
      </c>
      <c r="H63" s="108">
        <v>300</v>
      </c>
      <c r="I63" s="109">
        <v>1200</v>
      </c>
      <c r="J63" s="109">
        <v>80</v>
      </c>
      <c r="K63" s="109">
        <v>320</v>
      </c>
      <c r="L63" s="110">
        <v>1520</v>
      </c>
      <c r="M63" s="79"/>
    </row>
    <row r="64" spans="1:13" ht="18" customHeight="1" thickBot="1">
      <c r="A64" s="254"/>
      <c r="B64" s="189" t="s">
        <v>299</v>
      </c>
      <c r="C64" s="105" t="s">
        <v>275</v>
      </c>
      <c r="D64" s="106">
        <v>0</v>
      </c>
      <c r="E64" s="107">
        <v>12</v>
      </c>
      <c r="F64" s="108"/>
      <c r="G64" s="108">
        <v>4</v>
      </c>
      <c r="H64" s="108">
        <v>200</v>
      </c>
      <c r="I64" s="109">
        <v>800</v>
      </c>
      <c r="J64" s="109">
        <v>80</v>
      </c>
      <c r="K64" s="109">
        <v>320</v>
      </c>
      <c r="L64" s="110">
        <v>1120</v>
      </c>
      <c r="M64" s="79"/>
    </row>
    <row r="65" spans="1:13" s="7" customFormat="1" ht="15" thickTop="1" thickBot="1">
      <c r="A65" s="255"/>
      <c r="B65" s="39" t="s">
        <v>300</v>
      </c>
      <c r="C65" s="42"/>
      <c r="D65" s="43"/>
      <c r="E65" s="44"/>
      <c r="F65" s="44"/>
      <c r="G65" s="44"/>
      <c r="H65" s="45"/>
      <c r="I65" s="29">
        <v>23600</v>
      </c>
      <c r="J65" s="45"/>
      <c r="K65" s="29">
        <v>7580</v>
      </c>
      <c r="L65" s="29">
        <v>31180</v>
      </c>
      <c r="M65" s="30" t="s">
        <v>33</v>
      </c>
    </row>
    <row r="66" spans="1:13" ht="20.100000000000001" customHeight="1" thickTop="1">
      <c r="A66" s="90" t="s">
        <v>301</v>
      </c>
      <c r="B66" s="91" t="s">
        <v>25</v>
      </c>
      <c r="C66" s="67"/>
      <c r="D66" s="68"/>
      <c r="E66" s="253"/>
      <c r="F66" s="120"/>
      <c r="G66" s="69"/>
      <c r="H66" s="70"/>
      <c r="I66" s="70"/>
      <c r="J66" s="70"/>
      <c r="K66" s="70"/>
      <c r="L66" s="71"/>
      <c r="M66" s="72"/>
    </row>
    <row r="67" spans="1:13" ht="20.100000000000001" customHeight="1" thickBot="1">
      <c r="A67" s="254"/>
      <c r="B67" s="189" t="s">
        <v>486</v>
      </c>
      <c r="C67" s="105" t="s">
        <v>273</v>
      </c>
      <c r="D67" s="106">
        <v>0</v>
      </c>
      <c r="E67" s="107"/>
      <c r="F67" s="107">
        <v>3</v>
      </c>
      <c r="G67" s="108">
        <v>4</v>
      </c>
      <c r="H67" s="248"/>
      <c r="I67" s="287">
        <v>0</v>
      </c>
      <c r="J67" s="287"/>
      <c r="K67" s="109">
        <v>0</v>
      </c>
      <c r="L67" s="110">
        <v>0</v>
      </c>
      <c r="M67" s="289" t="s">
        <v>302</v>
      </c>
    </row>
    <row r="68" spans="1:13" s="7" customFormat="1" ht="15" thickTop="1" thickBot="1">
      <c r="A68" s="255"/>
      <c r="B68" s="39" t="s">
        <v>303</v>
      </c>
      <c r="C68" s="42"/>
      <c r="D68" s="43"/>
      <c r="E68" s="44"/>
      <c r="F68" s="44"/>
      <c r="G68" s="44"/>
      <c r="H68" s="45"/>
      <c r="I68" s="29">
        <v>0</v>
      </c>
      <c r="J68" s="45"/>
      <c r="K68" s="29">
        <v>0</v>
      </c>
      <c r="L68" s="29">
        <v>0</v>
      </c>
      <c r="M68" s="30" t="s">
        <v>33</v>
      </c>
    </row>
    <row r="69" spans="1:13" s="297" customFormat="1" ht="15" thickTop="1" thickBot="1">
      <c r="A69" s="290"/>
      <c r="B69" s="291" t="s">
        <v>148</v>
      </c>
      <c r="C69" s="291"/>
      <c r="D69" s="292"/>
      <c r="E69" s="293"/>
      <c r="F69" s="293"/>
      <c r="G69" s="293"/>
      <c r="H69" s="294"/>
      <c r="I69" s="295">
        <v>316974.64</v>
      </c>
      <c r="J69" s="294"/>
      <c r="K69" s="295">
        <v>175616</v>
      </c>
      <c r="L69" s="295">
        <v>519604.90399999998</v>
      </c>
      <c r="M69" s="296"/>
    </row>
    <row r="71" spans="1:13">
      <c r="M71" s="5" t="s">
        <v>33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view="pageBreakPreview" zoomScale="80" zoomScaleNormal="75" workbookViewId="0">
      <pane xSplit="7" ySplit="8" topLeftCell="H83" activePane="bottomRight" state="frozen"/>
      <selection activeCell="P4" sqref="P4"/>
      <selection pane="topRight" activeCell="P4" sqref="P4"/>
      <selection pane="bottomLeft" activeCell="P4" sqref="P4"/>
      <selection pane="bottomRight" activeCell="B26" sqref="B26"/>
    </sheetView>
  </sheetViews>
  <sheetFormatPr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256" width="9.109375" style="5"/>
    <col min="257" max="257" width="9.5546875" style="5" customWidth="1"/>
    <col min="258" max="258" width="56.5546875" style="5" customWidth="1"/>
    <col min="259" max="259" width="7.5546875" style="5" customWidth="1"/>
    <col min="260" max="262" width="0" style="5" hidden="1" customWidth="1"/>
    <col min="263" max="263" width="10.6640625" style="5" customWidth="1"/>
    <col min="264" max="267" width="12.6640625" style="5" customWidth="1"/>
    <col min="268" max="268" width="15.6640625" style="5" customWidth="1"/>
    <col min="269" max="269" width="21.5546875" style="5" customWidth="1"/>
    <col min="270" max="512" width="9.109375" style="5"/>
    <col min="513" max="513" width="9.5546875" style="5" customWidth="1"/>
    <col min="514" max="514" width="56.5546875" style="5" customWidth="1"/>
    <col min="515" max="515" width="7.5546875" style="5" customWidth="1"/>
    <col min="516" max="518" width="0" style="5" hidden="1" customWidth="1"/>
    <col min="519" max="519" width="10.6640625" style="5" customWidth="1"/>
    <col min="520" max="523" width="12.6640625" style="5" customWidth="1"/>
    <col min="524" max="524" width="15.6640625" style="5" customWidth="1"/>
    <col min="525" max="525" width="21.5546875" style="5" customWidth="1"/>
    <col min="526" max="768" width="9.109375" style="5"/>
    <col min="769" max="769" width="9.5546875" style="5" customWidth="1"/>
    <col min="770" max="770" width="56.5546875" style="5" customWidth="1"/>
    <col min="771" max="771" width="7.5546875" style="5" customWidth="1"/>
    <col min="772" max="774" width="0" style="5" hidden="1" customWidth="1"/>
    <col min="775" max="775" width="10.6640625" style="5" customWidth="1"/>
    <col min="776" max="779" width="12.6640625" style="5" customWidth="1"/>
    <col min="780" max="780" width="15.6640625" style="5" customWidth="1"/>
    <col min="781" max="781" width="21.5546875" style="5" customWidth="1"/>
    <col min="782" max="1024" width="9.109375" style="5"/>
    <col min="1025" max="1025" width="9.5546875" style="5" customWidth="1"/>
    <col min="1026" max="1026" width="56.5546875" style="5" customWidth="1"/>
    <col min="1027" max="1027" width="7.5546875" style="5" customWidth="1"/>
    <col min="1028" max="1030" width="0" style="5" hidden="1" customWidth="1"/>
    <col min="1031" max="1031" width="10.6640625" style="5" customWidth="1"/>
    <col min="1032" max="1035" width="12.6640625" style="5" customWidth="1"/>
    <col min="1036" max="1036" width="15.6640625" style="5" customWidth="1"/>
    <col min="1037" max="1037" width="21.5546875" style="5" customWidth="1"/>
    <col min="1038" max="1280" width="9.109375" style="5"/>
    <col min="1281" max="1281" width="9.5546875" style="5" customWidth="1"/>
    <col min="1282" max="1282" width="56.5546875" style="5" customWidth="1"/>
    <col min="1283" max="1283" width="7.5546875" style="5" customWidth="1"/>
    <col min="1284" max="1286" width="0" style="5" hidden="1" customWidth="1"/>
    <col min="1287" max="1287" width="10.6640625" style="5" customWidth="1"/>
    <col min="1288" max="1291" width="12.6640625" style="5" customWidth="1"/>
    <col min="1292" max="1292" width="15.6640625" style="5" customWidth="1"/>
    <col min="1293" max="1293" width="21.5546875" style="5" customWidth="1"/>
    <col min="1294" max="1536" width="9.109375" style="5"/>
    <col min="1537" max="1537" width="9.5546875" style="5" customWidth="1"/>
    <col min="1538" max="1538" width="56.5546875" style="5" customWidth="1"/>
    <col min="1539" max="1539" width="7.5546875" style="5" customWidth="1"/>
    <col min="1540" max="1542" width="0" style="5" hidden="1" customWidth="1"/>
    <col min="1543" max="1543" width="10.6640625" style="5" customWidth="1"/>
    <col min="1544" max="1547" width="12.6640625" style="5" customWidth="1"/>
    <col min="1548" max="1548" width="15.6640625" style="5" customWidth="1"/>
    <col min="1549" max="1549" width="21.5546875" style="5" customWidth="1"/>
    <col min="1550" max="1792" width="9.109375" style="5"/>
    <col min="1793" max="1793" width="9.5546875" style="5" customWidth="1"/>
    <col min="1794" max="1794" width="56.5546875" style="5" customWidth="1"/>
    <col min="1795" max="1795" width="7.5546875" style="5" customWidth="1"/>
    <col min="1796" max="1798" width="0" style="5" hidden="1" customWidth="1"/>
    <col min="1799" max="1799" width="10.6640625" style="5" customWidth="1"/>
    <col min="1800" max="1803" width="12.6640625" style="5" customWidth="1"/>
    <col min="1804" max="1804" width="15.6640625" style="5" customWidth="1"/>
    <col min="1805" max="1805" width="21.5546875" style="5" customWidth="1"/>
    <col min="1806" max="2048" width="9.109375" style="5"/>
    <col min="2049" max="2049" width="9.5546875" style="5" customWidth="1"/>
    <col min="2050" max="2050" width="56.5546875" style="5" customWidth="1"/>
    <col min="2051" max="2051" width="7.5546875" style="5" customWidth="1"/>
    <col min="2052" max="2054" width="0" style="5" hidden="1" customWidth="1"/>
    <col min="2055" max="2055" width="10.6640625" style="5" customWidth="1"/>
    <col min="2056" max="2059" width="12.6640625" style="5" customWidth="1"/>
    <col min="2060" max="2060" width="15.6640625" style="5" customWidth="1"/>
    <col min="2061" max="2061" width="21.5546875" style="5" customWidth="1"/>
    <col min="2062" max="2304" width="9.109375" style="5"/>
    <col min="2305" max="2305" width="9.5546875" style="5" customWidth="1"/>
    <col min="2306" max="2306" width="56.5546875" style="5" customWidth="1"/>
    <col min="2307" max="2307" width="7.5546875" style="5" customWidth="1"/>
    <col min="2308" max="2310" width="0" style="5" hidden="1" customWidth="1"/>
    <col min="2311" max="2311" width="10.6640625" style="5" customWidth="1"/>
    <col min="2312" max="2315" width="12.6640625" style="5" customWidth="1"/>
    <col min="2316" max="2316" width="15.6640625" style="5" customWidth="1"/>
    <col min="2317" max="2317" width="21.5546875" style="5" customWidth="1"/>
    <col min="2318" max="2560" width="9.109375" style="5"/>
    <col min="2561" max="2561" width="9.5546875" style="5" customWidth="1"/>
    <col min="2562" max="2562" width="56.5546875" style="5" customWidth="1"/>
    <col min="2563" max="2563" width="7.5546875" style="5" customWidth="1"/>
    <col min="2564" max="2566" width="0" style="5" hidden="1" customWidth="1"/>
    <col min="2567" max="2567" width="10.6640625" style="5" customWidth="1"/>
    <col min="2568" max="2571" width="12.6640625" style="5" customWidth="1"/>
    <col min="2572" max="2572" width="15.6640625" style="5" customWidth="1"/>
    <col min="2573" max="2573" width="21.5546875" style="5" customWidth="1"/>
    <col min="2574" max="2816" width="9.109375" style="5"/>
    <col min="2817" max="2817" width="9.5546875" style="5" customWidth="1"/>
    <col min="2818" max="2818" width="56.5546875" style="5" customWidth="1"/>
    <col min="2819" max="2819" width="7.5546875" style="5" customWidth="1"/>
    <col min="2820" max="2822" width="0" style="5" hidden="1" customWidth="1"/>
    <col min="2823" max="2823" width="10.6640625" style="5" customWidth="1"/>
    <col min="2824" max="2827" width="12.6640625" style="5" customWidth="1"/>
    <col min="2828" max="2828" width="15.6640625" style="5" customWidth="1"/>
    <col min="2829" max="2829" width="21.5546875" style="5" customWidth="1"/>
    <col min="2830" max="3072" width="9.109375" style="5"/>
    <col min="3073" max="3073" width="9.5546875" style="5" customWidth="1"/>
    <col min="3074" max="3074" width="56.5546875" style="5" customWidth="1"/>
    <col min="3075" max="3075" width="7.5546875" style="5" customWidth="1"/>
    <col min="3076" max="3078" width="0" style="5" hidden="1" customWidth="1"/>
    <col min="3079" max="3079" width="10.6640625" style="5" customWidth="1"/>
    <col min="3080" max="3083" width="12.6640625" style="5" customWidth="1"/>
    <col min="3084" max="3084" width="15.6640625" style="5" customWidth="1"/>
    <col min="3085" max="3085" width="21.5546875" style="5" customWidth="1"/>
    <col min="3086" max="3328" width="9.109375" style="5"/>
    <col min="3329" max="3329" width="9.5546875" style="5" customWidth="1"/>
    <col min="3330" max="3330" width="56.5546875" style="5" customWidth="1"/>
    <col min="3331" max="3331" width="7.5546875" style="5" customWidth="1"/>
    <col min="3332" max="3334" width="0" style="5" hidden="1" customWidth="1"/>
    <col min="3335" max="3335" width="10.6640625" style="5" customWidth="1"/>
    <col min="3336" max="3339" width="12.6640625" style="5" customWidth="1"/>
    <col min="3340" max="3340" width="15.6640625" style="5" customWidth="1"/>
    <col min="3341" max="3341" width="21.5546875" style="5" customWidth="1"/>
    <col min="3342" max="3584" width="9.109375" style="5"/>
    <col min="3585" max="3585" width="9.5546875" style="5" customWidth="1"/>
    <col min="3586" max="3586" width="56.5546875" style="5" customWidth="1"/>
    <col min="3587" max="3587" width="7.5546875" style="5" customWidth="1"/>
    <col min="3588" max="3590" width="0" style="5" hidden="1" customWidth="1"/>
    <col min="3591" max="3591" width="10.6640625" style="5" customWidth="1"/>
    <col min="3592" max="3595" width="12.6640625" style="5" customWidth="1"/>
    <col min="3596" max="3596" width="15.6640625" style="5" customWidth="1"/>
    <col min="3597" max="3597" width="21.5546875" style="5" customWidth="1"/>
    <col min="3598" max="3840" width="9.109375" style="5"/>
    <col min="3841" max="3841" width="9.5546875" style="5" customWidth="1"/>
    <col min="3842" max="3842" width="56.5546875" style="5" customWidth="1"/>
    <col min="3843" max="3843" width="7.5546875" style="5" customWidth="1"/>
    <col min="3844" max="3846" width="0" style="5" hidden="1" customWidth="1"/>
    <col min="3847" max="3847" width="10.6640625" style="5" customWidth="1"/>
    <col min="3848" max="3851" width="12.6640625" style="5" customWidth="1"/>
    <col min="3852" max="3852" width="15.6640625" style="5" customWidth="1"/>
    <col min="3853" max="3853" width="21.5546875" style="5" customWidth="1"/>
    <col min="3854" max="4096" width="9.109375" style="5"/>
    <col min="4097" max="4097" width="9.5546875" style="5" customWidth="1"/>
    <col min="4098" max="4098" width="56.5546875" style="5" customWidth="1"/>
    <col min="4099" max="4099" width="7.5546875" style="5" customWidth="1"/>
    <col min="4100" max="4102" width="0" style="5" hidden="1" customWidth="1"/>
    <col min="4103" max="4103" width="10.6640625" style="5" customWidth="1"/>
    <col min="4104" max="4107" width="12.6640625" style="5" customWidth="1"/>
    <col min="4108" max="4108" width="15.6640625" style="5" customWidth="1"/>
    <col min="4109" max="4109" width="21.5546875" style="5" customWidth="1"/>
    <col min="4110" max="4352" width="9.109375" style="5"/>
    <col min="4353" max="4353" width="9.5546875" style="5" customWidth="1"/>
    <col min="4354" max="4354" width="56.5546875" style="5" customWidth="1"/>
    <col min="4355" max="4355" width="7.5546875" style="5" customWidth="1"/>
    <col min="4356" max="4358" width="0" style="5" hidden="1" customWidth="1"/>
    <col min="4359" max="4359" width="10.6640625" style="5" customWidth="1"/>
    <col min="4360" max="4363" width="12.6640625" style="5" customWidth="1"/>
    <col min="4364" max="4364" width="15.6640625" style="5" customWidth="1"/>
    <col min="4365" max="4365" width="21.5546875" style="5" customWidth="1"/>
    <col min="4366" max="4608" width="9.109375" style="5"/>
    <col min="4609" max="4609" width="9.5546875" style="5" customWidth="1"/>
    <col min="4610" max="4610" width="56.5546875" style="5" customWidth="1"/>
    <col min="4611" max="4611" width="7.5546875" style="5" customWidth="1"/>
    <col min="4612" max="4614" width="0" style="5" hidden="1" customWidth="1"/>
    <col min="4615" max="4615" width="10.6640625" style="5" customWidth="1"/>
    <col min="4616" max="4619" width="12.6640625" style="5" customWidth="1"/>
    <col min="4620" max="4620" width="15.6640625" style="5" customWidth="1"/>
    <col min="4621" max="4621" width="21.5546875" style="5" customWidth="1"/>
    <col min="4622" max="4864" width="9.109375" style="5"/>
    <col min="4865" max="4865" width="9.5546875" style="5" customWidth="1"/>
    <col min="4866" max="4866" width="56.5546875" style="5" customWidth="1"/>
    <col min="4867" max="4867" width="7.5546875" style="5" customWidth="1"/>
    <col min="4868" max="4870" width="0" style="5" hidden="1" customWidth="1"/>
    <col min="4871" max="4871" width="10.6640625" style="5" customWidth="1"/>
    <col min="4872" max="4875" width="12.6640625" style="5" customWidth="1"/>
    <col min="4876" max="4876" width="15.6640625" style="5" customWidth="1"/>
    <col min="4877" max="4877" width="21.5546875" style="5" customWidth="1"/>
    <col min="4878" max="5120" width="9.109375" style="5"/>
    <col min="5121" max="5121" width="9.5546875" style="5" customWidth="1"/>
    <col min="5122" max="5122" width="56.5546875" style="5" customWidth="1"/>
    <col min="5123" max="5123" width="7.5546875" style="5" customWidth="1"/>
    <col min="5124" max="5126" width="0" style="5" hidden="1" customWidth="1"/>
    <col min="5127" max="5127" width="10.6640625" style="5" customWidth="1"/>
    <col min="5128" max="5131" width="12.6640625" style="5" customWidth="1"/>
    <col min="5132" max="5132" width="15.6640625" style="5" customWidth="1"/>
    <col min="5133" max="5133" width="21.5546875" style="5" customWidth="1"/>
    <col min="5134" max="5376" width="9.109375" style="5"/>
    <col min="5377" max="5377" width="9.5546875" style="5" customWidth="1"/>
    <col min="5378" max="5378" width="56.5546875" style="5" customWidth="1"/>
    <col min="5379" max="5379" width="7.5546875" style="5" customWidth="1"/>
    <col min="5380" max="5382" width="0" style="5" hidden="1" customWidth="1"/>
    <col min="5383" max="5383" width="10.6640625" style="5" customWidth="1"/>
    <col min="5384" max="5387" width="12.6640625" style="5" customWidth="1"/>
    <col min="5388" max="5388" width="15.6640625" style="5" customWidth="1"/>
    <col min="5389" max="5389" width="21.5546875" style="5" customWidth="1"/>
    <col min="5390" max="5632" width="9.109375" style="5"/>
    <col min="5633" max="5633" width="9.5546875" style="5" customWidth="1"/>
    <col min="5634" max="5634" width="56.5546875" style="5" customWidth="1"/>
    <col min="5635" max="5635" width="7.5546875" style="5" customWidth="1"/>
    <col min="5636" max="5638" width="0" style="5" hidden="1" customWidth="1"/>
    <col min="5639" max="5639" width="10.6640625" style="5" customWidth="1"/>
    <col min="5640" max="5643" width="12.6640625" style="5" customWidth="1"/>
    <col min="5644" max="5644" width="15.6640625" style="5" customWidth="1"/>
    <col min="5645" max="5645" width="21.5546875" style="5" customWidth="1"/>
    <col min="5646" max="5888" width="9.109375" style="5"/>
    <col min="5889" max="5889" width="9.5546875" style="5" customWidth="1"/>
    <col min="5890" max="5890" width="56.5546875" style="5" customWidth="1"/>
    <col min="5891" max="5891" width="7.5546875" style="5" customWidth="1"/>
    <col min="5892" max="5894" width="0" style="5" hidden="1" customWidth="1"/>
    <col min="5895" max="5895" width="10.6640625" style="5" customWidth="1"/>
    <col min="5896" max="5899" width="12.6640625" style="5" customWidth="1"/>
    <col min="5900" max="5900" width="15.6640625" style="5" customWidth="1"/>
    <col min="5901" max="5901" width="21.5546875" style="5" customWidth="1"/>
    <col min="5902" max="6144" width="9.109375" style="5"/>
    <col min="6145" max="6145" width="9.5546875" style="5" customWidth="1"/>
    <col min="6146" max="6146" width="56.5546875" style="5" customWidth="1"/>
    <col min="6147" max="6147" width="7.5546875" style="5" customWidth="1"/>
    <col min="6148" max="6150" width="0" style="5" hidden="1" customWidth="1"/>
    <col min="6151" max="6151" width="10.6640625" style="5" customWidth="1"/>
    <col min="6152" max="6155" width="12.6640625" style="5" customWidth="1"/>
    <col min="6156" max="6156" width="15.6640625" style="5" customWidth="1"/>
    <col min="6157" max="6157" width="21.5546875" style="5" customWidth="1"/>
    <col min="6158" max="6400" width="9.109375" style="5"/>
    <col min="6401" max="6401" width="9.5546875" style="5" customWidth="1"/>
    <col min="6402" max="6402" width="56.5546875" style="5" customWidth="1"/>
    <col min="6403" max="6403" width="7.5546875" style="5" customWidth="1"/>
    <col min="6404" max="6406" width="0" style="5" hidden="1" customWidth="1"/>
    <col min="6407" max="6407" width="10.6640625" style="5" customWidth="1"/>
    <col min="6408" max="6411" width="12.6640625" style="5" customWidth="1"/>
    <col min="6412" max="6412" width="15.6640625" style="5" customWidth="1"/>
    <col min="6413" max="6413" width="21.5546875" style="5" customWidth="1"/>
    <col min="6414" max="6656" width="9.109375" style="5"/>
    <col min="6657" max="6657" width="9.5546875" style="5" customWidth="1"/>
    <col min="6658" max="6658" width="56.5546875" style="5" customWidth="1"/>
    <col min="6659" max="6659" width="7.5546875" style="5" customWidth="1"/>
    <col min="6660" max="6662" width="0" style="5" hidden="1" customWidth="1"/>
    <col min="6663" max="6663" width="10.6640625" style="5" customWidth="1"/>
    <col min="6664" max="6667" width="12.6640625" style="5" customWidth="1"/>
    <col min="6668" max="6668" width="15.6640625" style="5" customWidth="1"/>
    <col min="6669" max="6669" width="21.5546875" style="5" customWidth="1"/>
    <col min="6670" max="6912" width="9.109375" style="5"/>
    <col min="6913" max="6913" width="9.5546875" style="5" customWidth="1"/>
    <col min="6914" max="6914" width="56.5546875" style="5" customWidth="1"/>
    <col min="6915" max="6915" width="7.5546875" style="5" customWidth="1"/>
    <col min="6916" max="6918" width="0" style="5" hidden="1" customWidth="1"/>
    <col min="6919" max="6919" width="10.6640625" style="5" customWidth="1"/>
    <col min="6920" max="6923" width="12.6640625" style="5" customWidth="1"/>
    <col min="6924" max="6924" width="15.6640625" style="5" customWidth="1"/>
    <col min="6925" max="6925" width="21.5546875" style="5" customWidth="1"/>
    <col min="6926" max="7168" width="9.109375" style="5"/>
    <col min="7169" max="7169" width="9.5546875" style="5" customWidth="1"/>
    <col min="7170" max="7170" width="56.5546875" style="5" customWidth="1"/>
    <col min="7171" max="7171" width="7.5546875" style="5" customWidth="1"/>
    <col min="7172" max="7174" width="0" style="5" hidden="1" customWidth="1"/>
    <col min="7175" max="7175" width="10.6640625" style="5" customWidth="1"/>
    <col min="7176" max="7179" width="12.6640625" style="5" customWidth="1"/>
    <col min="7180" max="7180" width="15.6640625" style="5" customWidth="1"/>
    <col min="7181" max="7181" width="21.5546875" style="5" customWidth="1"/>
    <col min="7182" max="7424" width="9.109375" style="5"/>
    <col min="7425" max="7425" width="9.5546875" style="5" customWidth="1"/>
    <col min="7426" max="7426" width="56.5546875" style="5" customWidth="1"/>
    <col min="7427" max="7427" width="7.5546875" style="5" customWidth="1"/>
    <col min="7428" max="7430" width="0" style="5" hidden="1" customWidth="1"/>
    <col min="7431" max="7431" width="10.6640625" style="5" customWidth="1"/>
    <col min="7432" max="7435" width="12.6640625" style="5" customWidth="1"/>
    <col min="7436" max="7436" width="15.6640625" style="5" customWidth="1"/>
    <col min="7437" max="7437" width="21.5546875" style="5" customWidth="1"/>
    <col min="7438" max="7680" width="9.109375" style="5"/>
    <col min="7681" max="7681" width="9.5546875" style="5" customWidth="1"/>
    <col min="7682" max="7682" width="56.5546875" style="5" customWidth="1"/>
    <col min="7683" max="7683" width="7.5546875" style="5" customWidth="1"/>
    <col min="7684" max="7686" width="0" style="5" hidden="1" customWidth="1"/>
    <col min="7687" max="7687" width="10.6640625" style="5" customWidth="1"/>
    <col min="7688" max="7691" width="12.6640625" style="5" customWidth="1"/>
    <col min="7692" max="7692" width="15.6640625" style="5" customWidth="1"/>
    <col min="7693" max="7693" width="21.5546875" style="5" customWidth="1"/>
    <col min="7694" max="7936" width="9.109375" style="5"/>
    <col min="7937" max="7937" width="9.5546875" style="5" customWidth="1"/>
    <col min="7938" max="7938" width="56.5546875" style="5" customWidth="1"/>
    <col min="7939" max="7939" width="7.5546875" style="5" customWidth="1"/>
    <col min="7940" max="7942" width="0" style="5" hidden="1" customWidth="1"/>
    <col min="7943" max="7943" width="10.6640625" style="5" customWidth="1"/>
    <col min="7944" max="7947" width="12.6640625" style="5" customWidth="1"/>
    <col min="7948" max="7948" width="15.6640625" style="5" customWidth="1"/>
    <col min="7949" max="7949" width="21.5546875" style="5" customWidth="1"/>
    <col min="7950" max="8192" width="9.109375" style="5"/>
    <col min="8193" max="8193" width="9.5546875" style="5" customWidth="1"/>
    <col min="8194" max="8194" width="56.5546875" style="5" customWidth="1"/>
    <col min="8195" max="8195" width="7.5546875" style="5" customWidth="1"/>
    <col min="8196" max="8198" width="0" style="5" hidden="1" customWidth="1"/>
    <col min="8199" max="8199" width="10.6640625" style="5" customWidth="1"/>
    <col min="8200" max="8203" width="12.6640625" style="5" customWidth="1"/>
    <col min="8204" max="8204" width="15.6640625" style="5" customWidth="1"/>
    <col min="8205" max="8205" width="21.5546875" style="5" customWidth="1"/>
    <col min="8206" max="8448" width="9.109375" style="5"/>
    <col min="8449" max="8449" width="9.5546875" style="5" customWidth="1"/>
    <col min="8450" max="8450" width="56.5546875" style="5" customWidth="1"/>
    <col min="8451" max="8451" width="7.5546875" style="5" customWidth="1"/>
    <col min="8452" max="8454" width="0" style="5" hidden="1" customWidth="1"/>
    <col min="8455" max="8455" width="10.6640625" style="5" customWidth="1"/>
    <col min="8456" max="8459" width="12.6640625" style="5" customWidth="1"/>
    <col min="8460" max="8460" width="15.6640625" style="5" customWidth="1"/>
    <col min="8461" max="8461" width="21.5546875" style="5" customWidth="1"/>
    <col min="8462" max="8704" width="9.109375" style="5"/>
    <col min="8705" max="8705" width="9.5546875" style="5" customWidth="1"/>
    <col min="8706" max="8706" width="56.5546875" style="5" customWidth="1"/>
    <col min="8707" max="8707" width="7.5546875" style="5" customWidth="1"/>
    <col min="8708" max="8710" width="0" style="5" hidden="1" customWidth="1"/>
    <col min="8711" max="8711" width="10.6640625" style="5" customWidth="1"/>
    <col min="8712" max="8715" width="12.6640625" style="5" customWidth="1"/>
    <col min="8716" max="8716" width="15.6640625" style="5" customWidth="1"/>
    <col min="8717" max="8717" width="21.5546875" style="5" customWidth="1"/>
    <col min="8718" max="8960" width="9.109375" style="5"/>
    <col min="8961" max="8961" width="9.5546875" style="5" customWidth="1"/>
    <col min="8962" max="8962" width="56.5546875" style="5" customWidth="1"/>
    <col min="8963" max="8963" width="7.5546875" style="5" customWidth="1"/>
    <col min="8964" max="8966" width="0" style="5" hidden="1" customWidth="1"/>
    <col min="8967" max="8967" width="10.6640625" style="5" customWidth="1"/>
    <col min="8968" max="8971" width="12.6640625" style="5" customWidth="1"/>
    <col min="8972" max="8972" width="15.6640625" style="5" customWidth="1"/>
    <col min="8973" max="8973" width="21.5546875" style="5" customWidth="1"/>
    <col min="8974" max="9216" width="9.109375" style="5"/>
    <col min="9217" max="9217" width="9.5546875" style="5" customWidth="1"/>
    <col min="9218" max="9218" width="56.5546875" style="5" customWidth="1"/>
    <col min="9219" max="9219" width="7.5546875" style="5" customWidth="1"/>
    <col min="9220" max="9222" width="0" style="5" hidden="1" customWidth="1"/>
    <col min="9223" max="9223" width="10.6640625" style="5" customWidth="1"/>
    <col min="9224" max="9227" width="12.6640625" style="5" customWidth="1"/>
    <col min="9228" max="9228" width="15.6640625" style="5" customWidth="1"/>
    <col min="9229" max="9229" width="21.5546875" style="5" customWidth="1"/>
    <col min="9230" max="9472" width="9.109375" style="5"/>
    <col min="9473" max="9473" width="9.5546875" style="5" customWidth="1"/>
    <col min="9474" max="9474" width="56.5546875" style="5" customWidth="1"/>
    <col min="9475" max="9475" width="7.5546875" style="5" customWidth="1"/>
    <col min="9476" max="9478" width="0" style="5" hidden="1" customWidth="1"/>
    <col min="9479" max="9479" width="10.6640625" style="5" customWidth="1"/>
    <col min="9480" max="9483" width="12.6640625" style="5" customWidth="1"/>
    <col min="9484" max="9484" width="15.6640625" style="5" customWidth="1"/>
    <col min="9485" max="9485" width="21.5546875" style="5" customWidth="1"/>
    <col min="9486" max="9728" width="9.109375" style="5"/>
    <col min="9729" max="9729" width="9.5546875" style="5" customWidth="1"/>
    <col min="9730" max="9730" width="56.5546875" style="5" customWidth="1"/>
    <col min="9731" max="9731" width="7.5546875" style="5" customWidth="1"/>
    <col min="9732" max="9734" width="0" style="5" hidden="1" customWidth="1"/>
    <col min="9735" max="9735" width="10.6640625" style="5" customWidth="1"/>
    <col min="9736" max="9739" width="12.6640625" style="5" customWidth="1"/>
    <col min="9740" max="9740" width="15.6640625" style="5" customWidth="1"/>
    <col min="9741" max="9741" width="21.5546875" style="5" customWidth="1"/>
    <col min="9742" max="9984" width="9.109375" style="5"/>
    <col min="9985" max="9985" width="9.5546875" style="5" customWidth="1"/>
    <col min="9986" max="9986" width="56.5546875" style="5" customWidth="1"/>
    <col min="9987" max="9987" width="7.5546875" style="5" customWidth="1"/>
    <col min="9988" max="9990" width="0" style="5" hidden="1" customWidth="1"/>
    <col min="9991" max="9991" width="10.6640625" style="5" customWidth="1"/>
    <col min="9992" max="9995" width="12.6640625" style="5" customWidth="1"/>
    <col min="9996" max="9996" width="15.6640625" style="5" customWidth="1"/>
    <col min="9997" max="9997" width="21.5546875" style="5" customWidth="1"/>
    <col min="9998" max="10240" width="9.109375" style="5"/>
    <col min="10241" max="10241" width="9.5546875" style="5" customWidth="1"/>
    <col min="10242" max="10242" width="56.5546875" style="5" customWidth="1"/>
    <col min="10243" max="10243" width="7.5546875" style="5" customWidth="1"/>
    <col min="10244" max="10246" width="0" style="5" hidden="1" customWidth="1"/>
    <col min="10247" max="10247" width="10.6640625" style="5" customWidth="1"/>
    <col min="10248" max="10251" width="12.6640625" style="5" customWidth="1"/>
    <col min="10252" max="10252" width="15.6640625" style="5" customWidth="1"/>
    <col min="10253" max="10253" width="21.5546875" style="5" customWidth="1"/>
    <col min="10254" max="10496" width="9.109375" style="5"/>
    <col min="10497" max="10497" width="9.5546875" style="5" customWidth="1"/>
    <col min="10498" max="10498" width="56.5546875" style="5" customWidth="1"/>
    <col min="10499" max="10499" width="7.5546875" style="5" customWidth="1"/>
    <col min="10500" max="10502" width="0" style="5" hidden="1" customWidth="1"/>
    <col min="10503" max="10503" width="10.6640625" style="5" customWidth="1"/>
    <col min="10504" max="10507" width="12.6640625" style="5" customWidth="1"/>
    <col min="10508" max="10508" width="15.6640625" style="5" customWidth="1"/>
    <col min="10509" max="10509" width="21.5546875" style="5" customWidth="1"/>
    <col min="10510" max="10752" width="9.109375" style="5"/>
    <col min="10753" max="10753" width="9.5546875" style="5" customWidth="1"/>
    <col min="10754" max="10754" width="56.5546875" style="5" customWidth="1"/>
    <col min="10755" max="10755" width="7.5546875" style="5" customWidth="1"/>
    <col min="10756" max="10758" width="0" style="5" hidden="1" customWidth="1"/>
    <col min="10759" max="10759" width="10.6640625" style="5" customWidth="1"/>
    <col min="10760" max="10763" width="12.6640625" style="5" customWidth="1"/>
    <col min="10764" max="10764" width="15.6640625" style="5" customWidth="1"/>
    <col min="10765" max="10765" width="21.5546875" style="5" customWidth="1"/>
    <col min="10766" max="11008" width="9.109375" style="5"/>
    <col min="11009" max="11009" width="9.5546875" style="5" customWidth="1"/>
    <col min="11010" max="11010" width="56.5546875" style="5" customWidth="1"/>
    <col min="11011" max="11011" width="7.5546875" style="5" customWidth="1"/>
    <col min="11012" max="11014" width="0" style="5" hidden="1" customWidth="1"/>
    <col min="11015" max="11015" width="10.6640625" style="5" customWidth="1"/>
    <col min="11016" max="11019" width="12.6640625" style="5" customWidth="1"/>
    <col min="11020" max="11020" width="15.6640625" style="5" customWidth="1"/>
    <col min="11021" max="11021" width="21.5546875" style="5" customWidth="1"/>
    <col min="11022" max="11264" width="9.109375" style="5"/>
    <col min="11265" max="11265" width="9.5546875" style="5" customWidth="1"/>
    <col min="11266" max="11266" width="56.5546875" style="5" customWidth="1"/>
    <col min="11267" max="11267" width="7.5546875" style="5" customWidth="1"/>
    <col min="11268" max="11270" width="0" style="5" hidden="1" customWidth="1"/>
    <col min="11271" max="11271" width="10.6640625" style="5" customWidth="1"/>
    <col min="11272" max="11275" width="12.6640625" style="5" customWidth="1"/>
    <col min="11276" max="11276" width="15.6640625" style="5" customWidth="1"/>
    <col min="11277" max="11277" width="21.5546875" style="5" customWidth="1"/>
    <col min="11278" max="11520" width="9.109375" style="5"/>
    <col min="11521" max="11521" width="9.5546875" style="5" customWidth="1"/>
    <col min="11522" max="11522" width="56.5546875" style="5" customWidth="1"/>
    <col min="11523" max="11523" width="7.5546875" style="5" customWidth="1"/>
    <col min="11524" max="11526" width="0" style="5" hidden="1" customWidth="1"/>
    <col min="11527" max="11527" width="10.6640625" style="5" customWidth="1"/>
    <col min="11528" max="11531" width="12.6640625" style="5" customWidth="1"/>
    <col min="11532" max="11532" width="15.6640625" style="5" customWidth="1"/>
    <col min="11533" max="11533" width="21.5546875" style="5" customWidth="1"/>
    <col min="11534" max="11776" width="9.109375" style="5"/>
    <col min="11777" max="11777" width="9.5546875" style="5" customWidth="1"/>
    <col min="11778" max="11778" width="56.5546875" style="5" customWidth="1"/>
    <col min="11779" max="11779" width="7.5546875" style="5" customWidth="1"/>
    <col min="11780" max="11782" width="0" style="5" hidden="1" customWidth="1"/>
    <col min="11783" max="11783" width="10.6640625" style="5" customWidth="1"/>
    <col min="11784" max="11787" width="12.6640625" style="5" customWidth="1"/>
    <col min="11788" max="11788" width="15.6640625" style="5" customWidth="1"/>
    <col min="11789" max="11789" width="21.5546875" style="5" customWidth="1"/>
    <col min="11790" max="12032" width="9.109375" style="5"/>
    <col min="12033" max="12033" width="9.5546875" style="5" customWidth="1"/>
    <col min="12034" max="12034" width="56.5546875" style="5" customWidth="1"/>
    <col min="12035" max="12035" width="7.5546875" style="5" customWidth="1"/>
    <col min="12036" max="12038" width="0" style="5" hidden="1" customWidth="1"/>
    <col min="12039" max="12039" width="10.6640625" style="5" customWidth="1"/>
    <col min="12040" max="12043" width="12.6640625" style="5" customWidth="1"/>
    <col min="12044" max="12044" width="15.6640625" style="5" customWidth="1"/>
    <col min="12045" max="12045" width="21.5546875" style="5" customWidth="1"/>
    <col min="12046" max="12288" width="9.109375" style="5"/>
    <col min="12289" max="12289" width="9.5546875" style="5" customWidth="1"/>
    <col min="12290" max="12290" width="56.5546875" style="5" customWidth="1"/>
    <col min="12291" max="12291" width="7.5546875" style="5" customWidth="1"/>
    <col min="12292" max="12294" width="0" style="5" hidden="1" customWidth="1"/>
    <col min="12295" max="12295" width="10.6640625" style="5" customWidth="1"/>
    <col min="12296" max="12299" width="12.6640625" style="5" customWidth="1"/>
    <col min="12300" max="12300" width="15.6640625" style="5" customWidth="1"/>
    <col min="12301" max="12301" width="21.5546875" style="5" customWidth="1"/>
    <col min="12302" max="12544" width="9.109375" style="5"/>
    <col min="12545" max="12545" width="9.5546875" style="5" customWidth="1"/>
    <col min="12546" max="12546" width="56.5546875" style="5" customWidth="1"/>
    <col min="12547" max="12547" width="7.5546875" style="5" customWidth="1"/>
    <col min="12548" max="12550" width="0" style="5" hidden="1" customWidth="1"/>
    <col min="12551" max="12551" width="10.6640625" style="5" customWidth="1"/>
    <col min="12552" max="12555" width="12.6640625" style="5" customWidth="1"/>
    <col min="12556" max="12556" width="15.6640625" style="5" customWidth="1"/>
    <col min="12557" max="12557" width="21.5546875" style="5" customWidth="1"/>
    <col min="12558" max="12800" width="9.109375" style="5"/>
    <col min="12801" max="12801" width="9.5546875" style="5" customWidth="1"/>
    <col min="12802" max="12802" width="56.5546875" style="5" customWidth="1"/>
    <col min="12803" max="12803" width="7.5546875" style="5" customWidth="1"/>
    <col min="12804" max="12806" width="0" style="5" hidden="1" customWidth="1"/>
    <col min="12807" max="12807" width="10.6640625" style="5" customWidth="1"/>
    <col min="12808" max="12811" width="12.6640625" style="5" customWidth="1"/>
    <col min="12812" max="12812" width="15.6640625" style="5" customWidth="1"/>
    <col min="12813" max="12813" width="21.5546875" style="5" customWidth="1"/>
    <col min="12814" max="13056" width="9.109375" style="5"/>
    <col min="13057" max="13057" width="9.5546875" style="5" customWidth="1"/>
    <col min="13058" max="13058" width="56.5546875" style="5" customWidth="1"/>
    <col min="13059" max="13059" width="7.5546875" style="5" customWidth="1"/>
    <col min="13060" max="13062" width="0" style="5" hidden="1" customWidth="1"/>
    <col min="13063" max="13063" width="10.6640625" style="5" customWidth="1"/>
    <col min="13064" max="13067" width="12.6640625" style="5" customWidth="1"/>
    <col min="13068" max="13068" width="15.6640625" style="5" customWidth="1"/>
    <col min="13069" max="13069" width="21.5546875" style="5" customWidth="1"/>
    <col min="13070" max="13312" width="9.109375" style="5"/>
    <col min="13313" max="13313" width="9.5546875" style="5" customWidth="1"/>
    <col min="13314" max="13314" width="56.5546875" style="5" customWidth="1"/>
    <col min="13315" max="13315" width="7.5546875" style="5" customWidth="1"/>
    <col min="13316" max="13318" width="0" style="5" hidden="1" customWidth="1"/>
    <col min="13319" max="13319" width="10.6640625" style="5" customWidth="1"/>
    <col min="13320" max="13323" width="12.6640625" style="5" customWidth="1"/>
    <col min="13324" max="13324" width="15.6640625" style="5" customWidth="1"/>
    <col min="13325" max="13325" width="21.5546875" style="5" customWidth="1"/>
    <col min="13326" max="13568" width="9.109375" style="5"/>
    <col min="13569" max="13569" width="9.5546875" style="5" customWidth="1"/>
    <col min="13570" max="13570" width="56.5546875" style="5" customWidth="1"/>
    <col min="13571" max="13571" width="7.5546875" style="5" customWidth="1"/>
    <col min="13572" max="13574" width="0" style="5" hidden="1" customWidth="1"/>
    <col min="13575" max="13575" width="10.6640625" style="5" customWidth="1"/>
    <col min="13576" max="13579" width="12.6640625" style="5" customWidth="1"/>
    <col min="13580" max="13580" width="15.6640625" style="5" customWidth="1"/>
    <col min="13581" max="13581" width="21.5546875" style="5" customWidth="1"/>
    <col min="13582" max="13824" width="9.109375" style="5"/>
    <col min="13825" max="13825" width="9.5546875" style="5" customWidth="1"/>
    <col min="13826" max="13826" width="56.5546875" style="5" customWidth="1"/>
    <col min="13827" max="13827" width="7.5546875" style="5" customWidth="1"/>
    <col min="13828" max="13830" width="0" style="5" hidden="1" customWidth="1"/>
    <col min="13831" max="13831" width="10.6640625" style="5" customWidth="1"/>
    <col min="13832" max="13835" width="12.6640625" style="5" customWidth="1"/>
    <col min="13836" max="13836" width="15.6640625" style="5" customWidth="1"/>
    <col min="13837" max="13837" width="21.5546875" style="5" customWidth="1"/>
    <col min="13838" max="14080" width="9.109375" style="5"/>
    <col min="14081" max="14081" width="9.5546875" style="5" customWidth="1"/>
    <col min="14082" max="14082" width="56.5546875" style="5" customWidth="1"/>
    <col min="14083" max="14083" width="7.5546875" style="5" customWidth="1"/>
    <col min="14084" max="14086" width="0" style="5" hidden="1" customWidth="1"/>
    <col min="14087" max="14087" width="10.6640625" style="5" customWidth="1"/>
    <col min="14088" max="14091" width="12.6640625" style="5" customWidth="1"/>
    <col min="14092" max="14092" width="15.6640625" style="5" customWidth="1"/>
    <col min="14093" max="14093" width="21.5546875" style="5" customWidth="1"/>
    <col min="14094" max="14336" width="9.109375" style="5"/>
    <col min="14337" max="14337" width="9.5546875" style="5" customWidth="1"/>
    <col min="14338" max="14338" width="56.5546875" style="5" customWidth="1"/>
    <col min="14339" max="14339" width="7.5546875" style="5" customWidth="1"/>
    <col min="14340" max="14342" width="0" style="5" hidden="1" customWidth="1"/>
    <col min="14343" max="14343" width="10.6640625" style="5" customWidth="1"/>
    <col min="14344" max="14347" width="12.6640625" style="5" customWidth="1"/>
    <col min="14348" max="14348" width="15.6640625" style="5" customWidth="1"/>
    <col min="14349" max="14349" width="21.5546875" style="5" customWidth="1"/>
    <col min="14350" max="14592" width="9.109375" style="5"/>
    <col min="14593" max="14593" width="9.5546875" style="5" customWidth="1"/>
    <col min="14594" max="14594" width="56.5546875" style="5" customWidth="1"/>
    <col min="14595" max="14595" width="7.5546875" style="5" customWidth="1"/>
    <col min="14596" max="14598" width="0" style="5" hidden="1" customWidth="1"/>
    <col min="14599" max="14599" width="10.6640625" style="5" customWidth="1"/>
    <col min="14600" max="14603" width="12.6640625" style="5" customWidth="1"/>
    <col min="14604" max="14604" width="15.6640625" style="5" customWidth="1"/>
    <col min="14605" max="14605" width="21.5546875" style="5" customWidth="1"/>
    <col min="14606" max="14848" width="9.109375" style="5"/>
    <col min="14849" max="14849" width="9.5546875" style="5" customWidth="1"/>
    <col min="14850" max="14850" width="56.5546875" style="5" customWidth="1"/>
    <col min="14851" max="14851" width="7.5546875" style="5" customWidth="1"/>
    <col min="14852" max="14854" width="0" style="5" hidden="1" customWidth="1"/>
    <col min="14855" max="14855" width="10.6640625" style="5" customWidth="1"/>
    <col min="14856" max="14859" width="12.6640625" style="5" customWidth="1"/>
    <col min="14860" max="14860" width="15.6640625" style="5" customWidth="1"/>
    <col min="14861" max="14861" width="21.5546875" style="5" customWidth="1"/>
    <col min="14862" max="15104" width="9.109375" style="5"/>
    <col min="15105" max="15105" width="9.5546875" style="5" customWidth="1"/>
    <col min="15106" max="15106" width="56.5546875" style="5" customWidth="1"/>
    <col min="15107" max="15107" width="7.5546875" style="5" customWidth="1"/>
    <col min="15108" max="15110" width="0" style="5" hidden="1" customWidth="1"/>
    <col min="15111" max="15111" width="10.6640625" style="5" customWidth="1"/>
    <col min="15112" max="15115" width="12.6640625" style="5" customWidth="1"/>
    <col min="15116" max="15116" width="15.6640625" style="5" customWidth="1"/>
    <col min="15117" max="15117" width="21.5546875" style="5" customWidth="1"/>
    <col min="15118" max="15360" width="9.109375" style="5"/>
    <col min="15361" max="15361" width="9.5546875" style="5" customWidth="1"/>
    <col min="15362" max="15362" width="56.5546875" style="5" customWidth="1"/>
    <col min="15363" max="15363" width="7.5546875" style="5" customWidth="1"/>
    <col min="15364" max="15366" width="0" style="5" hidden="1" customWidth="1"/>
    <col min="15367" max="15367" width="10.6640625" style="5" customWidth="1"/>
    <col min="15368" max="15371" width="12.6640625" style="5" customWidth="1"/>
    <col min="15372" max="15372" width="15.6640625" style="5" customWidth="1"/>
    <col min="15373" max="15373" width="21.5546875" style="5" customWidth="1"/>
    <col min="15374" max="15616" width="9.109375" style="5"/>
    <col min="15617" max="15617" width="9.5546875" style="5" customWidth="1"/>
    <col min="15618" max="15618" width="56.5546875" style="5" customWidth="1"/>
    <col min="15619" max="15619" width="7.5546875" style="5" customWidth="1"/>
    <col min="15620" max="15622" width="0" style="5" hidden="1" customWidth="1"/>
    <col min="15623" max="15623" width="10.6640625" style="5" customWidth="1"/>
    <col min="15624" max="15627" width="12.6640625" style="5" customWidth="1"/>
    <col min="15628" max="15628" width="15.6640625" style="5" customWidth="1"/>
    <col min="15629" max="15629" width="21.5546875" style="5" customWidth="1"/>
    <col min="15630" max="15872" width="9.109375" style="5"/>
    <col min="15873" max="15873" width="9.5546875" style="5" customWidth="1"/>
    <col min="15874" max="15874" width="56.5546875" style="5" customWidth="1"/>
    <col min="15875" max="15875" width="7.5546875" style="5" customWidth="1"/>
    <col min="15876" max="15878" width="0" style="5" hidden="1" customWidth="1"/>
    <col min="15879" max="15879" width="10.6640625" style="5" customWidth="1"/>
    <col min="15880" max="15883" width="12.6640625" style="5" customWidth="1"/>
    <col min="15884" max="15884" width="15.6640625" style="5" customWidth="1"/>
    <col min="15885" max="15885" width="21.5546875" style="5" customWidth="1"/>
    <col min="15886" max="16128" width="9.109375" style="5"/>
    <col min="16129" max="16129" width="9.5546875" style="5" customWidth="1"/>
    <col min="16130" max="16130" width="56.5546875" style="5" customWidth="1"/>
    <col min="16131" max="16131" width="7.5546875" style="5" customWidth="1"/>
    <col min="16132" max="16134" width="0" style="5" hidden="1" customWidth="1"/>
    <col min="16135" max="16135" width="10.6640625" style="5" customWidth="1"/>
    <col min="16136" max="16139" width="12.6640625" style="5" customWidth="1"/>
    <col min="16140" max="16140" width="15.6640625" style="5" customWidth="1"/>
    <col min="16141" max="16141" width="21.5546875" style="5" customWidth="1"/>
    <col min="16142" max="16384" width="9.109375" style="5"/>
  </cols>
  <sheetData>
    <row r="1" spans="1:13" s="1" customFormat="1" ht="20.100000000000001" customHeight="1">
      <c r="A1" s="184" t="s">
        <v>36</v>
      </c>
      <c r="B1" s="213"/>
      <c r="C1" s="213"/>
      <c r="D1" s="214"/>
      <c r="E1" s="215"/>
      <c r="F1" s="215"/>
      <c r="G1" s="215"/>
      <c r="H1" s="216"/>
      <c r="I1" s="215"/>
      <c r="J1" s="215"/>
      <c r="K1" s="215"/>
      <c r="L1" s="216"/>
      <c r="M1" s="217"/>
    </row>
    <row r="2" spans="1:13" s="1" customFormat="1" ht="20.100000000000001" customHeight="1">
      <c r="A2" s="185" t="s">
        <v>45</v>
      </c>
      <c r="B2" s="218"/>
      <c r="C2" s="218"/>
      <c r="D2" s="219"/>
      <c r="E2" s="220"/>
      <c r="F2" s="220"/>
      <c r="G2" s="220"/>
      <c r="H2" s="221"/>
      <c r="I2" s="220"/>
      <c r="J2" s="220"/>
      <c r="K2" s="220"/>
      <c r="L2" s="221"/>
      <c r="M2" s="222"/>
    </row>
    <row r="3" spans="1:13" s="1" customFormat="1" ht="20.100000000000001" customHeight="1">
      <c r="A3" s="129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0"/>
      <c r="C3" s="131"/>
      <c r="D3" s="164"/>
      <c r="E3" s="132"/>
      <c r="F3" s="132"/>
      <c r="G3" s="132"/>
      <c r="H3" s="133"/>
      <c r="I3" s="133"/>
      <c r="J3" s="165"/>
      <c r="K3" s="165"/>
      <c r="L3" s="135"/>
      <c r="M3" s="136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29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1"/>
      <c r="C4" s="131"/>
      <c r="D4" s="164"/>
      <c r="E4" s="132"/>
      <c r="F4" s="132"/>
      <c r="G4" s="132"/>
      <c r="H4" s="133"/>
      <c r="I4" s="133"/>
      <c r="J4" s="433" t="s">
        <v>230</v>
      </c>
      <c r="K4" s="433"/>
      <c r="L4" s="433"/>
      <c r="M4" s="434"/>
    </row>
    <row r="5" spans="1:13" s="1" customFormat="1" ht="20.100000000000001" customHeight="1" thickBot="1">
      <c r="A5" s="129" t="s">
        <v>459</v>
      </c>
      <c r="B5" s="131"/>
      <c r="C5" s="131"/>
      <c r="D5" s="164"/>
      <c r="E5" s="132"/>
      <c r="F5" s="132"/>
      <c r="G5" s="132"/>
      <c r="H5" s="133"/>
      <c r="I5" s="133"/>
      <c r="J5" s="134"/>
      <c r="K5" s="134"/>
      <c r="L5" s="132"/>
      <c r="M5" s="136"/>
    </row>
    <row r="6" spans="1:13" s="19" customFormat="1" ht="20.100000000000001" customHeight="1">
      <c r="A6" s="455" t="s">
        <v>2</v>
      </c>
      <c r="B6" s="457" t="s">
        <v>3</v>
      </c>
      <c r="C6" s="457" t="s">
        <v>37</v>
      </c>
      <c r="D6" s="24" t="s">
        <v>46</v>
      </c>
      <c r="E6" s="349" t="s">
        <v>38</v>
      </c>
      <c r="F6" s="349" t="s">
        <v>38</v>
      </c>
      <c r="G6" s="459" t="s">
        <v>38</v>
      </c>
      <c r="H6" s="451" t="s">
        <v>39</v>
      </c>
      <c r="I6" s="452"/>
      <c r="J6" s="453" t="s">
        <v>40</v>
      </c>
      <c r="K6" s="454"/>
      <c r="L6" s="25" t="s">
        <v>5</v>
      </c>
      <c r="M6" s="449" t="s">
        <v>41</v>
      </c>
    </row>
    <row r="7" spans="1:13" s="19" customFormat="1" ht="20.100000000000001" customHeight="1" thickBot="1">
      <c r="A7" s="456"/>
      <c r="B7" s="458"/>
      <c r="C7" s="458"/>
      <c r="D7" s="26" t="s">
        <v>47</v>
      </c>
      <c r="E7" s="350"/>
      <c r="F7" s="350"/>
      <c r="G7" s="460"/>
      <c r="H7" s="27" t="s">
        <v>42</v>
      </c>
      <c r="I7" s="27" t="s">
        <v>43</v>
      </c>
      <c r="J7" s="27" t="s">
        <v>42</v>
      </c>
      <c r="K7" s="27" t="s">
        <v>43</v>
      </c>
      <c r="L7" s="28" t="s">
        <v>44</v>
      </c>
      <c r="M7" s="450"/>
    </row>
    <row r="8" spans="1:13" s="1" customFormat="1" ht="20.100000000000001" customHeight="1">
      <c r="A8" s="23" t="s">
        <v>149</v>
      </c>
      <c r="B8" s="20" t="s">
        <v>304</v>
      </c>
      <c r="C8" s="9"/>
      <c r="D8" s="518"/>
      <c r="E8" s="519"/>
      <c r="F8" s="520"/>
      <c r="G8" s="521"/>
      <c r="H8" s="522"/>
      <c r="I8" s="522"/>
      <c r="J8" s="522"/>
      <c r="K8" s="522"/>
      <c r="L8" s="523"/>
      <c r="M8" s="21"/>
    </row>
    <row r="9" spans="1:13">
      <c r="A9" s="298" t="str">
        <f>A18</f>
        <v>D1</v>
      </c>
      <c r="B9" s="299" t="str">
        <f>B18</f>
        <v>ระบบท่อน้ำประปา</v>
      </c>
      <c r="C9" s="88"/>
      <c r="D9" s="524"/>
      <c r="E9" s="525"/>
      <c r="F9" s="526"/>
      <c r="G9" s="526"/>
      <c r="H9" s="527"/>
      <c r="I9" s="528">
        <f>I41</f>
        <v>96346.465500000006</v>
      </c>
      <c r="J9" s="527"/>
      <c r="K9" s="528">
        <f>K41</f>
        <v>49087.188349999997</v>
      </c>
      <c r="L9" s="529">
        <f>L41</f>
        <v>145433.65385</v>
      </c>
      <c r="M9" s="252"/>
    </row>
    <row r="10" spans="1:13" ht="18" customHeight="1">
      <c r="A10" s="254" t="str">
        <f>A42</f>
        <v>D2</v>
      </c>
      <c r="B10" s="223" t="str">
        <f>B42</f>
        <v>ระบบท่อระบายทิ้ง น้ำเสียและน้ำโสโครก</v>
      </c>
      <c r="C10" s="105"/>
      <c r="D10" s="479"/>
      <c r="E10" s="530"/>
      <c r="F10" s="530"/>
      <c r="G10" s="531"/>
      <c r="H10" s="526"/>
      <c r="I10" s="532">
        <f>I57</f>
        <v>56407.506000000001</v>
      </c>
      <c r="J10" s="532"/>
      <c r="K10" s="532">
        <f>K57</f>
        <v>40032.34399999999</v>
      </c>
      <c r="L10" s="533">
        <f>L57</f>
        <v>96439.849999999991</v>
      </c>
      <c r="M10" s="79"/>
    </row>
    <row r="11" spans="1:13" ht="18" customHeight="1">
      <c r="A11" s="254" t="str">
        <f>A58</f>
        <v>D3</v>
      </c>
      <c r="B11" s="223" t="str">
        <f>B58</f>
        <v>งานระบบท่ออากาศ</v>
      </c>
      <c r="C11" s="105"/>
      <c r="D11" s="479"/>
      <c r="E11" s="530"/>
      <c r="F11" s="530"/>
      <c r="G11" s="531"/>
      <c r="H11" s="526"/>
      <c r="I11" s="532">
        <f>I69</f>
        <v>3329.37</v>
      </c>
      <c r="J11" s="532"/>
      <c r="K11" s="532">
        <f>K69</f>
        <v>2214.8009999999999</v>
      </c>
      <c r="L11" s="533">
        <f>L69</f>
        <v>5544.1710000000003</v>
      </c>
      <c r="M11" s="79"/>
    </row>
    <row r="12" spans="1:13" ht="18" customHeight="1">
      <c r="A12" s="254" t="str">
        <f>A70</f>
        <v>D4</v>
      </c>
      <c r="B12" s="223" t="str">
        <f>B70</f>
        <v>งานระบบท่อระบายน้ำฝนของอาคาร</v>
      </c>
      <c r="C12" s="105"/>
      <c r="D12" s="479"/>
      <c r="E12" s="530"/>
      <c r="F12" s="531"/>
      <c r="G12" s="531"/>
      <c r="H12" s="526"/>
      <c r="I12" s="532">
        <f>I76</f>
        <v>15220</v>
      </c>
      <c r="J12" s="532"/>
      <c r="K12" s="532">
        <f>K76</f>
        <v>9940</v>
      </c>
      <c r="L12" s="533">
        <f>L76</f>
        <v>25160</v>
      </c>
      <c r="M12" s="79"/>
    </row>
    <row r="13" spans="1:13" ht="18" customHeight="1">
      <c r="A13" s="254" t="str">
        <f>A77</f>
        <v>D5</v>
      </c>
      <c r="B13" s="223" t="str">
        <f>B77</f>
        <v>งานระบบระบายน้ำรอบพื้นที่</v>
      </c>
      <c r="C13" s="105"/>
      <c r="D13" s="479"/>
      <c r="E13" s="530"/>
      <c r="F13" s="531"/>
      <c r="G13" s="531"/>
      <c r="H13" s="526"/>
      <c r="I13" s="532">
        <f>I92</f>
        <v>21332.799999999999</v>
      </c>
      <c r="J13" s="532"/>
      <c r="K13" s="532">
        <f>K92</f>
        <v>5393.12</v>
      </c>
      <c r="L13" s="533">
        <f>L92</f>
        <v>26725.920000000002</v>
      </c>
      <c r="M13" s="79"/>
    </row>
    <row r="14" spans="1:13" ht="18" customHeight="1">
      <c r="A14" s="254"/>
      <c r="B14" s="223"/>
      <c r="C14" s="105"/>
      <c r="D14" s="479"/>
      <c r="E14" s="530"/>
      <c r="F14" s="531"/>
      <c r="G14" s="531"/>
      <c r="H14" s="526"/>
      <c r="I14" s="532"/>
      <c r="J14" s="532"/>
      <c r="K14" s="532"/>
      <c r="L14" s="533"/>
      <c r="M14" s="79"/>
    </row>
    <row r="15" spans="1:13" ht="18" customHeight="1">
      <c r="A15" s="254"/>
      <c r="B15" s="223"/>
      <c r="C15" s="105"/>
      <c r="D15" s="479"/>
      <c r="E15" s="530"/>
      <c r="F15" s="531"/>
      <c r="G15" s="531"/>
      <c r="H15" s="526"/>
      <c r="I15" s="534"/>
      <c r="J15" s="534"/>
      <c r="K15" s="532"/>
      <c r="L15" s="533"/>
      <c r="M15" s="79"/>
    </row>
    <row r="16" spans="1:13" ht="18" customHeight="1" thickBot="1">
      <c r="A16" s="254"/>
      <c r="B16" s="223"/>
      <c r="C16" s="105"/>
      <c r="D16" s="479"/>
      <c r="E16" s="530"/>
      <c r="F16" s="531"/>
      <c r="G16" s="531"/>
      <c r="H16" s="526"/>
      <c r="I16" s="534"/>
      <c r="J16" s="534"/>
      <c r="K16" s="532"/>
      <c r="L16" s="533"/>
      <c r="M16" s="79"/>
    </row>
    <row r="17" spans="1:13" s="7" customFormat="1" ht="15" thickTop="1" thickBot="1">
      <c r="A17" s="255"/>
      <c r="B17" s="39" t="s">
        <v>150</v>
      </c>
      <c r="C17" s="42"/>
      <c r="D17" s="535"/>
      <c r="E17" s="536"/>
      <c r="F17" s="536"/>
      <c r="G17" s="536"/>
      <c r="H17" s="537"/>
      <c r="I17" s="538">
        <f>SUM(I9:I16)</f>
        <v>192636.1415</v>
      </c>
      <c r="J17" s="537"/>
      <c r="K17" s="538">
        <f>SUM(K9:K16)</f>
        <v>106667.45335</v>
      </c>
      <c r="L17" s="538">
        <f>SUM(L9:L16)</f>
        <v>299303.59484999994</v>
      </c>
      <c r="M17" s="30"/>
    </row>
    <row r="18" spans="1:13" ht="20.100000000000001" customHeight="1" thickTop="1">
      <c r="A18" s="90" t="s">
        <v>305</v>
      </c>
      <c r="B18" s="91" t="s">
        <v>306</v>
      </c>
      <c r="C18" s="67"/>
      <c r="D18" s="481"/>
      <c r="E18" s="539"/>
      <c r="F18" s="540"/>
      <c r="G18" s="541"/>
      <c r="H18" s="542"/>
      <c r="I18" s="542"/>
      <c r="J18" s="542"/>
      <c r="K18" s="542"/>
      <c r="L18" s="543"/>
      <c r="M18" s="72"/>
    </row>
    <row r="19" spans="1:13" ht="20.100000000000001" customHeight="1">
      <c r="A19" s="254"/>
      <c r="B19" s="189" t="s">
        <v>307</v>
      </c>
      <c r="C19" s="105"/>
      <c r="D19" s="479"/>
      <c r="E19" s="530"/>
      <c r="F19" s="530"/>
      <c r="G19" s="531"/>
      <c r="H19" s="531"/>
      <c r="I19" s="532"/>
      <c r="J19" s="531"/>
      <c r="K19" s="532"/>
      <c r="L19" s="533"/>
      <c r="M19" s="79"/>
    </row>
    <row r="20" spans="1:13" ht="18" customHeight="1">
      <c r="A20" s="254"/>
      <c r="B20" s="223" t="s">
        <v>308</v>
      </c>
      <c r="C20" s="88">
        <f>1*4</f>
        <v>4</v>
      </c>
      <c r="D20" s="524"/>
      <c r="E20" s="525"/>
      <c r="F20" s="525"/>
      <c r="G20" s="526" t="s">
        <v>309</v>
      </c>
      <c r="H20" s="526">
        <f>39.9/4</f>
        <v>9.9749999999999996</v>
      </c>
      <c r="I20" s="534">
        <f>C20*H20</f>
        <v>39.9</v>
      </c>
      <c r="J20" s="526">
        <v>30</v>
      </c>
      <c r="K20" s="534">
        <f>C20*J20</f>
        <v>120</v>
      </c>
      <c r="L20" s="529">
        <f>I20+K20</f>
        <v>159.9</v>
      </c>
      <c r="M20" s="79"/>
    </row>
    <row r="21" spans="1:13" ht="18" customHeight="1">
      <c r="A21" s="254"/>
      <c r="B21" s="223" t="s">
        <v>310</v>
      </c>
      <c r="C21" s="88">
        <f>(41.6+8.5)*4</f>
        <v>200.4</v>
      </c>
      <c r="D21" s="524"/>
      <c r="E21" s="525"/>
      <c r="F21" s="525"/>
      <c r="G21" s="526" t="s">
        <v>309</v>
      </c>
      <c r="H21" s="526">
        <f>50.35/4</f>
        <v>12.5875</v>
      </c>
      <c r="I21" s="534">
        <f>C21*H21</f>
        <v>2522.5350000000003</v>
      </c>
      <c r="J21" s="526">
        <v>30</v>
      </c>
      <c r="K21" s="534">
        <f>C21*J21</f>
        <v>6012</v>
      </c>
      <c r="L21" s="529">
        <f>I21+K21</f>
        <v>8534.5349999999999</v>
      </c>
      <c r="M21" s="79"/>
    </row>
    <row r="22" spans="1:13" ht="18" customHeight="1">
      <c r="A22" s="254"/>
      <c r="B22" s="223" t="s">
        <v>487</v>
      </c>
      <c r="C22" s="88">
        <f>8.94*4</f>
        <v>35.76</v>
      </c>
      <c r="D22" s="524"/>
      <c r="E22" s="525"/>
      <c r="F22" s="525"/>
      <c r="G22" s="526" t="s">
        <v>309</v>
      </c>
      <c r="H22" s="526">
        <f>66.5/4</f>
        <v>16.625</v>
      </c>
      <c r="I22" s="534">
        <f>C22*H22</f>
        <v>594.51</v>
      </c>
      <c r="J22" s="526">
        <v>30</v>
      </c>
      <c r="K22" s="534">
        <f>C22*J22</f>
        <v>1072.8</v>
      </c>
      <c r="L22" s="529">
        <f>I22+K22</f>
        <v>1667.31</v>
      </c>
      <c r="M22" s="79"/>
    </row>
    <row r="23" spans="1:13" ht="18" customHeight="1">
      <c r="A23" s="254"/>
      <c r="B23" s="189" t="s">
        <v>311</v>
      </c>
      <c r="C23" s="88">
        <v>1</v>
      </c>
      <c r="D23" s="524"/>
      <c r="E23" s="525"/>
      <c r="F23" s="525"/>
      <c r="G23" s="526" t="s">
        <v>34</v>
      </c>
      <c r="H23" s="526">
        <f>SUM(I20:I22)*0.1</f>
        <v>315.69450000000006</v>
      </c>
      <c r="I23" s="534">
        <f>C23*H23</f>
        <v>315.69450000000006</v>
      </c>
      <c r="J23" s="526">
        <f>H23*0.3</f>
        <v>94.70835000000001</v>
      </c>
      <c r="K23" s="534">
        <f>C23*J23</f>
        <v>94.70835000000001</v>
      </c>
      <c r="L23" s="529">
        <f>I23+K23</f>
        <v>410.40285000000006</v>
      </c>
      <c r="M23" s="79"/>
    </row>
    <row r="24" spans="1:13" ht="18" customHeight="1">
      <c r="A24" s="254"/>
      <c r="B24" s="189" t="s">
        <v>312</v>
      </c>
      <c r="C24" s="88"/>
      <c r="D24" s="524"/>
      <c r="E24" s="525"/>
      <c r="F24" s="526"/>
      <c r="G24" s="526"/>
      <c r="H24" s="526"/>
      <c r="I24" s="534"/>
      <c r="J24" s="526"/>
      <c r="K24" s="534"/>
      <c r="L24" s="529"/>
      <c r="M24" s="79"/>
    </row>
    <row r="25" spans="1:13" ht="18" customHeight="1">
      <c r="A25" s="254"/>
      <c r="B25" s="189" t="s">
        <v>313</v>
      </c>
      <c r="C25" s="88">
        <f>1*4</f>
        <v>4</v>
      </c>
      <c r="D25" s="524"/>
      <c r="E25" s="525"/>
      <c r="F25" s="526"/>
      <c r="G25" s="526" t="s">
        <v>115</v>
      </c>
      <c r="H25" s="526">
        <v>105</v>
      </c>
      <c r="I25" s="534">
        <f t="shared" ref="I25:I38" si="0">C25*H25</f>
        <v>420</v>
      </c>
      <c r="J25" s="526">
        <v>100</v>
      </c>
      <c r="K25" s="534">
        <f t="shared" ref="K25:K38" si="1">C25*J25</f>
        <v>400</v>
      </c>
      <c r="L25" s="529">
        <f t="shared" ref="L25:L38" si="2">I25+K25</f>
        <v>820</v>
      </c>
      <c r="M25" s="79"/>
    </row>
    <row r="26" spans="1:13" ht="18" customHeight="1">
      <c r="A26" s="254"/>
      <c r="B26" s="189" t="s">
        <v>314</v>
      </c>
      <c r="C26" s="88">
        <v>24</v>
      </c>
      <c r="D26" s="524"/>
      <c r="E26" s="525"/>
      <c r="F26" s="526"/>
      <c r="G26" s="526" t="s">
        <v>115</v>
      </c>
      <c r="H26" s="526">
        <v>264</v>
      </c>
      <c r="I26" s="534">
        <f t="shared" si="0"/>
        <v>6336</v>
      </c>
      <c r="J26" s="526">
        <v>150</v>
      </c>
      <c r="K26" s="534">
        <f t="shared" si="1"/>
        <v>3600</v>
      </c>
      <c r="L26" s="529">
        <f t="shared" si="2"/>
        <v>9936</v>
      </c>
      <c r="M26" s="79"/>
    </row>
    <row r="27" spans="1:13" ht="18" customHeight="1">
      <c r="A27" s="254"/>
      <c r="B27" s="189" t="s">
        <v>315</v>
      </c>
      <c r="C27" s="88">
        <f>1*4</f>
        <v>4</v>
      </c>
      <c r="D27" s="524"/>
      <c r="E27" s="525"/>
      <c r="F27" s="526"/>
      <c r="G27" s="526" t="s">
        <v>115</v>
      </c>
      <c r="H27" s="526">
        <v>1135</v>
      </c>
      <c r="I27" s="534">
        <f t="shared" si="0"/>
        <v>4540</v>
      </c>
      <c r="J27" s="526">
        <v>100</v>
      </c>
      <c r="K27" s="534">
        <f t="shared" si="1"/>
        <v>400</v>
      </c>
      <c r="L27" s="529">
        <f t="shared" si="2"/>
        <v>4940</v>
      </c>
      <c r="M27" s="79"/>
    </row>
    <row r="28" spans="1:13" ht="18" customHeight="1">
      <c r="A28" s="254"/>
      <c r="B28" s="189" t="s">
        <v>316</v>
      </c>
      <c r="C28" s="88">
        <f>1*4</f>
        <v>4</v>
      </c>
      <c r="D28" s="524"/>
      <c r="E28" s="525"/>
      <c r="F28" s="526"/>
      <c r="G28" s="526" t="s">
        <v>115</v>
      </c>
      <c r="H28" s="526">
        <v>155</v>
      </c>
      <c r="I28" s="534">
        <f t="shared" si="0"/>
        <v>620</v>
      </c>
      <c r="J28" s="526">
        <v>50</v>
      </c>
      <c r="K28" s="534">
        <f t="shared" si="1"/>
        <v>200</v>
      </c>
      <c r="L28" s="529">
        <f t="shared" si="2"/>
        <v>820</v>
      </c>
      <c r="M28" s="79"/>
    </row>
    <row r="29" spans="1:13" ht="18" customHeight="1">
      <c r="A29" s="254"/>
      <c r="B29" s="189" t="s">
        <v>317</v>
      </c>
      <c r="C29" s="88">
        <v>4</v>
      </c>
      <c r="D29" s="524"/>
      <c r="E29" s="525"/>
      <c r="F29" s="526"/>
      <c r="G29" s="526" t="s">
        <v>115</v>
      </c>
      <c r="H29" s="526">
        <v>11600</v>
      </c>
      <c r="I29" s="534">
        <f t="shared" si="0"/>
        <v>46400</v>
      </c>
      <c r="J29" s="526">
        <f>H29*0.3</f>
        <v>3480</v>
      </c>
      <c r="K29" s="534">
        <f t="shared" si="1"/>
        <v>13920</v>
      </c>
      <c r="L29" s="529">
        <f t="shared" si="2"/>
        <v>60320</v>
      </c>
      <c r="M29" s="79"/>
    </row>
    <row r="30" spans="1:13" ht="18" customHeight="1">
      <c r="A30" s="254"/>
      <c r="B30" s="189" t="s">
        <v>318</v>
      </c>
      <c r="C30" s="88">
        <v>4</v>
      </c>
      <c r="D30" s="524"/>
      <c r="E30" s="525"/>
      <c r="F30" s="526"/>
      <c r="G30" s="526" t="s">
        <v>115</v>
      </c>
      <c r="H30" s="526">
        <v>4590</v>
      </c>
      <c r="I30" s="534">
        <f t="shared" si="0"/>
        <v>18360</v>
      </c>
      <c r="J30" s="526">
        <f>H30*0.3</f>
        <v>1377</v>
      </c>
      <c r="K30" s="534">
        <f t="shared" si="1"/>
        <v>5508</v>
      </c>
      <c r="L30" s="529">
        <f t="shared" si="2"/>
        <v>23868</v>
      </c>
      <c r="M30" s="79"/>
    </row>
    <row r="31" spans="1:13" ht="18" customHeight="1">
      <c r="A31" s="254"/>
      <c r="B31" s="189" t="s">
        <v>311</v>
      </c>
      <c r="C31" s="88">
        <v>1</v>
      </c>
      <c r="D31" s="524"/>
      <c r="E31" s="525"/>
      <c r="F31" s="526"/>
      <c r="G31" s="526" t="s">
        <v>34</v>
      </c>
      <c r="H31" s="526">
        <f>SUM(I25:I30)*0.1</f>
        <v>7667.6</v>
      </c>
      <c r="I31" s="534">
        <f t="shared" si="0"/>
        <v>7667.6</v>
      </c>
      <c r="J31" s="526">
        <f>H31*0.3</f>
        <v>2300.2800000000002</v>
      </c>
      <c r="K31" s="534">
        <f t="shared" si="1"/>
        <v>2300.2800000000002</v>
      </c>
      <c r="L31" s="529">
        <f t="shared" si="2"/>
        <v>9967.880000000001</v>
      </c>
      <c r="M31" s="79"/>
    </row>
    <row r="32" spans="1:13" ht="18" customHeight="1">
      <c r="A32" s="254"/>
      <c r="B32" s="544" t="s">
        <v>488</v>
      </c>
      <c r="C32" s="88"/>
      <c r="D32" s="524"/>
      <c r="E32" s="525"/>
      <c r="F32" s="526"/>
      <c r="G32" s="526"/>
      <c r="H32" s="526"/>
      <c r="I32" s="534">
        <f t="shared" si="0"/>
        <v>0</v>
      </c>
      <c r="J32" s="526"/>
      <c r="K32" s="534">
        <f t="shared" si="1"/>
        <v>0</v>
      </c>
      <c r="L32" s="529">
        <f t="shared" si="2"/>
        <v>0</v>
      </c>
      <c r="M32" s="79"/>
    </row>
    <row r="33" spans="1:13" ht="18" customHeight="1">
      <c r="A33" s="254"/>
      <c r="B33" s="189" t="s">
        <v>489</v>
      </c>
      <c r="C33" s="88">
        <v>16</v>
      </c>
      <c r="D33" s="524"/>
      <c r="E33" s="525"/>
      <c r="F33" s="526"/>
      <c r="G33" s="526" t="s">
        <v>51</v>
      </c>
      <c r="H33" s="526">
        <f>150.82*6/2</f>
        <v>452.46</v>
      </c>
      <c r="I33" s="534">
        <f t="shared" si="0"/>
        <v>7239.36</v>
      </c>
      <c r="J33" s="526">
        <v>548</v>
      </c>
      <c r="K33" s="534">
        <f t="shared" si="1"/>
        <v>8768</v>
      </c>
      <c r="L33" s="529">
        <f t="shared" si="2"/>
        <v>16007.36</v>
      </c>
      <c r="M33" s="79"/>
    </row>
    <row r="34" spans="1:13" ht="18" customHeight="1">
      <c r="A34" s="254"/>
      <c r="B34" s="189" t="s">
        <v>490</v>
      </c>
      <c r="C34" s="88">
        <v>16</v>
      </c>
      <c r="D34" s="524"/>
      <c r="E34" s="525"/>
      <c r="F34" s="526"/>
      <c r="G34" s="526" t="s">
        <v>51</v>
      </c>
      <c r="H34" s="526"/>
      <c r="I34" s="534">
        <f t="shared" si="0"/>
        <v>0</v>
      </c>
      <c r="J34" s="526">
        <v>400</v>
      </c>
      <c r="K34" s="534">
        <f t="shared" si="1"/>
        <v>6400</v>
      </c>
      <c r="L34" s="529">
        <f t="shared" si="2"/>
        <v>6400</v>
      </c>
      <c r="M34" s="79"/>
    </row>
    <row r="35" spans="1:13" ht="18" customHeight="1">
      <c r="A35" s="254"/>
      <c r="B35" s="189" t="s">
        <v>491</v>
      </c>
      <c r="C35" s="88">
        <f>1*0.05*4</f>
        <v>0.2</v>
      </c>
      <c r="D35" s="524"/>
      <c r="E35" s="525"/>
      <c r="F35" s="526"/>
      <c r="G35" s="526" t="s">
        <v>492</v>
      </c>
      <c r="H35" s="526">
        <v>453.33</v>
      </c>
      <c r="I35" s="534">
        <f t="shared" si="0"/>
        <v>90.665999999999997</v>
      </c>
      <c r="J35" s="526">
        <v>91</v>
      </c>
      <c r="K35" s="534">
        <f t="shared" si="1"/>
        <v>18.2</v>
      </c>
      <c r="L35" s="529">
        <f t="shared" si="2"/>
        <v>108.866</v>
      </c>
      <c r="M35" s="79"/>
    </row>
    <row r="36" spans="1:13" ht="18" customHeight="1">
      <c r="A36" s="254"/>
      <c r="B36" s="189" t="s">
        <v>469</v>
      </c>
      <c r="C36" s="88">
        <f>0.05*4</f>
        <v>0.2</v>
      </c>
      <c r="D36" s="524"/>
      <c r="E36" s="525"/>
      <c r="F36" s="526"/>
      <c r="G36" s="526" t="s">
        <v>492</v>
      </c>
      <c r="H36" s="526">
        <v>2034</v>
      </c>
      <c r="I36" s="534">
        <f t="shared" si="0"/>
        <v>406.8</v>
      </c>
      <c r="J36" s="526">
        <v>398</v>
      </c>
      <c r="K36" s="534">
        <f t="shared" si="1"/>
        <v>79.600000000000009</v>
      </c>
      <c r="L36" s="529">
        <f t="shared" si="2"/>
        <v>486.40000000000003</v>
      </c>
      <c r="M36" s="79"/>
    </row>
    <row r="37" spans="1:13" s="7" customFormat="1">
      <c r="A37" s="254"/>
      <c r="B37" s="189" t="s">
        <v>493</v>
      </c>
      <c r="C37" s="88">
        <f>1*1*0.05*4</f>
        <v>0.2</v>
      </c>
      <c r="D37" s="524"/>
      <c r="E37" s="525"/>
      <c r="F37" s="526"/>
      <c r="G37" s="526" t="s">
        <v>492</v>
      </c>
      <c r="H37" s="526">
        <v>2367</v>
      </c>
      <c r="I37" s="534">
        <f t="shared" si="0"/>
        <v>473.40000000000003</v>
      </c>
      <c r="J37" s="526">
        <v>436</v>
      </c>
      <c r="K37" s="534">
        <f t="shared" si="1"/>
        <v>87.2</v>
      </c>
      <c r="L37" s="529">
        <f t="shared" si="2"/>
        <v>560.6</v>
      </c>
      <c r="M37" s="79"/>
    </row>
    <row r="38" spans="1:13" ht="20.100000000000001" customHeight="1">
      <c r="A38" s="254"/>
      <c r="B38" s="189" t="s">
        <v>494</v>
      </c>
      <c r="C38" s="88">
        <f>4*0.1*0.5*4</f>
        <v>0.8</v>
      </c>
      <c r="D38" s="524"/>
      <c r="E38" s="525"/>
      <c r="F38" s="526"/>
      <c r="G38" s="526" t="s">
        <v>35</v>
      </c>
      <c r="H38" s="526">
        <v>400</v>
      </c>
      <c r="I38" s="534">
        <f t="shared" si="0"/>
        <v>320</v>
      </c>
      <c r="J38" s="526">
        <v>133</v>
      </c>
      <c r="K38" s="534">
        <f t="shared" si="1"/>
        <v>106.4</v>
      </c>
      <c r="L38" s="529">
        <f t="shared" si="2"/>
        <v>426.4</v>
      </c>
      <c r="M38" s="79"/>
    </row>
    <row r="39" spans="1:13">
      <c r="A39" s="254"/>
      <c r="B39" s="189"/>
      <c r="C39" s="88"/>
      <c r="D39" s="524"/>
      <c r="E39" s="525"/>
      <c r="F39" s="526"/>
      <c r="G39" s="526"/>
      <c r="H39" s="526"/>
      <c r="I39" s="534"/>
      <c r="J39" s="526"/>
      <c r="K39" s="534"/>
      <c r="L39" s="529"/>
      <c r="M39" s="79"/>
    </row>
    <row r="40" spans="1:13" ht="14.4" thickBot="1">
      <c r="A40" s="254"/>
      <c r="B40" s="189"/>
      <c r="C40" s="88"/>
      <c r="D40" s="524"/>
      <c r="E40" s="525"/>
      <c r="F40" s="526"/>
      <c r="G40" s="526"/>
      <c r="H40" s="526"/>
      <c r="I40" s="534"/>
      <c r="J40" s="526"/>
      <c r="K40" s="534"/>
      <c r="L40" s="529"/>
      <c r="M40" s="79"/>
    </row>
    <row r="41" spans="1:13" ht="15" thickTop="1" thickBot="1">
      <c r="A41" s="255"/>
      <c r="B41" s="39" t="s">
        <v>319</v>
      </c>
      <c r="C41" s="42"/>
      <c r="D41" s="535"/>
      <c r="E41" s="536"/>
      <c r="F41" s="536"/>
      <c r="G41" s="536"/>
      <c r="H41" s="537"/>
      <c r="I41" s="538">
        <f>SUM(I19:I40)</f>
        <v>96346.465500000006</v>
      </c>
      <c r="J41" s="537"/>
      <c r="K41" s="538">
        <f>SUM(K19:K40)</f>
        <v>49087.188349999997</v>
      </c>
      <c r="L41" s="538">
        <f>SUM(L19:L40)</f>
        <v>145433.65385</v>
      </c>
      <c r="M41" s="30" t="s">
        <v>33</v>
      </c>
    </row>
    <row r="42" spans="1:13" ht="14.4" thickTop="1">
      <c r="A42" s="90" t="s">
        <v>320</v>
      </c>
      <c r="B42" s="91" t="s">
        <v>321</v>
      </c>
      <c r="C42" s="545"/>
      <c r="D42" s="546"/>
      <c r="E42" s="547"/>
      <c r="F42" s="548"/>
      <c r="G42" s="549"/>
      <c r="H42" s="550"/>
      <c r="I42" s="550"/>
      <c r="J42" s="550"/>
      <c r="K42" s="550"/>
      <c r="L42" s="551"/>
      <c r="M42" s="72"/>
    </row>
    <row r="43" spans="1:13">
      <c r="A43" s="254"/>
      <c r="B43" s="189" t="s">
        <v>322</v>
      </c>
      <c r="C43" s="88"/>
      <c r="D43" s="524"/>
      <c r="E43" s="525"/>
      <c r="F43" s="525"/>
      <c r="G43" s="526"/>
      <c r="H43" s="526"/>
      <c r="I43" s="534"/>
      <c r="J43" s="534"/>
      <c r="K43" s="534"/>
      <c r="L43" s="529"/>
      <c r="M43" s="79"/>
    </row>
    <row r="44" spans="1:13" ht="18" customHeight="1">
      <c r="A44" s="254"/>
      <c r="B44" s="189" t="s">
        <v>323</v>
      </c>
      <c r="C44" s="88">
        <f>(22.7-10+14.5)*4</f>
        <v>108.8</v>
      </c>
      <c r="D44" s="524"/>
      <c r="E44" s="525"/>
      <c r="F44" s="525"/>
      <c r="G44" s="526" t="s">
        <v>309</v>
      </c>
      <c r="H44" s="526">
        <f>171/4</f>
        <v>42.75</v>
      </c>
      <c r="I44" s="534">
        <f>C44*H44</f>
        <v>4651.2</v>
      </c>
      <c r="J44" s="534">
        <v>40</v>
      </c>
      <c r="K44" s="534">
        <f>J44*C44</f>
        <v>4352</v>
      </c>
      <c r="L44" s="529">
        <f>K44+I44</f>
        <v>9003.2000000000007</v>
      </c>
      <c r="M44" s="79"/>
    </row>
    <row r="45" spans="1:13" ht="18" customHeight="1">
      <c r="A45" s="254"/>
      <c r="B45" s="189" t="s">
        <v>324</v>
      </c>
      <c r="C45" s="88">
        <f>(27.2-10+14.5)*4</f>
        <v>126.8</v>
      </c>
      <c r="D45" s="524"/>
      <c r="E45" s="525"/>
      <c r="F45" s="525"/>
      <c r="G45" s="526" t="s">
        <v>309</v>
      </c>
      <c r="H45" s="526">
        <f>608/4</f>
        <v>152</v>
      </c>
      <c r="I45" s="534">
        <f>C45*H45</f>
        <v>19273.599999999999</v>
      </c>
      <c r="J45" s="534">
        <v>100</v>
      </c>
      <c r="K45" s="534">
        <f>J45*C45</f>
        <v>12680</v>
      </c>
      <c r="L45" s="529">
        <f>K45+I45</f>
        <v>31953.599999999999</v>
      </c>
      <c r="M45" s="79"/>
    </row>
    <row r="46" spans="1:13" s="7" customFormat="1">
      <c r="A46" s="254"/>
      <c r="B46" s="189" t="s">
        <v>311</v>
      </c>
      <c r="C46" s="88">
        <v>1</v>
      </c>
      <c r="D46" s="524"/>
      <c r="E46" s="525"/>
      <c r="F46" s="525"/>
      <c r="G46" s="526" t="s">
        <v>34</v>
      </c>
      <c r="H46" s="526">
        <f>SUM(I44:I45)*0.1</f>
        <v>2392.48</v>
      </c>
      <c r="I46" s="534">
        <f>C46*H46</f>
        <v>2392.48</v>
      </c>
      <c r="J46" s="534">
        <f>H46*0.3</f>
        <v>717.74400000000003</v>
      </c>
      <c r="K46" s="534">
        <f>J46*C46</f>
        <v>717.74400000000003</v>
      </c>
      <c r="L46" s="529">
        <f>K46+I46</f>
        <v>3110.2240000000002</v>
      </c>
      <c r="M46" s="79"/>
    </row>
    <row r="47" spans="1:13" ht="20.100000000000001" customHeight="1">
      <c r="A47" s="254"/>
      <c r="B47" s="189" t="s">
        <v>325</v>
      </c>
      <c r="C47" s="88">
        <v>4</v>
      </c>
      <c r="D47" s="524"/>
      <c r="E47" s="525"/>
      <c r="F47" s="525"/>
      <c r="G47" s="526" t="s">
        <v>115</v>
      </c>
      <c r="H47" s="526">
        <v>4790</v>
      </c>
      <c r="I47" s="534">
        <f>C47*H47</f>
        <v>19160</v>
      </c>
      <c r="J47" s="534">
        <f>H47*0.3</f>
        <v>1437</v>
      </c>
      <c r="K47" s="534">
        <f>J47*C47</f>
        <v>5748</v>
      </c>
      <c r="L47" s="529">
        <f>K47+I47</f>
        <v>24908</v>
      </c>
      <c r="M47" s="79"/>
    </row>
    <row r="48" spans="1:13" ht="20.100000000000001" customHeight="1">
      <c r="A48" s="254"/>
      <c r="B48" s="189" t="s">
        <v>495</v>
      </c>
      <c r="C48" s="88">
        <f>3*4</f>
        <v>12</v>
      </c>
      <c r="D48" s="524"/>
      <c r="E48" s="525"/>
      <c r="F48" s="525"/>
      <c r="G48" s="526" t="s">
        <v>115</v>
      </c>
      <c r="H48" s="526">
        <v>200</v>
      </c>
      <c r="I48" s="534">
        <f>C48*H48</f>
        <v>2400</v>
      </c>
      <c r="J48" s="534">
        <v>50</v>
      </c>
      <c r="K48" s="534">
        <f>J48*C48</f>
        <v>600</v>
      </c>
      <c r="L48" s="529">
        <f>K48+I48</f>
        <v>3000</v>
      </c>
      <c r="M48" s="79"/>
    </row>
    <row r="49" spans="1:13" ht="18" customHeight="1">
      <c r="A49" s="254"/>
      <c r="B49" s="189" t="s">
        <v>496</v>
      </c>
      <c r="C49" s="88"/>
      <c r="D49" s="524"/>
      <c r="E49" s="525"/>
      <c r="F49" s="525"/>
      <c r="G49" s="526"/>
      <c r="H49" s="526"/>
      <c r="I49" s="534"/>
      <c r="J49" s="534"/>
      <c r="K49" s="534"/>
      <c r="L49" s="529"/>
      <c r="M49" s="79"/>
    </row>
    <row r="50" spans="1:13" ht="18" customHeight="1">
      <c r="A50" s="254"/>
      <c r="B50" s="189" t="s">
        <v>489</v>
      </c>
      <c r="C50" s="88">
        <v>16</v>
      </c>
      <c r="D50" s="524"/>
      <c r="E50" s="525"/>
      <c r="F50" s="526"/>
      <c r="G50" s="526" t="s">
        <v>51</v>
      </c>
      <c r="H50" s="526">
        <f>150.82*6/2</f>
        <v>452.46</v>
      </c>
      <c r="I50" s="534">
        <f>C50*H50</f>
        <v>7239.36</v>
      </c>
      <c r="J50" s="526">
        <v>548</v>
      </c>
      <c r="K50" s="534">
        <f t="shared" ref="K50:K56" si="3">C50*J50</f>
        <v>8768</v>
      </c>
      <c r="L50" s="529">
        <f t="shared" ref="L50:L56" si="4">I50+K50</f>
        <v>16007.36</v>
      </c>
      <c r="M50" s="79"/>
    </row>
    <row r="51" spans="1:13" ht="18" customHeight="1">
      <c r="A51" s="254"/>
      <c r="B51" s="189" t="s">
        <v>490</v>
      </c>
      <c r="C51" s="88">
        <v>16</v>
      </c>
      <c r="D51" s="524"/>
      <c r="E51" s="525"/>
      <c r="F51" s="526"/>
      <c r="G51" s="526" t="s">
        <v>51</v>
      </c>
      <c r="H51" s="526"/>
      <c r="I51" s="534">
        <f>C51*H51</f>
        <v>0</v>
      </c>
      <c r="J51" s="526">
        <v>400</v>
      </c>
      <c r="K51" s="534">
        <f t="shared" si="3"/>
        <v>6400</v>
      </c>
      <c r="L51" s="529">
        <f t="shared" si="4"/>
        <v>6400</v>
      </c>
      <c r="M51" s="79"/>
    </row>
    <row r="52" spans="1:13" ht="18" customHeight="1">
      <c r="A52" s="254"/>
      <c r="B52" s="189" t="s">
        <v>497</v>
      </c>
      <c r="C52" s="88">
        <f>1.2*4</f>
        <v>4.8</v>
      </c>
      <c r="D52" s="524"/>
      <c r="E52" s="525"/>
      <c r="F52" s="526"/>
      <c r="G52" s="526" t="s">
        <v>492</v>
      </c>
      <c r="H52" s="526"/>
      <c r="I52" s="534"/>
      <c r="J52" s="526">
        <v>99</v>
      </c>
      <c r="K52" s="534">
        <f t="shared" si="3"/>
        <v>475.2</v>
      </c>
      <c r="L52" s="529">
        <f t="shared" si="4"/>
        <v>475.2</v>
      </c>
      <c r="M52" s="79"/>
    </row>
    <row r="53" spans="1:13" ht="18" customHeight="1">
      <c r="A53" s="254"/>
      <c r="B53" s="189" t="s">
        <v>491</v>
      </c>
      <c r="C53" s="88">
        <f>1*0.05*4</f>
        <v>0.2</v>
      </c>
      <c r="D53" s="524"/>
      <c r="E53" s="525"/>
      <c r="F53" s="526"/>
      <c r="G53" s="526" t="s">
        <v>492</v>
      </c>
      <c r="H53" s="526">
        <v>453.33</v>
      </c>
      <c r="I53" s="534">
        <f>C53*H53</f>
        <v>90.665999999999997</v>
      </c>
      <c r="J53" s="526">
        <v>91</v>
      </c>
      <c r="K53" s="534">
        <f t="shared" si="3"/>
        <v>18.2</v>
      </c>
      <c r="L53" s="529">
        <f t="shared" si="4"/>
        <v>108.866</v>
      </c>
      <c r="M53" s="79"/>
    </row>
    <row r="54" spans="1:13" ht="18" customHeight="1">
      <c r="A54" s="254"/>
      <c r="B54" s="189" t="s">
        <v>469</v>
      </c>
      <c r="C54" s="88">
        <f>0.05*4</f>
        <v>0.2</v>
      </c>
      <c r="D54" s="524"/>
      <c r="E54" s="525"/>
      <c r="F54" s="526"/>
      <c r="G54" s="526" t="s">
        <v>492</v>
      </c>
      <c r="H54" s="526">
        <v>2034</v>
      </c>
      <c r="I54" s="534">
        <f>C54*H54</f>
        <v>406.8</v>
      </c>
      <c r="J54" s="526">
        <v>398</v>
      </c>
      <c r="K54" s="534">
        <f t="shared" si="3"/>
        <v>79.600000000000009</v>
      </c>
      <c r="L54" s="529">
        <f t="shared" si="4"/>
        <v>486.40000000000003</v>
      </c>
      <c r="M54" s="79"/>
    </row>
    <row r="55" spans="1:13" ht="18" customHeight="1">
      <c r="A55" s="254"/>
      <c r="B55" s="189" t="s">
        <v>493</v>
      </c>
      <c r="C55" s="88">
        <f>1*1*0.05*4</f>
        <v>0.2</v>
      </c>
      <c r="D55" s="524"/>
      <c r="E55" s="525"/>
      <c r="F55" s="526"/>
      <c r="G55" s="526" t="s">
        <v>492</v>
      </c>
      <c r="H55" s="526">
        <v>2367</v>
      </c>
      <c r="I55" s="534">
        <f>C55*H55</f>
        <v>473.40000000000003</v>
      </c>
      <c r="J55" s="526">
        <v>436</v>
      </c>
      <c r="K55" s="534">
        <f t="shared" si="3"/>
        <v>87.2</v>
      </c>
      <c r="L55" s="529">
        <f t="shared" si="4"/>
        <v>560.6</v>
      </c>
      <c r="M55" s="79"/>
    </row>
    <row r="56" spans="1:13" ht="18" customHeight="1" thickBot="1">
      <c r="A56" s="254"/>
      <c r="B56" s="189" t="s">
        <v>494</v>
      </c>
      <c r="C56" s="88">
        <f>4*0.1*0.5*4</f>
        <v>0.8</v>
      </c>
      <c r="D56" s="524"/>
      <c r="E56" s="525"/>
      <c r="F56" s="526"/>
      <c r="G56" s="526" t="s">
        <v>35</v>
      </c>
      <c r="H56" s="526">
        <v>400</v>
      </c>
      <c r="I56" s="534">
        <f>C56*H56</f>
        <v>320</v>
      </c>
      <c r="J56" s="526">
        <v>133</v>
      </c>
      <c r="K56" s="534">
        <f t="shared" si="3"/>
        <v>106.4</v>
      </c>
      <c r="L56" s="529">
        <f t="shared" si="4"/>
        <v>426.4</v>
      </c>
      <c r="M56" s="79"/>
    </row>
    <row r="57" spans="1:13" ht="18" customHeight="1" thickTop="1" thickBot="1">
      <c r="A57" s="255"/>
      <c r="B57" s="39" t="s">
        <v>326</v>
      </c>
      <c r="C57" s="42"/>
      <c r="D57" s="535"/>
      <c r="E57" s="536"/>
      <c r="F57" s="536"/>
      <c r="G57" s="536"/>
      <c r="H57" s="537"/>
      <c r="I57" s="538">
        <f>SUM(I43:I56)</f>
        <v>56407.506000000001</v>
      </c>
      <c r="J57" s="537"/>
      <c r="K57" s="538">
        <f>SUM(K43:K56)</f>
        <v>40032.34399999999</v>
      </c>
      <c r="L57" s="538">
        <f>SUM(L43:L56)</f>
        <v>96439.849999999991</v>
      </c>
      <c r="M57" s="30" t="s">
        <v>33</v>
      </c>
    </row>
    <row r="58" spans="1:13" s="7" customFormat="1" ht="14.4" thickTop="1">
      <c r="A58" s="90" t="s">
        <v>327</v>
      </c>
      <c r="B58" s="91" t="s">
        <v>328</v>
      </c>
      <c r="C58" s="545"/>
      <c r="D58" s="546"/>
      <c r="E58" s="547"/>
      <c r="F58" s="548"/>
      <c r="G58" s="549"/>
      <c r="H58" s="550"/>
      <c r="I58" s="550"/>
      <c r="J58" s="550"/>
      <c r="K58" s="550"/>
      <c r="L58" s="551"/>
      <c r="M58" s="72"/>
    </row>
    <row r="59" spans="1:13" ht="20.100000000000001" customHeight="1">
      <c r="A59" s="254"/>
      <c r="B59" s="189" t="s">
        <v>329</v>
      </c>
      <c r="C59" s="88"/>
      <c r="D59" s="524"/>
      <c r="E59" s="525"/>
      <c r="F59" s="525"/>
      <c r="G59" s="526"/>
      <c r="H59" s="526"/>
      <c r="I59" s="534"/>
      <c r="J59" s="534"/>
      <c r="K59" s="534"/>
      <c r="L59" s="529"/>
      <c r="M59" s="79"/>
    </row>
    <row r="60" spans="1:13" ht="20.100000000000001" customHeight="1">
      <c r="A60" s="254"/>
      <c r="B60" s="189" t="s">
        <v>498</v>
      </c>
      <c r="C60" s="88">
        <f>(9.7+8)*4</f>
        <v>70.8</v>
      </c>
      <c r="D60" s="524"/>
      <c r="E60" s="525"/>
      <c r="F60" s="525"/>
      <c r="G60" s="552" t="s">
        <v>309</v>
      </c>
      <c r="H60" s="526">
        <v>42.75</v>
      </c>
      <c r="I60" s="534">
        <f>C60*H60</f>
        <v>3026.7</v>
      </c>
      <c r="J60" s="534">
        <v>30</v>
      </c>
      <c r="K60" s="534">
        <f>J60*C60</f>
        <v>2124</v>
      </c>
      <c r="L60" s="529">
        <f>K60+I60</f>
        <v>5150.7</v>
      </c>
      <c r="M60" s="79"/>
    </row>
    <row r="61" spans="1:13" ht="18" customHeight="1">
      <c r="A61" s="254"/>
      <c r="B61" s="189" t="s">
        <v>311</v>
      </c>
      <c r="C61" s="88">
        <v>1</v>
      </c>
      <c r="D61" s="524"/>
      <c r="E61" s="525"/>
      <c r="F61" s="526"/>
      <c r="G61" s="526" t="s">
        <v>34</v>
      </c>
      <c r="H61" s="526">
        <f>SUM(I60)*0.1</f>
        <v>302.67</v>
      </c>
      <c r="I61" s="534">
        <f>C61*H61</f>
        <v>302.67</v>
      </c>
      <c r="J61" s="526">
        <f>H61*0.3</f>
        <v>90.801000000000002</v>
      </c>
      <c r="K61" s="534">
        <f>C61*J61</f>
        <v>90.801000000000002</v>
      </c>
      <c r="L61" s="529">
        <f>I61+K61</f>
        <v>393.471</v>
      </c>
      <c r="M61" s="79"/>
    </row>
    <row r="62" spans="1:13" ht="18" customHeight="1">
      <c r="A62" s="254"/>
      <c r="B62" s="189"/>
      <c r="C62" s="88"/>
      <c r="D62" s="524"/>
      <c r="E62" s="525"/>
      <c r="F62" s="525"/>
      <c r="G62" s="526"/>
      <c r="H62" s="526"/>
      <c r="I62" s="534"/>
      <c r="J62" s="534"/>
      <c r="K62" s="534"/>
      <c r="L62" s="529"/>
      <c r="M62" s="79"/>
    </row>
    <row r="63" spans="1:13" ht="18" customHeight="1">
      <c r="A63" s="254"/>
      <c r="B63" s="189"/>
      <c r="C63" s="88"/>
      <c r="D63" s="524"/>
      <c r="E63" s="525"/>
      <c r="F63" s="526"/>
      <c r="G63" s="552"/>
      <c r="H63" s="526"/>
      <c r="I63" s="534"/>
      <c r="J63" s="534"/>
      <c r="K63" s="534"/>
      <c r="L63" s="529"/>
      <c r="M63" s="79"/>
    </row>
    <row r="64" spans="1:13" ht="18" customHeight="1">
      <c r="A64" s="254"/>
      <c r="B64" s="189"/>
      <c r="C64" s="88"/>
      <c r="D64" s="524"/>
      <c r="E64" s="525"/>
      <c r="F64" s="526"/>
      <c r="G64" s="526"/>
      <c r="H64" s="526"/>
      <c r="I64" s="534"/>
      <c r="J64" s="534"/>
      <c r="K64" s="534"/>
      <c r="L64" s="529"/>
      <c r="M64" s="79"/>
    </row>
    <row r="65" spans="1:13" ht="18" customHeight="1">
      <c r="A65" s="254"/>
      <c r="B65" s="189"/>
      <c r="C65" s="88"/>
      <c r="D65" s="524"/>
      <c r="E65" s="525"/>
      <c r="F65" s="526"/>
      <c r="G65" s="526"/>
      <c r="H65" s="526"/>
      <c r="I65" s="534"/>
      <c r="J65" s="534"/>
      <c r="K65" s="534"/>
      <c r="L65" s="529"/>
      <c r="M65" s="79"/>
    </row>
    <row r="66" spans="1:13" ht="18" customHeight="1">
      <c r="A66" s="254"/>
      <c r="B66" s="189"/>
      <c r="C66" s="88"/>
      <c r="D66" s="524"/>
      <c r="E66" s="525"/>
      <c r="F66" s="526"/>
      <c r="G66" s="526"/>
      <c r="H66" s="526"/>
      <c r="I66" s="534"/>
      <c r="J66" s="534"/>
      <c r="K66" s="534"/>
      <c r="L66" s="529"/>
      <c r="M66" s="79"/>
    </row>
    <row r="67" spans="1:13" s="7" customFormat="1">
      <c r="A67" s="254"/>
      <c r="B67" s="189"/>
      <c r="C67" s="88"/>
      <c r="D67" s="524"/>
      <c r="E67" s="525"/>
      <c r="F67" s="526"/>
      <c r="G67" s="526"/>
      <c r="H67" s="526"/>
      <c r="I67" s="534"/>
      <c r="J67" s="534"/>
      <c r="K67" s="534"/>
      <c r="L67" s="529"/>
      <c r="M67" s="79"/>
    </row>
    <row r="68" spans="1:13" ht="20.100000000000001" customHeight="1" thickBot="1">
      <c r="A68" s="254"/>
      <c r="B68" s="189"/>
      <c r="C68" s="88"/>
      <c r="D68" s="524"/>
      <c r="E68" s="525"/>
      <c r="F68" s="526"/>
      <c r="G68" s="526"/>
      <c r="H68" s="526"/>
      <c r="I68" s="534"/>
      <c r="J68" s="534"/>
      <c r="K68" s="534"/>
      <c r="L68" s="529"/>
      <c r="M68" s="79"/>
    </row>
    <row r="69" spans="1:13" ht="20.100000000000001" customHeight="1" thickTop="1" thickBot="1">
      <c r="A69" s="255"/>
      <c r="B69" s="39" t="s">
        <v>330</v>
      </c>
      <c r="C69" s="42"/>
      <c r="D69" s="535"/>
      <c r="E69" s="536"/>
      <c r="F69" s="536"/>
      <c r="G69" s="536"/>
      <c r="H69" s="537"/>
      <c r="I69" s="538">
        <f>SUM(I59:I68)</f>
        <v>3329.37</v>
      </c>
      <c r="J69" s="537"/>
      <c r="K69" s="538">
        <f>SUM(K59:K68)</f>
        <v>2214.8009999999999</v>
      </c>
      <c r="L69" s="538">
        <f>SUM(L59:L68)</f>
        <v>5544.1710000000003</v>
      </c>
      <c r="M69" s="30" t="s">
        <v>33</v>
      </c>
    </row>
    <row r="70" spans="1:13" ht="18" customHeight="1" thickTop="1">
      <c r="A70" s="90" t="s">
        <v>331</v>
      </c>
      <c r="B70" s="91" t="s">
        <v>332</v>
      </c>
      <c r="C70" s="545"/>
      <c r="D70" s="546"/>
      <c r="E70" s="547"/>
      <c r="F70" s="548"/>
      <c r="G70" s="549"/>
      <c r="H70" s="550"/>
      <c r="I70" s="550"/>
      <c r="J70" s="550"/>
      <c r="K70" s="550"/>
      <c r="L70" s="551"/>
      <c r="M70" s="72"/>
    </row>
    <row r="71" spans="1:13" ht="18" customHeight="1">
      <c r="A71" s="254"/>
      <c r="B71" s="189" t="s">
        <v>322</v>
      </c>
      <c r="C71" s="88"/>
      <c r="D71" s="524">
        <v>0</v>
      </c>
      <c r="E71" s="525"/>
      <c r="F71" s="525">
        <v>3</v>
      </c>
      <c r="G71" s="526"/>
      <c r="H71" s="526"/>
      <c r="I71" s="534"/>
      <c r="J71" s="534"/>
      <c r="K71" s="534"/>
      <c r="L71" s="529"/>
      <c r="M71" s="79"/>
    </row>
    <row r="72" spans="1:13" ht="18" customHeight="1">
      <c r="A72" s="254"/>
      <c r="B72" s="544" t="s">
        <v>323</v>
      </c>
      <c r="C72" s="88">
        <f>(16+4)*4</f>
        <v>80</v>
      </c>
      <c r="D72" s="524"/>
      <c r="E72" s="525"/>
      <c r="F72" s="525"/>
      <c r="G72" s="552" t="s">
        <v>309</v>
      </c>
      <c r="H72" s="526">
        <v>42.75</v>
      </c>
      <c r="I72" s="534">
        <f>C72*H72</f>
        <v>3420</v>
      </c>
      <c r="J72" s="534">
        <v>80</v>
      </c>
      <c r="K72" s="534">
        <f>J72*C72</f>
        <v>6400</v>
      </c>
      <c r="L72" s="529">
        <f>K72+I72</f>
        <v>9820</v>
      </c>
      <c r="M72" s="79"/>
    </row>
    <row r="73" spans="1:13" ht="18" customHeight="1">
      <c r="A73" s="254"/>
      <c r="B73" s="189" t="s">
        <v>499</v>
      </c>
      <c r="C73" s="88">
        <v>8</v>
      </c>
      <c r="D73" s="524">
        <v>0</v>
      </c>
      <c r="E73" s="525">
        <v>12</v>
      </c>
      <c r="F73" s="526"/>
      <c r="G73" s="552" t="s">
        <v>115</v>
      </c>
      <c r="H73" s="526">
        <v>1475</v>
      </c>
      <c r="I73" s="534">
        <f>C73*H73</f>
        <v>11800</v>
      </c>
      <c r="J73" s="534">
        <f>H73*0.3</f>
        <v>442.5</v>
      </c>
      <c r="K73" s="534">
        <f>J73*C73</f>
        <v>3540</v>
      </c>
      <c r="L73" s="529">
        <f>K73+I73</f>
        <v>15340</v>
      </c>
      <c r="M73" s="79"/>
    </row>
    <row r="74" spans="1:13" ht="18" customHeight="1">
      <c r="A74" s="254"/>
      <c r="B74" s="189"/>
      <c r="C74" s="88"/>
      <c r="D74" s="524">
        <v>0</v>
      </c>
      <c r="E74" s="525">
        <v>12</v>
      </c>
      <c r="F74" s="526"/>
      <c r="G74" s="526"/>
      <c r="H74" s="526"/>
      <c r="I74" s="534"/>
      <c r="J74" s="534"/>
      <c r="K74" s="534"/>
      <c r="L74" s="529"/>
      <c r="M74" s="79"/>
    </row>
    <row r="75" spans="1:13" ht="18" customHeight="1" thickBot="1">
      <c r="A75" s="254"/>
      <c r="B75" s="189"/>
      <c r="C75" s="88"/>
      <c r="D75" s="524">
        <v>0</v>
      </c>
      <c r="E75" s="525">
        <v>12</v>
      </c>
      <c r="F75" s="526"/>
      <c r="G75" s="526"/>
      <c r="H75" s="526"/>
      <c r="I75" s="534"/>
      <c r="J75" s="534"/>
      <c r="K75" s="534"/>
      <c r="L75" s="529"/>
      <c r="M75" s="79"/>
    </row>
    <row r="76" spans="1:13" s="7" customFormat="1" ht="15" thickTop="1" thickBot="1">
      <c r="A76" s="255"/>
      <c r="B76" s="39" t="s">
        <v>333</v>
      </c>
      <c r="C76" s="42"/>
      <c r="D76" s="535"/>
      <c r="E76" s="536"/>
      <c r="F76" s="536"/>
      <c r="G76" s="536"/>
      <c r="H76" s="537"/>
      <c r="I76" s="538">
        <f>SUM(I71:I75)</f>
        <v>15220</v>
      </c>
      <c r="J76" s="537"/>
      <c r="K76" s="538">
        <f>SUM(K71:K75)</f>
        <v>9940</v>
      </c>
      <c r="L76" s="538">
        <f>SUM(L71:L75)</f>
        <v>25160</v>
      </c>
      <c r="M76" s="30" t="s">
        <v>33</v>
      </c>
    </row>
    <row r="77" spans="1:13" s="297" customFormat="1" ht="14.4" thickTop="1">
      <c r="A77" s="90" t="s">
        <v>334</v>
      </c>
      <c r="B77" s="91" t="s">
        <v>335</v>
      </c>
      <c r="C77" s="545"/>
      <c r="D77" s="546"/>
      <c r="E77" s="547"/>
      <c r="F77" s="548"/>
      <c r="G77" s="549"/>
      <c r="H77" s="550"/>
      <c r="I77" s="550"/>
      <c r="J77" s="550"/>
      <c r="K77" s="550"/>
      <c r="L77" s="551"/>
      <c r="M77" s="72"/>
    </row>
    <row r="78" spans="1:13">
      <c r="A78" s="254"/>
      <c r="B78" s="189" t="s">
        <v>336</v>
      </c>
      <c r="C78" s="88">
        <f>22.36*4</f>
        <v>89.44</v>
      </c>
      <c r="D78" s="524">
        <v>0</v>
      </c>
      <c r="E78" s="525"/>
      <c r="F78" s="525">
        <v>3</v>
      </c>
      <c r="G78" s="526" t="s">
        <v>309</v>
      </c>
      <c r="H78" s="526">
        <v>120</v>
      </c>
      <c r="I78" s="534">
        <f t="shared" ref="I78:I84" si="5">H78*C78</f>
        <v>10732.8</v>
      </c>
      <c r="J78" s="534">
        <v>48</v>
      </c>
      <c r="K78" s="534">
        <f t="shared" ref="K78:K84" si="6">J78*C78</f>
        <v>4293.12</v>
      </c>
      <c r="L78" s="529">
        <f t="shared" ref="L78:L84" si="7">K78+I78</f>
        <v>15025.919999999998</v>
      </c>
      <c r="M78" s="79"/>
    </row>
    <row r="79" spans="1:13">
      <c r="A79" s="254"/>
      <c r="B79" s="189" t="s">
        <v>337</v>
      </c>
      <c r="C79" s="88">
        <v>8</v>
      </c>
      <c r="D79" s="524"/>
      <c r="E79" s="525"/>
      <c r="F79" s="525"/>
      <c r="G79" s="526" t="s">
        <v>115</v>
      </c>
      <c r="H79" s="526">
        <f>200/3*4+500</f>
        <v>766.66666666666674</v>
      </c>
      <c r="I79" s="534">
        <f t="shared" si="5"/>
        <v>6133.3333333333339</v>
      </c>
      <c r="J79" s="534">
        <v>100</v>
      </c>
      <c r="K79" s="534">
        <f t="shared" si="6"/>
        <v>800</v>
      </c>
      <c r="L79" s="529">
        <f t="shared" si="7"/>
        <v>6933.3333333333339</v>
      </c>
      <c r="M79" s="79"/>
    </row>
    <row r="80" spans="1:13">
      <c r="A80" s="254"/>
      <c r="B80" s="189" t="s">
        <v>338</v>
      </c>
      <c r="C80" s="88"/>
      <c r="D80" s="524"/>
      <c r="E80" s="525"/>
      <c r="F80" s="525"/>
      <c r="G80" s="526" t="s">
        <v>115</v>
      </c>
      <c r="H80" s="526">
        <f>300+500</f>
        <v>800</v>
      </c>
      <c r="I80" s="534">
        <f t="shared" si="5"/>
        <v>0</v>
      </c>
      <c r="J80" s="534">
        <v>150</v>
      </c>
      <c r="K80" s="534">
        <f t="shared" si="6"/>
        <v>0</v>
      </c>
      <c r="L80" s="529">
        <f t="shared" si="7"/>
        <v>0</v>
      </c>
      <c r="M80" s="79"/>
    </row>
    <row r="81" spans="1:13">
      <c r="A81" s="254"/>
      <c r="B81" s="189" t="s">
        <v>500</v>
      </c>
      <c r="C81" s="88"/>
      <c r="D81" s="524"/>
      <c r="E81" s="525"/>
      <c r="F81" s="525"/>
      <c r="G81" s="526" t="s">
        <v>115</v>
      </c>
      <c r="H81" s="526">
        <v>2900</v>
      </c>
      <c r="I81" s="534">
        <f t="shared" si="5"/>
        <v>0</v>
      </c>
      <c r="J81" s="534">
        <v>200</v>
      </c>
      <c r="K81" s="534">
        <f t="shared" si="6"/>
        <v>0</v>
      </c>
      <c r="L81" s="529">
        <f t="shared" si="7"/>
        <v>0</v>
      </c>
      <c r="M81" s="79"/>
    </row>
    <row r="82" spans="1:13">
      <c r="A82" s="254"/>
      <c r="B82" s="189" t="s">
        <v>339</v>
      </c>
      <c r="C82" s="88">
        <v>1</v>
      </c>
      <c r="D82" s="524">
        <v>0</v>
      </c>
      <c r="E82" s="525">
        <v>12</v>
      </c>
      <c r="F82" s="526"/>
      <c r="G82" s="526" t="s">
        <v>115</v>
      </c>
      <c r="H82" s="526">
        <v>3700</v>
      </c>
      <c r="I82" s="534">
        <f t="shared" si="5"/>
        <v>3700</v>
      </c>
      <c r="J82" s="534">
        <v>200</v>
      </c>
      <c r="K82" s="534">
        <f t="shared" si="6"/>
        <v>200</v>
      </c>
      <c r="L82" s="529">
        <f t="shared" si="7"/>
        <v>3900</v>
      </c>
      <c r="M82" s="79"/>
    </row>
    <row r="83" spans="1:13">
      <c r="A83" s="254"/>
      <c r="B83" s="189" t="s">
        <v>497</v>
      </c>
      <c r="C83" s="553"/>
      <c r="D83" s="524"/>
      <c r="E83" s="525"/>
      <c r="F83" s="526"/>
      <c r="G83" s="526" t="s">
        <v>492</v>
      </c>
      <c r="H83" s="526">
        <v>0</v>
      </c>
      <c r="I83" s="534">
        <f t="shared" si="5"/>
        <v>0</v>
      </c>
      <c r="J83" s="534">
        <v>99</v>
      </c>
      <c r="K83" s="534">
        <f t="shared" si="6"/>
        <v>0</v>
      </c>
      <c r="L83" s="529">
        <f t="shared" si="7"/>
        <v>0</v>
      </c>
      <c r="M83" s="79"/>
    </row>
    <row r="84" spans="1:13">
      <c r="A84" s="254"/>
      <c r="B84" s="189" t="s">
        <v>501</v>
      </c>
      <c r="C84" s="88">
        <v>1</v>
      </c>
      <c r="D84" s="524"/>
      <c r="E84" s="525"/>
      <c r="F84" s="526"/>
      <c r="G84" s="526" t="s">
        <v>115</v>
      </c>
      <c r="H84" s="526">
        <f>200/3*4+500</f>
        <v>766.66666666666674</v>
      </c>
      <c r="I84" s="534">
        <f t="shared" si="5"/>
        <v>766.66666666666674</v>
      </c>
      <c r="J84" s="534">
        <v>100</v>
      </c>
      <c r="K84" s="534">
        <f t="shared" si="6"/>
        <v>100</v>
      </c>
      <c r="L84" s="529">
        <f t="shared" si="7"/>
        <v>866.66666666666674</v>
      </c>
      <c r="M84" s="79"/>
    </row>
    <row r="85" spans="1:13">
      <c r="A85" s="254"/>
      <c r="B85" s="189"/>
      <c r="C85" s="88"/>
      <c r="D85" s="524"/>
      <c r="E85" s="525"/>
      <c r="F85" s="526"/>
      <c r="G85" s="526"/>
      <c r="H85" s="526"/>
      <c r="I85" s="534"/>
      <c r="J85" s="534"/>
      <c r="K85" s="534"/>
      <c r="L85" s="529"/>
      <c r="M85" s="79"/>
    </row>
    <row r="86" spans="1:13">
      <c r="A86" s="254"/>
      <c r="B86" s="189"/>
      <c r="C86" s="88"/>
      <c r="D86" s="524"/>
      <c r="E86" s="525"/>
      <c r="F86" s="526"/>
      <c r="G86" s="526"/>
      <c r="H86" s="526"/>
      <c r="I86" s="534"/>
      <c r="J86" s="534"/>
      <c r="K86" s="534"/>
      <c r="L86" s="529"/>
      <c r="M86" s="79"/>
    </row>
    <row r="87" spans="1:13">
      <c r="A87" s="254"/>
      <c r="B87" s="189"/>
      <c r="C87" s="88"/>
      <c r="D87" s="524"/>
      <c r="E87" s="525"/>
      <c r="F87" s="526"/>
      <c r="G87" s="526"/>
      <c r="H87" s="526"/>
      <c r="I87" s="534"/>
      <c r="J87" s="534"/>
      <c r="K87" s="534"/>
      <c r="L87" s="529"/>
      <c r="M87" s="79"/>
    </row>
    <row r="88" spans="1:13">
      <c r="A88" s="254"/>
      <c r="B88" s="189"/>
      <c r="C88" s="88"/>
      <c r="D88" s="524"/>
      <c r="E88" s="525"/>
      <c r="F88" s="526"/>
      <c r="G88" s="526"/>
      <c r="H88" s="526"/>
      <c r="I88" s="534"/>
      <c r="J88" s="534"/>
      <c r="K88" s="534"/>
      <c r="L88" s="529"/>
      <c r="M88" s="79"/>
    </row>
    <row r="89" spans="1:13">
      <c r="A89" s="254"/>
      <c r="B89" s="189"/>
      <c r="C89" s="88"/>
      <c r="D89" s="524"/>
      <c r="E89" s="525"/>
      <c r="F89" s="526"/>
      <c r="G89" s="526"/>
      <c r="H89" s="526"/>
      <c r="I89" s="534"/>
      <c r="J89" s="534"/>
      <c r="K89" s="534"/>
      <c r="L89" s="529"/>
      <c r="M89" s="79"/>
    </row>
    <row r="90" spans="1:13">
      <c r="A90" s="254"/>
      <c r="B90" s="189"/>
      <c r="C90" s="88"/>
      <c r="D90" s="524">
        <v>0</v>
      </c>
      <c r="E90" s="525">
        <v>12</v>
      </c>
      <c r="F90" s="526"/>
      <c r="G90" s="526"/>
      <c r="H90" s="526"/>
      <c r="I90" s="534"/>
      <c r="J90" s="534"/>
      <c r="K90" s="534"/>
      <c r="L90" s="529"/>
      <c r="M90" s="79"/>
    </row>
    <row r="91" spans="1:13" ht="14.4" thickBot="1">
      <c r="A91" s="254"/>
      <c r="B91" s="189"/>
      <c r="C91" s="88"/>
      <c r="D91" s="524">
        <v>0</v>
      </c>
      <c r="E91" s="525">
        <v>12</v>
      </c>
      <c r="F91" s="526"/>
      <c r="G91" s="526"/>
      <c r="H91" s="526"/>
      <c r="I91" s="534"/>
      <c r="J91" s="534"/>
      <c r="K91" s="534"/>
      <c r="L91" s="529"/>
      <c r="M91" s="79"/>
    </row>
    <row r="92" spans="1:13" ht="15" thickTop="1" thickBot="1">
      <c r="A92" s="255"/>
      <c r="B92" s="39" t="s">
        <v>340</v>
      </c>
      <c r="C92" s="42"/>
      <c r="D92" s="535"/>
      <c r="E92" s="536"/>
      <c r="F92" s="536"/>
      <c r="G92" s="536"/>
      <c r="H92" s="537"/>
      <c r="I92" s="538">
        <f>SUM(I78:I91)</f>
        <v>21332.799999999999</v>
      </c>
      <c r="J92" s="537"/>
      <c r="K92" s="538">
        <f>SUM(K78:K91)</f>
        <v>5393.12</v>
      </c>
      <c r="L92" s="538">
        <f>SUM(L78:L91)</f>
        <v>26725.920000000002</v>
      </c>
      <c r="M92" s="30" t="s">
        <v>33</v>
      </c>
    </row>
    <row r="93" spans="1:13" ht="15" thickTop="1" thickBot="1">
      <c r="A93" s="290"/>
      <c r="B93" s="291" t="s">
        <v>150</v>
      </c>
      <c r="C93" s="291"/>
      <c r="D93" s="554"/>
      <c r="E93" s="555"/>
      <c r="F93" s="555"/>
      <c r="G93" s="555"/>
      <c r="H93" s="556"/>
      <c r="I93" s="557">
        <f>I92+I76+I69+I57+I41</f>
        <v>192636.14150000003</v>
      </c>
      <c r="J93" s="556"/>
      <c r="K93" s="557">
        <f>K92+K76+K69+K57+K41</f>
        <v>106667.45334999998</v>
      </c>
      <c r="L93" s="557">
        <f>L92+L76+L69+L57+L41</f>
        <v>299303.59484999999</v>
      </c>
      <c r="M93" s="296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2016-12-18T14:31:44Z</cp:lastPrinted>
  <dcterms:created xsi:type="dcterms:W3CDTF">2009-11-05T09:30:11Z</dcterms:created>
  <dcterms:modified xsi:type="dcterms:W3CDTF">2017-03-09T16:41:52Z</dcterms:modified>
</cp:coreProperties>
</file>