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heet1" sheetId="1" r:id="rId1"/>
    <sheet name="Sheet3" sheetId="2" r:id="rId2"/>
    <sheet name="Sheet2" sheetId="3" r:id="rId3"/>
  </sheets>
  <definedNames>
    <definedName name="case">'Sheet1'!$C$46:$C$49</definedName>
    <definedName name="_xlnm.Print_Area" localSheetId="0">'Sheet1'!$B$2:$V$169</definedName>
  </definedNames>
  <calcPr fullCalcOnLoad="1"/>
</workbook>
</file>

<file path=xl/sharedStrings.xml><?xml version="1.0" encoding="utf-8"?>
<sst xmlns="http://schemas.openxmlformats.org/spreadsheetml/2006/main" count="249" uniqueCount="130">
  <si>
    <t>n</t>
  </si>
  <si>
    <t>k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</si>
  <si>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</si>
  <si>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</si>
  <si>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</si>
  <si>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</si>
  <si>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</si>
  <si>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</si>
  <si>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A:</t>
  </si>
  <si>
    <t>B:</t>
  </si>
  <si>
    <t>C:</t>
  </si>
  <si>
    <t>D:</t>
  </si>
  <si>
    <t>E:</t>
  </si>
  <si>
    <t>F:</t>
  </si>
  <si>
    <t>G:</t>
  </si>
  <si>
    <t>H:</t>
  </si>
  <si>
    <t>I:</t>
  </si>
  <si>
    <t>:</t>
  </si>
  <si>
    <t>m. =</t>
  </si>
  <si>
    <t>kg-m.</t>
  </si>
  <si>
    <t>-</t>
  </si>
  <si>
    <t>+M</t>
  </si>
  <si>
    <t>Case 1</t>
  </si>
  <si>
    <t>Con</t>
  </si>
  <si>
    <t>Dis.Con</t>
  </si>
  <si>
    <t>Mid</t>
  </si>
  <si>
    <t>Case 2</t>
  </si>
  <si>
    <t>Case 3</t>
  </si>
  <si>
    <t>Case 4</t>
  </si>
  <si>
    <t>Case 5</t>
  </si>
  <si>
    <t xml:space="preserve">3·t </t>
  </si>
  <si>
    <t>J:</t>
  </si>
  <si>
    <t>Page</t>
  </si>
  <si>
    <t>of</t>
  </si>
  <si>
    <r>
      <t>cm</t>
    </r>
    <r>
      <rPr>
        <vertAlign val="superscript"/>
        <sz val="8"/>
        <rFont val="Times New Roman"/>
        <family val="1"/>
      </rPr>
      <t>2</t>
    </r>
  </si>
  <si>
    <t>f'c</t>
  </si>
  <si>
    <t>fc</t>
  </si>
  <si>
    <t>Ec</t>
  </si>
  <si>
    <t>fy</t>
  </si>
  <si>
    <t>fs</t>
  </si>
  <si>
    <t>Es</t>
  </si>
  <si>
    <t>LA/LB</t>
  </si>
  <si>
    <t>LA/4</t>
  </si>
  <si>
    <t>LA</t>
  </si>
  <si>
    <t>LB/4</t>
  </si>
  <si>
    <t>LB</t>
  </si>
  <si>
    <t>j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</si>
  <si>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</si>
  <si>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</si>
  <si>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</si>
  <si>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</si>
  <si>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</si>
  <si>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วิศวกรโครงสร้าง :</t>
  </si>
  <si>
    <t>ของ</t>
  </si>
  <si>
    <t>ที่ตั้ง :</t>
  </si>
  <si>
    <t>วันที่:</t>
  </si>
  <si>
    <t>คุณสมบัติของวัสดุ</t>
  </si>
  <si>
    <t>คอนกรีต</t>
  </si>
  <si>
    <t>กำลังอัดประลัย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</si>
  <si>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</si>
  <si>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</si>
  <si>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</si>
  <si>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</si>
  <si>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</si>
  <si>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</si>
  <si>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</t>
  </si>
  <si>
    <t>โมดูลัสยืดหยุ่น</t>
  </si>
  <si>
    <t>พารามิเตอร์</t>
  </si>
  <si>
    <t>ออกแบบพื้น</t>
  </si>
  <si>
    <t>พื้นช่วงใน</t>
  </si>
  <si>
    <t>ไม่ต่อเนื่องหนึ่งด้าน</t>
  </si>
  <si>
    <t>ไม่ต่อเนื่องสองด้าน</t>
  </si>
  <si>
    <t>ไม่ต่อเนื่องสามด้าน</t>
  </si>
  <si>
    <t>ไม่ต่อเนื่องสี่ด้าน</t>
  </si>
  <si>
    <t>กรณี</t>
  </si>
  <si>
    <t>ด้านสั้น, LA =</t>
  </si>
  <si>
    <t>ด้านยาว,LB =</t>
  </si>
  <si>
    <t>รวมน้ำหนักทั้งหมด</t>
  </si>
  <si>
    <t>โมเมนต์ดัดสูงสุด,Mmax</t>
  </si>
  <si>
    <t>ศูนย์ถ่วงของกลุ่มเหล็กเสริม, d'</t>
  </si>
  <si>
    <t>ความหนาต่ำสุด (t min = 2·[LA+LB]/180)</t>
  </si>
  <si>
    <t>ความหนาที่ต้องการ  √(Max/Rb)</t>
  </si>
  <si>
    <t>ความหนาที่ออกแบบ, t</t>
  </si>
  <si>
    <t>Mr</t>
  </si>
  <si>
    <t>ความลึกประสิทธิผลที่ออกแบบ,d</t>
  </si>
  <si>
    <t>ตรวจสอบ</t>
  </si>
  <si>
    <r>
      <t>R.b.d</t>
    </r>
    <r>
      <rPr>
        <vertAlign val="superscript"/>
        <sz val="8"/>
        <color indexed="8"/>
        <rFont val="Times New Roman"/>
        <family val="1"/>
      </rPr>
      <t>2</t>
    </r>
  </si>
  <si>
    <t>ออกแบบเหล็กเสริมหลัก</t>
  </si>
  <si>
    <t>ตำแหน่ง</t>
  </si>
  <si>
    <t>ด้านสั้น</t>
  </si>
  <si>
    <t>ด้านยาว</t>
  </si>
  <si>
    <t>ใช้</t>
  </si>
  <si>
    <t>น้ำหนักทั้งหมดถ่ายลงที่รองรับ</t>
  </si>
  <si>
    <t>ด้านสั้น, V-LA (w*A/3)</t>
  </si>
  <si>
    <t>ด้านยาว, V-LB ([w*LA/3]*[3-m²]/2)</t>
  </si>
  <si>
    <t>รายละเอียดพื้นด้านสั้น</t>
  </si>
  <si>
    <t>รายละเอียดพื้นด้านยาว</t>
  </si>
  <si>
    <t>กรณี 5</t>
  </si>
  <si>
    <t>กรณี 3</t>
  </si>
  <si>
    <t>กรณี 1</t>
  </si>
  <si>
    <t>กรณี 2</t>
  </si>
  <si>
    <t>As=(Mmax/fsjd)</t>
  </si>
  <si>
    <r>
      <t>Mmax=(CWS^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</si>
  <si>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ออกแบบความหนาพื้น</t>
  </si>
  <si>
    <t>ออกแบบขนาดพื้น</t>
  </si>
  <si>
    <t>ออกแบบเหล็กเสริมต้านการยืดหด</t>
  </si>
  <si>
    <t>น้ำหนักบรรทุกคงที่,นค.</t>
  </si>
  <si>
    <t>น้ำหนักบรรทุกจร,นจ.</t>
  </si>
  <si>
    <t>น้ำหนักตกแต่ง</t>
  </si>
  <si>
    <t>กก./ตร.ซม.</t>
  </si>
  <si>
    <t>ม.</t>
  </si>
  <si>
    <t>กก./ตร.ม.</t>
  </si>
  <si>
    <t>กก.-ม.</t>
  </si>
  <si>
    <t>-M, ต่อเนื่อง</t>
  </si>
  <si>
    <t>-M, ไม่ต่อเนื่อง</t>
  </si>
  <si>
    <t>ม. @</t>
  </si>
  <si>
    <t>ขนาดเหล็กเสริม, มม.</t>
  </si>
  <si>
    <t>ระยะเรียงมากสุด(0.0018/0.0020/0.0025)·b·t,@ ม.</t>
  </si>
  <si>
    <t>ค่าน้อย  3·t or 0.30 ,ม.</t>
  </si>
  <si>
    <t>กก./ม.</t>
  </si>
  <si>
    <t>สปส.โมเมนต์ดัด</t>
  </si>
  <si>
    <t>ออกแบบพื้นคอนกรีตเสริมเหล็กสองทางทาง - วิธีหน่วยแรงใช้งานอ้างอิง ว.ส.ท. 1007-34 วิธีที่ 2</t>
  </si>
  <si>
    <t>S1</t>
  </si>
  <si>
    <t>กรณี 4</t>
  </si>
  <si>
    <t>นาย สุธีร์     แก้วคำ  สย.9698</t>
  </si>
  <si>
    <t>SR-24</t>
  </si>
  <si>
    <t>รายการคำนวณออกแบบ</t>
  </si>
  <si>
    <t>คอนกรีตเสริมเหล็ก</t>
  </si>
  <si>
    <t>พ.ต.ท. ธงชัย ภัยพิทักษ์</t>
  </si>
  <si>
    <t>นนทบุรี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</si>
</sst>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/d"/>
    <numFmt numFmtId="192" formatCode="[$-41E]d\ mmmm\ yyyy"/>
    <numFmt numFmtId="193" formatCode="[$-1010409]d\ mmmm\ yyyy;@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;\-0.00\ "/>
    <numFmt numFmtId="206" formatCode="_-* #,##0.0_-;\-* #,##0.0_-;_-* &quot;-&quot;??_-;_-@_-"/>
    <numFmt numFmtId="207" formatCode="_-* #,##0_-;\-* #,##0_-;_-* &quot;-&quot;??_-;_-@_-"/>
    <numFmt numFmtId="208" formatCode="0.000_ ;\-0.000\ "/>
    <numFmt numFmtId="209" formatCode="0.0000_ ;\-0.0000\ "/>
    <numFmt numFmtId="210" formatCode="0#&quot;mm.&quot;"/>
    <numFmt numFmtId="211" formatCode="#&quot;mm.&quot;"/>
    <numFmt numFmtId="212" formatCode="#&quot;  mm.&quot;"/>
    <numFmt numFmtId="213" formatCode="_-* #,##0.000_-;\-* #,##0.000_-;_-* &quot;-&quot;??_-;_-@_-"/>
    <numFmt numFmtId="214" formatCode="#,##0.000"/>
    <numFmt numFmtId="215" formatCode="#,##0.0"/>
    <numFmt numFmtId="216" formatCode="#,##0.0000"/>
    <numFmt numFmtId="217" formatCode="#,##0.00000"/>
    <numFmt numFmtId="218" formatCode="[$-101041E]d\ mmmm\ yyyy;@"/>
    <numFmt numFmtId="219" formatCode="#&quot;  มม.&quot;"/>
  </numFmts>
  <fonts count="65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7"/>
      <color indexed="12"/>
      <name val="Times New Roman"/>
      <family val="1"/>
    </font>
    <font>
      <b/>
      <sz val="8"/>
      <color indexed="14"/>
      <name val="Times New Roman"/>
      <family val="1"/>
    </font>
    <font>
      <sz val="8"/>
      <color indexed="9"/>
      <name val="Times New Roman"/>
      <family val="1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sz val="8"/>
      <color rgb="FF2504EC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2504EC"/>
      <name val="Times New Roman"/>
      <family val="1"/>
    </font>
    <font>
      <sz val="7.5"/>
      <color theme="1"/>
      <name val="Times New Roman"/>
      <family val="1"/>
    </font>
    <font>
      <b/>
      <sz val="8"/>
      <color rgb="FF0000FF"/>
      <name val="Times New Roman"/>
      <family val="1"/>
    </font>
    <font>
      <sz val="7"/>
      <color rgb="FF0000FF"/>
      <name val="Times New Roman"/>
      <family val="1"/>
    </font>
    <font>
      <b/>
      <sz val="8"/>
      <color rgb="FF0000CC"/>
      <name val="Times New Roman"/>
      <family val="1"/>
    </font>
    <font>
      <b/>
      <sz val="8"/>
      <color rgb="FFFF33CC"/>
      <name val="Times New Roman"/>
      <family val="1"/>
    </font>
    <font>
      <sz val="8"/>
      <color theme="0"/>
      <name val="Times New Roman"/>
      <family val="1"/>
    </font>
    <font>
      <sz val="8"/>
      <color rgb="FF0000CC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25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61" applyFont="1" applyFill="1" applyBorder="1" applyProtection="1">
      <alignment/>
      <protection/>
    </xf>
    <xf numFmtId="191" fontId="5" fillId="0" borderId="10" xfId="61" applyNumberFormat="1" applyFont="1" applyFill="1" applyBorder="1" applyAlignment="1" applyProtection="1">
      <alignment horizontal="right"/>
      <protection/>
    </xf>
    <xf numFmtId="0" fontId="5" fillId="0" borderId="10" xfId="61" applyFont="1" applyFill="1" applyBorder="1" applyProtection="1">
      <alignment/>
      <protection/>
    </xf>
    <xf numFmtId="0" fontId="51" fillId="0" borderId="10" xfId="0" applyFont="1" applyFill="1" applyBorder="1" applyAlignment="1" applyProtection="1">
      <alignment horizontal="left"/>
      <protection/>
    </xf>
    <xf numFmtId="0" fontId="52" fillId="19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4" fillId="0" borderId="0" xfId="61" applyFont="1" applyFill="1" applyBorder="1" applyProtection="1">
      <alignment/>
      <protection/>
    </xf>
    <xf numFmtId="191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Border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Alignment="1" applyProtection="1">
      <alignment horizontal="center"/>
      <protection/>
    </xf>
    <xf numFmtId="199" fontId="52" fillId="0" borderId="0" xfId="0" applyNumberFormat="1" applyFont="1" applyFill="1" applyBorder="1" applyAlignment="1" applyProtection="1">
      <alignment horizontal="center"/>
      <protection/>
    </xf>
    <xf numFmtId="199" fontId="52" fillId="0" borderId="0" xfId="0" applyNumberFormat="1" applyFont="1" applyFill="1" applyAlignment="1" applyProtection="1">
      <alignment horizontal="center"/>
      <protection/>
    </xf>
    <xf numFmtId="1" fontId="52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/>
      <protection/>
    </xf>
    <xf numFmtId="213" fontId="4" fillId="0" borderId="0" xfId="42" applyNumberFormat="1" applyFont="1" applyFill="1" applyBorder="1" applyAlignment="1" applyProtection="1">
      <alignment/>
      <protection/>
    </xf>
    <xf numFmtId="213" fontId="4" fillId="0" borderId="0" xfId="42" applyNumberFormat="1" applyFont="1" applyFill="1" applyBorder="1" applyAlignment="1" applyProtection="1">
      <alignment/>
      <protection/>
    </xf>
    <xf numFmtId="43" fontId="4" fillId="0" borderId="0" xfId="42" applyNumberFormat="1" applyFont="1" applyFill="1" applyBorder="1" applyAlignment="1" applyProtection="1">
      <alignment/>
      <protection/>
    </xf>
    <xf numFmtId="43" fontId="3" fillId="0" borderId="0" xfId="42" applyNumberFormat="1" applyFont="1" applyFill="1" applyBorder="1" applyAlignment="1" applyProtection="1">
      <alignment/>
      <protection/>
    </xf>
    <xf numFmtId="43" fontId="4" fillId="0" borderId="0" xfId="42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52" fillId="0" borderId="0" xfId="0" applyNumberFormat="1" applyFont="1" applyFill="1" applyBorder="1" applyAlignment="1" applyProtection="1">
      <alignment horizontal="center"/>
      <protection/>
    </xf>
    <xf numFmtId="43" fontId="54" fillId="0" borderId="0" xfId="0" applyNumberFormat="1" applyFont="1" applyFill="1" applyBorder="1" applyAlignment="1" applyProtection="1">
      <alignment horizontal="center"/>
      <protection/>
    </xf>
    <xf numFmtId="43" fontId="51" fillId="0" borderId="0" xfId="0" applyNumberFormat="1" applyFont="1" applyFill="1" applyBorder="1" applyAlignment="1" applyProtection="1">
      <alignment horizontal="left"/>
      <protection/>
    </xf>
    <xf numFmtId="43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199" fontId="52" fillId="0" borderId="0" xfId="0" applyNumberFormat="1" applyFont="1" applyFill="1" applyBorder="1" applyAlignment="1" applyProtection="1">
      <alignment/>
      <protection/>
    </xf>
    <xf numFmtId="2" fontId="54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200" fontId="52" fillId="0" borderId="0" xfId="0" applyNumberFormat="1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5" xfId="0" applyFont="1" applyFill="1" applyBorder="1" applyAlignment="1" applyProtection="1">
      <alignment/>
      <protection/>
    </xf>
    <xf numFmtId="0" fontId="52" fillId="0" borderId="16" xfId="0" applyFont="1" applyFill="1" applyBorder="1" applyAlignment="1" applyProtection="1">
      <alignment/>
      <protection/>
    </xf>
    <xf numFmtId="0" fontId="55" fillId="0" borderId="16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2" fillId="19" borderId="0" xfId="0" applyFont="1" applyFill="1" applyAlignment="1" applyProtection="1">
      <alignment horizontal="center"/>
      <protection/>
    </xf>
    <xf numFmtId="0" fontId="51" fillId="34" borderId="13" xfId="0" applyFont="1" applyFill="1" applyBorder="1" applyAlignment="1" applyProtection="1">
      <alignment horizontal="center"/>
      <protection/>
    </xf>
    <xf numFmtId="0" fontId="51" fillId="35" borderId="13" xfId="0" applyFont="1" applyFill="1" applyBorder="1" applyAlignment="1" applyProtection="1">
      <alignment horizontal="center"/>
      <protection/>
    </xf>
    <xf numFmtId="0" fontId="51" fillId="5" borderId="13" xfId="0" applyFont="1" applyFill="1" applyBorder="1" applyAlignment="1" applyProtection="1">
      <alignment horizontal="center"/>
      <protection/>
    </xf>
    <xf numFmtId="0" fontId="51" fillId="25" borderId="13" xfId="0" applyFont="1" applyFill="1" applyBorder="1" applyAlignment="1" applyProtection="1">
      <alignment horizontal="center"/>
      <protection/>
    </xf>
    <xf numFmtId="0" fontId="52" fillId="33" borderId="13" xfId="0" applyFont="1" applyFill="1" applyBorder="1" applyAlignment="1" applyProtection="1">
      <alignment horizontal="center"/>
      <protection/>
    </xf>
    <xf numFmtId="199" fontId="52" fillId="33" borderId="13" xfId="0" applyNumberFormat="1" applyFont="1" applyFill="1" applyBorder="1" applyAlignment="1" applyProtection="1">
      <alignment/>
      <protection/>
    </xf>
    <xf numFmtId="199" fontId="4" fillId="33" borderId="13" xfId="0" applyNumberFormat="1" applyFont="1" applyFill="1" applyBorder="1" applyAlignment="1" applyProtection="1">
      <alignment/>
      <protection/>
    </xf>
    <xf numFmtId="0" fontId="52" fillId="34" borderId="13" xfId="0" applyFont="1" applyFill="1" applyBorder="1" applyAlignment="1" applyProtection="1">
      <alignment horizontal="center"/>
      <protection/>
    </xf>
    <xf numFmtId="199" fontId="52" fillId="34" borderId="13" xfId="0" applyNumberFormat="1" applyFont="1" applyFill="1" applyBorder="1" applyAlignment="1" applyProtection="1">
      <alignment/>
      <protection/>
    </xf>
    <xf numFmtId="199" fontId="4" fillId="34" borderId="13" xfId="0" applyNumberFormat="1" applyFont="1" applyFill="1" applyBorder="1" applyAlignment="1" applyProtection="1">
      <alignment/>
      <protection/>
    </xf>
    <xf numFmtId="0" fontId="52" fillId="35" borderId="13" xfId="0" applyFont="1" applyFill="1" applyBorder="1" applyAlignment="1" applyProtection="1">
      <alignment horizontal="center"/>
      <protection/>
    </xf>
    <xf numFmtId="199" fontId="52" fillId="35" borderId="13" xfId="0" applyNumberFormat="1" applyFont="1" applyFill="1" applyBorder="1" applyAlignment="1" applyProtection="1">
      <alignment/>
      <protection/>
    </xf>
    <xf numFmtId="199" fontId="4" fillId="35" borderId="13" xfId="0" applyNumberFormat="1" applyFont="1" applyFill="1" applyBorder="1" applyAlignment="1" applyProtection="1">
      <alignment/>
      <protection/>
    </xf>
    <xf numFmtId="0" fontId="52" fillId="5" borderId="13" xfId="0" applyFont="1" applyFill="1" applyBorder="1" applyAlignment="1" applyProtection="1">
      <alignment horizontal="center"/>
      <protection/>
    </xf>
    <xf numFmtId="199" fontId="52" fillId="5" borderId="13" xfId="0" applyNumberFormat="1" applyFont="1" applyFill="1" applyBorder="1" applyAlignment="1" applyProtection="1">
      <alignment/>
      <protection/>
    </xf>
    <xf numFmtId="199" fontId="4" fillId="5" borderId="13" xfId="0" applyNumberFormat="1" applyFont="1" applyFill="1" applyBorder="1" applyAlignment="1" applyProtection="1">
      <alignment/>
      <protection/>
    </xf>
    <xf numFmtId="0" fontId="52" fillId="25" borderId="13" xfId="0" applyFont="1" applyFill="1" applyBorder="1" applyAlignment="1" applyProtection="1">
      <alignment horizontal="center"/>
      <protection/>
    </xf>
    <xf numFmtId="199" fontId="52" fillId="25" borderId="13" xfId="0" applyNumberFormat="1" applyFont="1" applyFill="1" applyBorder="1" applyAlignment="1" applyProtection="1">
      <alignment/>
      <protection/>
    </xf>
    <xf numFmtId="199" fontId="4" fillId="25" borderId="13" xfId="0" applyNumberFormat="1" applyFont="1" applyFill="1" applyBorder="1" applyAlignment="1" applyProtection="1">
      <alignment/>
      <protection/>
    </xf>
    <xf numFmtId="2" fontId="52" fillId="33" borderId="13" xfId="0" applyNumberFormat="1" applyFont="1" applyFill="1" applyBorder="1" applyAlignment="1" applyProtection="1">
      <alignment horizontal="center"/>
      <protection/>
    </xf>
    <xf numFmtId="2" fontId="52" fillId="34" borderId="13" xfId="0" applyNumberFormat="1" applyFont="1" applyFill="1" applyBorder="1" applyAlignment="1" applyProtection="1">
      <alignment horizontal="center"/>
      <protection/>
    </xf>
    <xf numFmtId="2" fontId="52" fillId="35" borderId="13" xfId="0" applyNumberFormat="1" applyFont="1" applyFill="1" applyBorder="1" applyAlignment="1" applyProtection="1">
      <alignment horizontal="center"/>
      <protection/>
    </xf>
    <xf numFmtId="2" fontId="52" fillId="5" borderId="13" xfId="0" applyNumberFormat="1" applyFont="1" applyFill="1" applyBorder="1" applyAlignment="1" applyProtection="1">
      <alignment horizontal="center"/>
      <protection/>
    </xf>
    <xf numFmtId="2" fontId="52" fillId="25" borderId="13" xfId="0" applyNumberFormat="1" applyFont="1" applyFill="1" applyBorder="1" applyAlignment="1" applyProtection="1">
      <alignment horizontal="center"/>
      <protection/>
    </xf>
    <xf numFmtId="2" fontId="56" fillId="33" borderId="13" xfId="0" applyNumberFormat="1" applyFont="1" applyFill="1" applyBorder="1" applyAlignment="1" applyProtection="1">
      <alignment horizontal="center"/>
      <protection/>
    </xf>
    <xf numFmtId="199" fontId="56" fillId="33" borderId="13" xfId="0" applyNumberFormat="1" applyFont="1" applyFill="1" applyBorder="1" applyAlignment="1" applyProtection="1">
      <alignment/>
      <protection/>
    </xf>
    <xf numFmtId="2" fontId="56" fillId="34" borderId="13" xfId="0" applyNumberFormat="1" applyFont="1" applyFill="1" applyBorder="1" applyAlignment="1" applyProtection="1">
      <alignment horizontal="center"/>
      <protection/>
    </xf>
    <xf numFmtId="199" fontId="56" fillId="34" borderId="13" xfId="0" applyNumberFormat="1" applyFont="1" applyFill="1" applyBorder="1" applyAlignment="1" applyProtection="1">
      <alignment/>
      <protection/>
    </xf>
    <xf numFmtId="2" fontId="56" fillId="35" borderId="13" xfId="0" applyNumberFormat="1" applyFont="1" applyFill="1" applyBorder="1" applyAlignment="1" applyProtection="1">
      <alignment horizontal="center"/>
      <protection/>
    </xf>
    <xf numFmtId="199" fontId="56" fillId="35" borderId="13" xfId="0" applyNumberFormat="1" applyFont="1" applyFill="1" applyBorder="1" applyAlignment="1" applyProtection="1">
      <alignment/>
      <protection/>
    </xf>
    <xf numFmtId="2" fontId="56" fillId="5" borderId="13" xfId="0" applyNumberFormat="1" applyFont="1" applyFill="1" applyBorder="1" applyAlignment="1" applyProtection="1">
      <alignment horizontal="center"/>
      <protection/>
    </xf>
    <xf numFmtId="199" fontId="56" fillId="5" borderId="13" xfId="0" applyNumberFormat="1" applyFont="1" applyFill="1" applyBorder="1" applyAlignment="1" applyProtection="1">
      <alignment/>
      <protection/>
    </xf>
    <xf numFmtId="2" fontId="56" fillId="25" borderId="13" xfId="0" applyNumberFormat="1" applyFont="1" applyFill="1" applyBorder="1" applyAlignment="1" applyProtection="1">
      <alignment horizontal="center"/>
      <protection/>
    </xf>
    <xf numFmtId="199" fontId="56" fillId="25" borderId="13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3" fillId="0" borderId="11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52" fillId="0" borderId="20" xfId="0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1" fillId="0" borderId="17" xfId="0" applyFont="1" applyFill="1" applyBorder="1" applyAlignment="1" applyProtection="1">
      <alignment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/>
      <protection/>
    </xf>
    <xf numFmtId="0" fontId="51" fillId="0" borderId="22" xfId="0" applyFont="1" applyFill="1" applyBorder="1" applyAlignment="1" applyProtection="1">
      <alignment/>
      <protection/>
    </xf>
    <xf numFmtId="0" fontId="52" fillId="0" borderId="22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1" fillId="0" borderId="23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horizontal="center"/>
      <protection/>
    </xf>
    <xf numFmtId="0" fontId="51" fillId="0" borderId="26" xfId="0" applyFont="1" applyFill="1" applyBorder="1" applyAlignment="1" applyProtection="1">
      <alignment/>
      <protection/>
    </xf>
    <xf numFmtId="0" fontId="53" fillId="0" borderId="27" xfId="0" applyFont="1" applyFill="1" applyBorder="1" applyAlignment="1" applyProtection="1">
      <alignment horizontal="center"/>
      <protection/>
    </xf>
    <xf numFmtId="0" fontId="51" fillId="0" borderId="28" xfId="0" applyFont="1" applyFill="1" applyBorder="1" applyAlignment="1" applyProtection="1">
      <alignment/>
      <protection/>
    </xf>
    <xf numFmtId="0" fontId="51" fillId="0" borderId="29" xfId="0" applyFont="1" applyFill="1" applyBorder="1" applyAlignment="1" applyProtection="1">
      <alignment/>
      <protection/>
    </xf>
    <xf numFmtId="0" fontId="52" fillId="0" borderId="29" xfId="0" applyFont="1" applyFill="1" applyBorder="1" applyAlignment="1" applyProtection="1">
      <alignment/>
      <protection/>
    </xf>
    <xf numFmtId="0" fontId="52" fillId="0" borderId="29" xfId="0" applyFont="1" applyFill="1" applyBorder="1" applyAlignment="1" applyProtection="1">
      <alignment horizontal="center"/>
      <protection/>
    </xf>
    <xf numFmtId="0" fontId="52" fillId="0" borderId="29" xfId="0" applyFont="1" applyFill="1" applyBorder="1" applyAlignment="1" applyProtection="1">
      <alignment horizontal="left"/>
      <protection/>
    </xf>
    <xf numFmtId="0" fontId="53" fillId="0" borderId="29" xfId="0" applyFont="1" applyFill="1" applyBorder="1" applyAlignment="1" applyProtection="1">
      <alignment horizontal="center"/>
      <protection/>
    </xf>
    <xf numFmtId="0" fontId="53" fillId="0" borderId="3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3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26" xfId="0" applyFont="1" applyFill="1" applyBorder="1" applyAlignment="1" applyProtection="1">
      <alignment/>
      <protection/>
    </xf>
    <xf numFmtId="0" fontId="52" fillId="0" borderId="27" xfId="0" applyFont="1" applyFill="1" applyBorder="1" applyAlignment="1" applyProtection="1">
      <alignment/>
      <protection/>
    </xf>
    <xf numFmtId="0" fontId="52" fillId="0" borderId="28" xfId="0" applyFont="1" applyFill="1" applyBorder="1" applyAlignment="1" applyProtection="1">
      <alignment/>
      <protection/>
    </xf>
    <xf numFmtId="0" fontId="52" fillId="0" borderId="29" xfId="0" applyFont="1" applyFill="1" applyBorder="1" applyAlignment="1" applyProtection="1">
      <alignment/>
      <protection/>
    </xf>
    <xf numFmtId="0" fontId="52" fillId="0" borderId="30" xfId="0" applyFont="1" applyFill="1" applyBorder="1" applyAlignment="1" applyProtection="1">
      <alignment/>
      <protection/>
    </xf>
    <xf numFmtId="0" fontId="52" fillId="0" borderId="23" xfId="0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/>
      <protection/>
    </xf>
    <xf numFmtId="0" fontId="55" fillId="0" borderId="24" xfId="0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4" fontId="52" fillId="0" borderId="0" xfId="0" applyNumberFormat="1" applyFont="1" applyFill="1" applyBorder="1" applyAlignment="1" applyProtection="1">
      <alignment shrinkToFit="1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7" fillId="0" borderId="10" xfId="61" applyFont="1" applyFill="1" applyBorder="1" applyAlignment="1" applyProtection="1">
      <alignment/>
      <protection/>
    </xf>
    <xf numFmtId="0" fontId="57" fillId="0" borderId="0" xfId="6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57" fillId="36" borderId="15" xfId="61" applyFont="1" applyFill="1" applyBorder="1" applyAlignment="1" applyProtection="1">
      <alignment horizontal="left"/>
      <protection/>
    </xf>
    <xf numFmtId="0" fontId="57" fillId="36" borderId="16" xfId="61" applyFont="1" applyFill="1" applyBorder="1" applyAlignment="1" applyProtection="1">
      <alignment horizontal="left"/>
      <protection/>
    </xf>
    <xf numFmtId="0" fontId="4" fillId="0" borderId="16" xfId="61" applyFont="1" applyFill="1" applyBorder="1" applyProtection="1">
      <alignment/>
      <protection/>
    </xf>
    <xf numFmtId="14" fontId="5" fillId="0" borderId="16" xfId="61" applyNumberFormat="1" applyFont="1" applyFill="1" applyBorder="1" applyAlignment="1" applyProtection="1">
      <alignment/>
      <protection/>
    </xf>
    <xf numFmtId="0" fontId="5" fillId="0" borderId="16" xfId="61" applyNumberFormat="1" applyFont="1" applyFill="1" applyBorder="1" applyAlignment="1" applyProtection="1">
      <alignment/>
      <protection/>
    </xf>
    <xf numFmtId="193" fontId="57" fillId="0" borderId="0" xfId="0" applyNumberFormat="1" applyFont="1" applyFill="1" applyBorder="1" applyAlignment="1" applyProtection="1">
      <alignment horizontal="left"/>
      <protection/>
    </xf>
    <xf numFmtId="0" fontId="57" fillId="0" borderId="33" xfId="0" applyNumberFormat="1" applyFont="1" applyFill="1" applyBorder="1" applyAlignment="1" applyProtection="1">
      <alignment horizontal="center"/>
      <protection/>
    </xf>
    <xf numFmtId="0" fontId="51" fillId="37" borderId="11" xfId="0" applyFont="1" applyFill="1" applyBorder="1" applyAlignment="1" applyProtection="1">
      <alignment horizontal="center"/>
      <protection/>
    </xf>
    <xf numFmtId="0" fontId="51" fillId="37" borderId="0" xfId="0" applyFont="1" applyFill="1" applyBorder="1" applyAlignment="1" applyProtection="1">
      <alignment/>
      <protection/>
    </xf>
    <xf numFmtId="0" fontId="52" fillId="37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2" fillId="37" borderId="0" xfId="0" applyFont="1" applyFill="1" applyBorder="1" applyAlignment="1" applyProtection="1">
      <alignment horizontal="center"/>
      <protection/>
    </xf>
    <xf numFmtId="0" fontId="54" fillId="37" borderId="0" xfId="0" applyFont="1" applyFill="1" applyBorder="1" applyAlignment="1" applyProtection="1">
      <alignment/>
      <protection/>
    </xf>
    <xf numFmtId="0" fontId="52" fillId="37" borderId="0" xfId="0" applyFont="1" applyFill="1" applyBorder="1" applyAlignment="1" applyProtection="1">
      <alignment/>
      <protection/>
    </xf>
    <xf numFmtId="199" fontId="52" fillId="37" borderId="0" xfId="0" applyNumberFormat="1" applyFont="1" applyFill="1" applyBorder="1" applyAlignment="1" applyProtection="1">
      <alignment/>
      <protection/>
    </xf>
    <xf numFmtId="1" fontId="52" fillId="37" borderId="0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>
      <alignment horizontal="left"/>
    </xf>
    <xf numFmtId="0" fontId="4" fillId="0" borderId="13" xfId="0" applyFont="1" applyFill="1" applyBorder="1" applyAlignment="1" applyProtection="1" quotePrefix="1">
      <alignment shrinkToFit="1"/>
      <protection/>
    </xf>
    <xf numFmtId="0" fontId="52" fillId="0" borderId="13" xfId="0" applyFont="1" applyFill="1" applyBorder="1" applyAlignment="1" applyProtection="1" quotePrefix="1">
      <alignment shrinkToFit="1"/>
      <protection/>
    </xf>
    <xf numFmtId="0" fontId="57" fillId="38" borderId="32" xfId="0" applyNumberFormat="1" applyFont="1" applyFill="1" applyBorder="1" applyAlignment="1" applyProtection="1">
      <alignment horizontal="center"/>
      <protection locked="0"/>
    </xf>
    <xf numFmtId="0" fontId="57" fillId="38" borderId="34" xfId="0" applyFont="1" applyFill="1" applyBorder="1" applyAlignment="1" applyProtection="1">
      <alignment horizontal="center"/>
      <protection locked="0"/>
    </xf>
    <xf numFmtId="0" fontId="59" fillId="38" borderId="13" xfId="0" applyFont="1" applyFill="1" applyBorder="1" applyAlignment="1" applyProtection="1">
      <alignment horizontal="center"/>
      <protection locked="0"/>
    </xf>
    <xf numFmtId="199" fontId="59" fillId="38" borderId="13" xfId="0" applyNumberFormat="1" applyFont="1" applyFill="1" applyBorder="1" applyAlignment="1" applyProtection="1">
      <alignment horizontal="center"/>
      <protection locked="0"/>
    </xf>
    <xf numFmtId="219" fontId="60" fillId="38" borderId="13" xfId="0" applyNumberFormat="1" applyFont="1" applyFill="1" applyBorder="1" applyAlignment="1" applyProtection="1">
      <alignment horizontal="center"/>
      <protection locked="0"/>
    </xf>
    <xf numFmtId="4" fontId="61" fillId="38" borderId="35" xfId="0" applyNumberFormat="1" applyFont="1" applyFill="1" applyBorder="1" applyAlignment="1" applyProtection="1">
      <alignment horizontal="center"/>
      <protection/>
    </xf>
    <xf numFmtId="43" fontId="62" fillId="39" borderId="0" xfId="42" applyFont="1" applyFill="1" applyBorder="1" applyAlignment="1" applyProtection="1">
      <alignment horizontal="center"/>
      <protection/>
    </xf>
    <xf numFmtId="2" fontId="52" fillId="0" borderId="11" xfId="0" applyNumberFormat="1" applyFont="1" applyFill="1" applyBorder="1" applyAlignment="1" applyProtection="1">
      <alignment horizontal="center" vertical="center"/>
      <protection/>
    </xf>
    <xf numFmtId="2" fontId="51" fillId="0" borderId="11" xfId="0" applyNumberFormat="1" applyFont="1" applyFill="1" applyBorder="1" applyAlignment="1" applyProtection="1">
      <alignment horizontal="center" vertical="center"/>
      <protection/>
    </xf>
    <xf numFmtId="2" fontId="63" fillId="0" borderId="11" xfId="0" applyNumberFormat="1" applyFont="1" applyFill="1" applyBorder="1" applyAlignment="1" applyProtection="1">
      <alignment horizontal="center" vertical="center"/>
      <protection/>
    </xf>
    <xf numFmtId="219" fontId="60" fillId="38" borderId="35" xfId="0" applyNumberFormat="1" applyFont="1" applyFill="1" applyBorder="1" applyAlignment="1" applyProtection="1">
      <alignment horizontal="center"/>
      <protection locked="0"/>
    </xf>
    <xf numFmtId="2" fontId="52" fillId="0" borderId="14" xfId="0" applyNumberFormat="1" applyFont="1" applyFill="1" applyBorder="1" applyAlignment="1" applyProtection="1">
      <alignment horizontal="center"/>
      <protection/>
    </xf>
    <xf numFmtId="2" fontId="52" fillId="0" borderId="18" xfId="0" applyNumberFormat="1" applyFont="1" applyFill="1" applyBorder="1" applyAlignment="1" applyProtection="1">
      <alignment horizontal="center"/>
      <protection/>
    </xf>
    <xf numFmtId="43" fontId="62" fillId="39" borderId="26" xfId="42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shrinkToFit="1"/>
      <protection/>
    </xf>
    <xf numFmtId="0" fontId="51" fillId="0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218" fontId="3" fillId="0" borderId="0" xfId="0" applyNumberFormat="1" applyFont="1" applyFill="1" applyBorder="1" applyAlignment="1" applyProtection="1">
      <alignment horizontal="left"/>
      <protection/>
    </xf>
    <xf numFmtId="218" fontId="3" fillId="0" borderId="12" xfId="0" applyNumberFormat="1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left"/>
      <protection/>
    </xf>
    <xf numFmtId="219" fontId="59" fillId="38" borderId="14" xfId="0" applyNumberFormat="1" applyFont="1" applyFill="1" applyBorder="1" applyAlignment="1" applyProtection="1">
      <alignment horizontal="center"/>
      <protection locked="0"/>
    </xf>
    <xf numFmtId="219" fontId="59" fillId="38" borderId="18" xfId="0" applyNumberFormat="1" applyFont="1" applyFill="1" applyBorder="1" applyAlignment="1" applyProtection="1">
      <alignment horizontal="center"/>
      <protection locked="0"/>
    </xf>
    <xf numFmtId="4" fontId="4" fillId="0" borderId="14" xfId="42" applyNumberFormat="1" applyFont="1" applyFill="1" applyBorder="1" applyAlignment="1" applyProtection="1">
      <alignment horizontal="center"/>
      <protection/>
    </xf>
    <xf numFmtId="4" fontId="4" fillId="0" borderId="18" xfId="42" applyNumberFormat="1" applyFont="1" applyFill="1" applyBorder="1" applyAlignment="1" applyProtection="1">
      <alignment horizontal="center"/>
      <protection/>
    </xf>
    <xf numFmtId="0" fontId="8" fillId="37" borderId="36" xfId="61" applyFont="1" applyFill="1" applyBorder="1" applyAlignment="1" applyProtection="1">
      <alignment horizontal="center" vertical="center"/>
      <protection/>
    </xf>
    <xf numFmtId="0" fontId="8" fillId="37" borderId="37" xfId="61" applyFont="1" applyFill="1" applyBorder="1" applyAlignment="1" applyProtection="1">
      <alignment horizontal="center" vertical="center"/>
      <protection/>
    </xf>
    <xf numFmtId="0" fontId="8" fillId="37" borderId="38" xfId="61" applyFont="1" applyFill="1" applyBorder="1" applyAlignment="1" applyProtection="1">
      <alignment horizontal="center" vertical="center"/>
      <protection/>
    </xf>
    <xf numFmtId="0" fontId="57" fillId="38" borderId="10" xfId="0" applyFont="1" applyFill="1" applyBorder="1" applyAlignment="1" applyProtection="1">
      <alignment horizontal="left"/>
      <protection locked="0"/>
    </xf>
    <xf numFmtId="0" fontId="57" fillId="38" borderId="0" xfId="0" applyFont="1" applyFill="1" applyBorder="1" applyAlignment="1" applyProtection="1">
      <alignment horizontal="left"/>
      <protection locked="0"/>
    </xf>
    <xf numFmtId="218" fontId="57" fillId="38" borderId="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199" fontId="52" fillId="0" borderId="0" xfId="0" applyNumberFormat="1" applyFont="1" applyFill="1" applyBorder="1" applyAlignment="1" applyProtection="1">
      <alignment horizontal="center"/>
      <protection/>
    </xf>
    <xf numFmtId="2" fontId="64" fillId="38" borderId="39" xfId="0" applyNumberFormat="1" applyFont="1" applyFill="1" applyBorder="1" applyAlignment="1" applyProtection="1">
      <alignment horizontal="center" vertical="center"/>
      <protection/>
    </xf>
    <xf numFmtId="2" fontId="64" fillId="38" borderId="40" xfId="0" applyNumberFormat="1" applyFont="1" applyFill="1" applyBorder="1" applyAlignment="1" applyProtection="1">
      <alignment horizontal="center" vertical="center"/>
      <protection/>
    </xf>
    <xf numFmtId="219" fontId="4" fillId="0" borderId="14" xfId="0" applyNumberFormat="1" applyFont="1" applyFill="1" applyBorder="1" applyAlignment="1">
      <alignment horizontal="center"/>
    </xf>
    <xf numFmtId="219" fontId="4" fillId="0" borderId="18" xfId="0" applyNumberFormat="1" applyFont="1" applyFill="1" applyBorder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/>
    </xf>
    <xf numFmtId="0" fontId="62" fillId="39" borderId="0" xfId="0" applyFont="1" applyFill="1" applyBorder="1" applyAlignment="1" applyProtection="1">
      <alignment horizontal="center"/>
      <protection/>
    </xf>
    <xf numFmtId="2" fontId="59" fillId="38" borderId="14" xfId="0" applyNumberFormat="1" applyFont="1" applyFill="1" applyBorder="1" applyAlignment="1" applyProtection="1">
      <alignment horizontal="center"/>
      <protection locked="0"/>
    </xf>
    <xf numFmtId="2" fontId="59" fillId="38" borderId="18" xfId="0" applyNumberFormat="1" applyFont="1" applyFill="1" applyBorder="1" applyAlignment="1" applyProtection="1">
      <alignment horizontal="center"/>
      <protection locked="0"/>
    </xf>
    <xf numFmtId="4" fontId="4" fillId="0" borderId="13" xfId="42" applyNumberFormat="1" applyFont="1" applyFill="1" applyBorder="1" applyAlignment="1" applyProtection="1">
      <alignment horizontal="center"/>
      <protection/>
    </xf>
    <xf numFmtId="1" fontId="52" fillId="0" borderId="0" xfId="0" applyNumberFormat="1" applyFont="1" applyFill="1" applyBorder="1" applyAlignment="1" applyProtection="1">
      <alignment horizontal="center"/>
      <protection/>
    </xf>
    <xf numFmtId="208" fontId="4" fillId="0" borderId="13" xfId="42" applyNumberFormat="1" applyFont="1" applyFill="1" applyBorder="1" applyAlignment="1" applyProtection="1">
      <alignment horizontal="center"/>
      <protection/>
    </xf>
    <xf numFmtId="208" fontId="4" fillId="0" borderId="14" xfId="42" applyNumberFormat="1" applyFont="1" applyFill="1" applyBorder="1" applyAlignment="1" applyProtection="1">
      <alignment horizontal="center"/>
      <protection/>
    </xf>
    <xf numFmtId="208" fontId="4" fillId="0" borderId="18" xfId="42" applyNumberFormat="1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3" fontId="4" fillId="0" borderId="13" xfId="42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43" fontId="4" fillId="0" borderId="13" xfId="42" applyNumberFormat="1" applyFont="1" applyFill="1" applyBorder="1" applyAlignment="1" applyProtection="1">
      <alignment horizontal="center" shrinkToFit="1"/>
      <protection/>
    </xf>
    <xf numFmtId="43" fontId="4" fillId="0" borderId="13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59" fillId="38" borderId="14" xfId="0" applyFont="1" applyFill="1" applyBorder="1" applyAlignment="1" applyProtection="1">
      <alignment horizontal="center"/>
      <protection locked="0"/>
    </xf>
    <xf numFmtId="0" fontId="59" fillId="38" borderId="18" xfId="0" applyFont="1" applyFill="1" applyBorder="1" applyAlignment="1" applyProtection="1">
      <alignment horizontal="center"/>
      <protection locked="0"/>
    </xf>
    <xf numFmtId="2" fontId="52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7" fillId="38" borderId="10" xfId="61" applyFont="1" applyFill="1" applyBorder="1" applyAlignment="1" applyProtection="1">
      <alignment horizontal="left" vertical="center"/>
      <protection locked="0"/>
    </xf>
    <xf numFmtId="0" fontId="57" fillId="38" borderId="0" xfId="61" applyFont="1" applyFill="1" applyBorder="1" applyAlignment="1" applyProtection="1">
      <alignment horizontal="left" vertical="center"/>
      <protection locked="0"/>
    </xf>
    <xf numFmtId="0" fontId="9" fillId="0" borderId="10" xfId="61" applyFont="1" applyFill="1" applyBorder="1" applyAlignment="1" applyProtection="1">
      <alignment horizontal="center" vertical="center"/>
      <protection/>
    </xf>
    <xf numFmtId="0" fontId="9" fillId="0" borderId="21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3" fontId="4" fillId="0" borderId="13" xfId="42" applyFont="1" applyFill="1" applyBorder="1" applyAlignment="1" applyProtection="1">
      <alignment horizontal="center" shrinkToFit="1"/>
      <protection/>
    </xf>
    <xf numFmtId="43" fontId="4" fillId="0" borderId="14" xfId="42" applyFont="1" applyFill="1" applyBorder="1" applyAlignment="1" applyProtection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6"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 patternType="solid">
          <bgColor rgb="FFFF0000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auto="1"/>
      </font>
      <fill>
        <patternFill>
          <fgColor indexed="64"/>
          <bgColor indexed="10"/>
        </patternFill>
      </fill>
    </dxf>
    <dxf>
      <font>
        <b/>
        <i val="0"/>
        <color auto="1"/>
      </font>
      <fill>
        <patternFill>
          <fgColor indexed="64"/>
          <bgColor indexed="10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C000"/>
          </stop>
        </gradient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/>
    </dxf>
    <dxf>
      <font>
        <b/>
        <i val="0"/>
        <color auto="1"/>
      </font>
      <fill>
        <patternFill patternType="solid"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19</xdr:row>
      <xdr:rowOff>9525</xdr:rowOff>
    </xdr:from>
    <xdr:to>
      <xdr:col>16</xdr:col>
      <xdr:colOff>352425</xdr:colOff>
      <xdr:row>23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5667375" y="2724150"/>
          <a:ext cx="107632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96</xdr:row>
      <xdr:rowOff>85725</xdr:rowOff>
    </xdr:from>
    <xdr:to>
      <xdr:col>21</xdr:col>
      <xdr:colOff>219075</xdr:colOff>
      <xdr:row>116</xdr:row>
      <xdr:rowOff>19050</xdr:rowOff>
    </xdr:to>
    <xdr:grpSp>
      <xdr:nvGrpSpPr>
        <xdr:cNvPr id="2" name="Group 205"/>
        <xdr:cNvGrpSpPr>
          <a:grpSpLocks/>
        </xdr:cNvGrpSpPr>
      </xdr:nvGrpSpPr>
      <xdr:grpSpPr>
        <a:xfrm>
          <a:off x="1028700" y="13801725"/>
          <a:ext cx="7439025" cy="2790825"/>
          <a:chOff x="1031875" y="14309725"/>
          <a:chExt cx="7430176" cy="2896658"/>
        </a:xfrm>
        <a:solidFill>
          <a:srgbClr val="FFFFFF"/>
        </a:solidFill>
      </xdr:grpSpPr>
      <xdr:grpSp>
        <xdr:nvGrpSpPr>
          <xdr:cNvPr id="3" name="Group 37"/>
          <xdr:cNvGrpSpPr>
            <a:grpSpLocks/>
          </xdr:cNvGrpSpPr>
        </xdr:nvGrpSpPr>
        <xdr:grpSpPr>
          <a:xfrm>
            <a:off x="1031875" y="14846331"/>
            <a:ext cx="670573" cy="658266"/>
            <a:chOff x="1024493" y="8912663"/>
            <a:chExt cx="651976" cy="630006"/>
          </a:xfrm>
          <a:solidFill>
            <a:srgbClr val="FFFFFF"/>
          </a:solidFill>
        </xdr:grpSpPr>
        <xdr:sp>
          <xdr:nvSpPr>
            <xdr:cNvPr id="4" name="Rectangle 38"/>
            <xdr:cNvSpPr>
              <a:spLocks/>
            </xdr:cNvSpPr>
          </xdr:nvSpPr>
          <xdr:spPr>
            <a:xfrm>
              <a:off x="1310873" y="8910459"/>
              <a:ext cx="230962" cy="634259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" name="Straight Connector 39"/>
            <xdr:cNvSpPr>
              <a:spLocks/>
            </xdr:cNvSpPr>
          </xdr:nvSpPr>
          <xdr:spPr>
            <a:xfrm rot="10800000">
              <a:off x="1024493" y="9014409"/>
              <a:ext cx="6558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" name="Straight Connector 40"/>
            <xdr:cNvSpPr>
              <a:spLocks/>
            </xdr:cNvSpPr>
          </xdr:nvSpPr>
          <xdr:spPr>
            <a:xfrm rot="10800000">
              <a:off x="1024493" y="9459351"/>
              <a:ext cx="6558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" name="Straight Arrow Connector 41"/>
            <xdr:cNvSpPr>
              <a:spLocks/>
            </xdr:cNvSpPr>
          </xdr:nvSpPr>
          <xdr:spPr>
            <a:xfrm rot="5400000">
              <a:off x="1203786" y="9241684"/>
              <a:ext cx="45442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8" name="Group 43"/>
          <xdr:cNvGrpSpPr>
            <a:grpSpLocks/>
          </xdr:cNvGrpSpPr>
        </xdr:nvGrpSpPr>
        <xdr:grpSpPr>
          <a:xfrm>
            <a:off x="1721024" y="15642912"/>
            <a:ext cx="5290285" cy="1563471"/>
            <a:chOff x="1724583" y="9753388"/>
            <a:chExt cx="5338721" cy="1496687"/>
          </a:xfrm>
          <a:solidFill>
            <a:srgbClr val="FFFFFF"/>
          </a:solidFill>
        </xdr:grpSpPr>
        <xdr:sp>
          <xdr:nvSpPr>
            <xdr:cNvPr id="9" name="Rectangle 44"/>
            <xdr:cNvSpPr>
              <a:spLocks/>
            </xdr:cNvSpPr>
          </xdr:nvSpPr>
          <xdr:spPr>
            <a:xfrm>
              <a:off x="1728587" y="10256649"/>
              <a:ext cx="5332048" cy="662284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" name="Straight Connector 45"/>
            <xdr:cNvSpPr>
              <a:spLocks/>
            </xdr:cNvSpPr>
          </xdr:nvSpPr>
          <xdr:spPr>
            <a:xfrm rot="5400000">
              <a:off x="1115970" y="10483771"/>
              <a:ext cx="145747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" name="Straight Connector 46"/>
            <xdr:cNvSpPr>
              <a:spLocks/>
            </xdr:cNvSpPr>
          </xdr:nvSpPr>
          <xdr:spPr>
            <a:xfrm rot="5400000">
              <a:off x="6235802" y="10502480"/>
              <a:ext cx="14948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2" name="Straight Arrow Connector 47"/>
            <xdr:cNvSpPr>
              <a:spLocks/>
            </xdr:cNvSpPr>
          </xdr:nvSpPr>
          <xdr:spPr>
            <a:xfrm>
              <a:off x="1852712" y="11155410"/>
              <a:ext cx="5139854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" name="Straight Arrow Connector 48"/>
            <xdr:cNvSpPr>
              <a:spLocks/>
            </xdr:cNvSpPr>
          </xdr:nvSpPr>
          <xdr:spPr>
            <a:xfrm>
              <a:off x="1852712" y="10133546"/>
              <a:ext cx="1294640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" name="Straight Arrow Connector 49"/>
            <xdr:cNvSpPr>
              <a:spLocks/>
            </xdr:cNvSpPr>
          </xdr:nvSpPr>
          <xdr:spPr>
            <a:xfrm>
              <a:off x="5612507" y="10133546"/>
              <a:ext cx="13707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5" name="Group 157"/>
          <xdr:cNvGrpSpPr>
            <a:grpSpLocks/>
          </xdr:cNvGrpSpPr>
        </xdr:nvGrpSpPr>
        <xdr:grpSpPr>
          <a:xfrm>
            <a:off x="2993441" y="14605908"/>
            <a:ext cx="425378" cy="483742"/>
            <a:chOff x="2984149" y="8785974"/>
            <a:chExt cx="428573" cy="464840"/>
          </a:xfrm>
          <a:solidFill>
            <a:srgbClr val="FFFFFF"/>
          </a:solidFill>
        </xdr:grpSpPr>
        <xdr:sp>
          <xdr:nvSpPr>
            <xdr:cNvPr id="16" name="Oval 239"/>
            <xdr:cNvSpPr>
              <a:spLocks/>
            </xdr:cNvSpPr>
          </xdr:nvSpPr>
          <xdr:spPr>
            <a:xfrm>
              <a:off x="2984149" y="9108805"/>
              <a:ext cx="143572" cy="142357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7" name="Group 154"/>
            <xdr:cNvGrpSpPr>
              <a:grpSpLocks/>
            </xdr:cNvGrpSpPr>
          </xdr:nvGrpSpPr>
          <xdr:grpSpPr>
            <a:xfrm>
              <a:off x="3060328" y="8785974"/>
              <a:ext cx="352394" cy="322483"/>
              <a:chOff x="2622725" y="8670647"/>
              <a:chExt cx="789257" cy="676710"/>
            </a:xfrm>
            <a:solidFill>
              <a:srgbClr val="FFFFFF"/>
            </a:solidFill>
          </xdr:grpSpPr>
          <xdr:sp>
            <xdr:nvSpPr>
              <xdr:cNvPr id="18" name="Straight Arrow Connector 241"/>
              <xdr:cNvSpPr>
                <a:spLocks/>
              </xdr:cNvSpPr>
            </xdr:nvSpPr>
            <xdr:spPr>
              <a:xfrm rot="5400000" flipH="1" flipV="1">
                <a:off x="2274664" y="9009340"/>
                <a:ext cx="677183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9" name="Straight Connector 242"/>
              <xdr:cNvSpPr>
                <a:spLocks/>
              </xdr:cNvSpPr>
            </xdr:nvSpPr>
            <xdr:spPr>
              <a:xfrm>
                <a:off x="2622725" y="8670816"/>
                <a:ext cx="79300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grpSp>
        <xdr:nvGrpSpPr>
          <xdr:cNvPr id="20" name="Group 158"/>
          <xdr:cNvGrpSpPr>
            <a:grpSpLocks/>
          </xdr:cNvGrpSpPr>
        </xdr:nvGrpSpPr>
        <xdr:grpSpPr>
          <a:xfrm>
            <a:off x="6533920" y="14596494"/>
            <a:ext cx="579554" cy="493880"/>
            <a:chOff x="2982790" y="8776467"/>
            <a:chExt cx="576589" cy="474319"/>
          </a:xfrm>
          <a:solidFill>
            <a:srgbClr val="FFFFFF"/>
          </a:solidFill>
        </xdr:grpSpPr>
        <xdr:sp>
          <xdr:nvSpPr>
            <xdr:cNvPr id="21" name="Oval 235"/>
            <xdr:cNvSpPr>
              <a:spLocks/>
            </xdr:cNvSpPr>
          </xdr:nvSpPr>
          <xdr:spPr>
            <a:xfrm>
              <a:off x="2982790" y="9108727"/>
              <a:ext cx="141697" cy="142414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22" name="Group 154"/>
            <xdr:cNvGrpSpPr>
              <a:grpSpLocks/>
            </xdr:cNvGrpSpPr>
          </xdr:nvGrpSpPr>
          <xdr:grpSpPr>
            <a:xfrm>
              <a:off x="3058467" y="8776467"/>
              <a:ext cx="500912" cy="332023"/>
              <a:chOff x="2618404" y="8650693"/>
              <a:chExt cx="1122061" cy="696609"/>
            </a:xfrm>
            <a:solidFill>
              <a:srgbClr val="FFFFFF"/>
            </a:solidFill>
          </xdr:grpSpPr>
          <xdr:sp>
            <xdr:nvSpPr>
              <xdr:cNvPr id="23" name="Straight Arrow Connector 237"/>
              <xdr:cNvSpPr>
                <a:spLocks/>
              </xdr:cNvSpPr>
            </xdr:nvSpPr>
            <xdr:spPr>
              <a:xfrm rot="5400000" flipH="1" flipV="1">
                <a:off x="2268041" y="8999172"/>
                <a:ext cx="697080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24" name="Straight Connector 238"/>
              <xdr:cNvSpPr>
                <a:spLocks/>
              </xdr:cNvSpPr>
            </xdr:nvSpPr>
            <xdr:spPr>
              <a:xfrm>
                <a:off x="2618404" y="8650693"/>
                <a:ext cx="11209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grpSp>
        <xdr:nvGrpSpPr>
          <xdr:cNvPr id="25" name="Group 97"/>
          <xdr:cNvGrpSpPr>
            <a:grpSpLocks/>
          </xdr:cNvGrpSpPr>
        </xdr:nvGrpSpPr>
        <xdr:grpSpPr>
          <a:xfrm>
            <a:off x="2547631" y="14337967"/>
            <a:ext cx="863758" cy="703164"/>
            <a:chOff x="2633058" y="8689065"/>
            <a:chExt cx="871652" cy="685377"/>
          </a:xfrm>
          <a:solidFill>
            <a:srgbClr val="FFFFFF"/>
          </a:solidFill>
        </xdr:grpSpPr>
        <xdr:sp>
          <xdr:nvSpPr>
            <xdr:cNvPr id="26" name="Straight Arrow Connector 233"/>
            <xdr:cNvSpPr>
              <a:spLocks/>
            </xdr:cNvSpPr>
          </xdr:nvSpPr>
          <xdr:spPr>
            <a:xfrm rot="5400000" flipH="1" flipV="1">
              <a:off x="2295730" y="9032782"/>
              <a:ext cx="68424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7" name="Straight Connector 234"/>
            <xdr:cNvSpPr>
              <a:spLocks/>
            </xdr:cNvSpPr>
          </xdr:nvSpPr>
          <xdr:spPr>
            <a:xfrm>
              <a:off x="2637634" y="8690607"/>
              <a:ext cx="8622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28" name="Group 98"/>
          <xdr:cNvGrpSpPr>
            <a:grpSpLocks/>
          </xdr:cNvGrpSpPr>
        </xdr:nvGrpSpPr>
        <xdr:grpSpPr>
          <a:xfrm>
            <a:off x="6340736" y="14309725"/>
            <a:ext cx="783884" cy="740820"/>
            <a:chOff x="2628368" y="8679340"/>
            <a:chExt cx="428496" cy="741333"/>
          </a:xfrm>
          <a:solidFill>
            <a:srgbClr val="FFFFFF"/>
          </a:solidFill>
        </xdr:grpSpPr>
        <xdr:sp>
          <xdr:nvSpPr>
            <xdr:cNvPr id="29" name="Straight Arrow Connector 231"/>
            <xdr:cNvSpPr>
              <a:spLocks/>
            </xdr:cNvSpPr>
          </xdr:nvSpPr>
          <xdr:spPr>
            <a:xfrm rot="5400000" flipH="1" flipV="1">
              <a:off x="2259327" y="9050377"/>
              <a:ext cx="742262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0" name="Straight Connector 232"/>
            <xdr:cNvSpPr>
              <a:spLocks/>
            </xdr:cNvSpPr>
          </xdr:nvSpPr>
          <xdr:spPr>
            <a:xfrm>
              <a:off x="2630403" y="8679340"/>
              <a:ext cx="4262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1" name="Group 262"/>
          <xdr:cNvGrpSpPr>
            <a:grpSpLocks/>
          </xdr:cNvGrpSpPr>
        </xdr:nvGrpSpPr>
        <xdr:grpSpPr>
          <a:xfrm rot="10800000" flipH="1">
            <a:off x="3264643" y="15268519"/>
            <a:ext cx="865616" cy="692301"/>
            <a:chOff x="2637025" y="8686021"/>
            <a:chExt cx="741267" cy="689554"/>
          </a:xfrm>
          <a:solidFill>
            <a:srgbClr val="FFFFFF"/>
          </a:solidFill>
        </xdr:grpSpPr>
        <xdr:sp>
          <xdr:nvSpPr>
            <xdr:cNvPr id="32" name="Straight Arrow Connector 263"/>
            <xdr:cNvSpPr>
              <a:spLocks/>
            </xdr:cNvSpPr>
          </xdr:nvSpPr>
          <xdr:spPr>
            <a:xfrm rot="5400000" flipH="1" flipV="1">
              <a:off x="2292522" y="9030798"/>
              <a:ext cx="689564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3" name="Straight Connector 264"/>
            <xdr:cNvSpPr>
              <a:spLocks/>
            </xdr:cNvSpPr>
          </xdr:nvSpPr>
          <xdr:spPr>
            <a:xfrm rot="10800000" flipH="1">
              <a:off x="2645179" y="8686021"/>
              <a:ext cx="7331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34" name="Straight Connector 269"/>
          <xdr:cNvSpPr>
            <a:spLocks/>
          </xdr:cNvSpPr>
        </xdr:nvSpPr>
        <xdr:spPr>
          <a:xfrm rot="5400000">
            <a:off x="2722240" y="15847126"/>
            <a:ext cx="80060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Straight Connector 273"/>
          <xdr:cNvSpPr>
            <a:spLocks/>
          </xdr:cNvSpPr>
        </xdr:nvSpPr>
        <xdr:spPr>
          <a:xfrm rot="5400000">
            <a:off x="5183486" y="15827574"/>
            <a:ext cx="80060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Oval 243"/>
          <xdr:cNvSpPr>
            <a:spLocks/>
          </xdr:cNvSpPr>
        </xdr:nvSpPr>
        <xdr:spPr>
          <a:xfrm rot="10800000" flipH="1">
            <a:off x="3636152" y="15229414"/>
            <a:ext cx="152319" cy="15786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37" name="Group 154"/>
          <xdr:cNvGrpSpPr>
            <a:grpSpLocks/>
          </xdr:cNvGrpSpPr>
        </xdr:nvGrpSpPr>
        <xdr:grpSpPr>
          <a:xfrm rot="10800000" flipH="1">
            <a:off x="3701166" y="15387282"/>
            <a:ext cx="412375" cy="257078"/>
            <a:chOff x="2347582" y="8867894"/>
            <a:chExt cx="900367" cy="459713"/>
          </a:xfrm>
          <a:solidFill>
            <a:srgbClr val="FFFFFF"/>
          </a:solidFill>
        </xdr:grpSpPr>
        <xdr:sp>
          <xdr:nvSpPr>
            <xdr:cNvPr id="38" name="Straight Arrow Connector 245"/>
            <xdr:cNvSpPr>
              <a:spLocks/>
            </xdr:cNvSpPr>
          </xdr:nvSpPr>
          <xdr:spPr>
            <a:xfrm rot="5400000" flipH="1">
              <a:off x="2117989" y="9097751"/>
              <a:ext cx="45963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9" name="Straight Connector 246"/>
            <xdr:cNvSpPr>
              <a:spLocks/>
            </xdr:cNvSpPr>
          </xdr:nvSpPr>
          <xdr:spPr>
            <a:xfrm rot="10800000" flipH="1">
              <a:off x="2356361" y="8867894"/>
              <a:ext cx="8915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40" name="Straight Connector 181"/>
          <xdr:cNvSpPr>
            <a:spLocks/>
          </xdr:cNvSpPr>
        </xdr:nvSpPr>
        <xdr:spPr>
          <a:xfrm>
            <a:off x="1696876" y="14952059"/>
            <a:ext cx="6414099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182"/>
          <xdr:cNvSpPr>
            <a:spLocks/>
          </xdr:cNvSpPr>
        </xdr:nvSpPr>
        <xdr:spPr>
          <a:xfrm rot="5400000">
            <a:off x="1351373" y="15298210"/>
            <a:ext cx="692864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183"/>
          <xdr:cNvSpPr>
            <a:spLocks/>
          </xdr:cNvSpPr>
        </xdr:nvSpPr>
        <xdr:spPr>
          <a:xfrm>
            <a:off x="1971792" y="15427111"/>
            <a:ext cx="4837045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Straight Connector 185"/>
          <xdr:cNvSpPr>
            <a:spLocks/>
          </xdr:cNvSpPr>
        </xdr:nvSpPr>
        <xdr:spPr>
          <a:xfrm>
            <a:off x="1745172" y="15041131"/>
            <a:ext cx="138758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186"/>
          <xdr:cNvSpPr>
            <a:spLocks/>
          </xdr:cNvSpPr>
        </xdr:nvSpPr>
        <xdr:spPr>
          <a:xfrm>
            <a:off x="5554995" y="15051269"/>
            <a:ext cx="254669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187"/>
          <xdr:cNvSpPr>
            <a:spLocks/>
          </xdr:cNvSpPr>
        </xdr:nvSpPr>
        <xdr:spPr>
          <a:xfrm rot="5400000">
            <a:off x="1531554" y="15254036"/>
            <a:ext cx="425378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188"/>
          <xdr:cNvSpPr>
            <a:spLocks/>
          </xdr:cNvSpPr>
        </xdr:nvSpPr>
        <xdr:spPr>
          <a:xfrm>
            <a:off x="7094899" y="15427111"/>
            <a:ext cx="1025364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189"/>
          <xdr:cNvSpPr>
            <a:spLocks/>
          </xdr:cNvSpPr>
        </xdr:nvSpPr>
        <xdr:spPr>
          <a:xfrm rot="5400000">
            <a:off x="1878915" y="15530666"/>
            <a:ext cx="208045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190"/>
          <xdr:cNvSpPr>
            <a:spLocks/>
          </xdr:cNvSpPr>
        </xdr:nvSpPr>
        <xdr:spPr>
          <a:xfrm rot="5400000">
            <a:off x="6701099" y="15525597"/>
            <a:ext cx="21733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191"/>
          <xdr:cNvSpPr>
            <a:spLocks/>
          </xdr:cNvSpPr>
        </xdr:nvSpPr>
        <xdr:spPr>
          <a:xfrm rot="5400000">
            <a:off x="7000164" y="15530666"/>
            <a:ext cx="208045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192"/>
          <xdr:cNvSpPr>
            <a:spLocks/>
          </xdr:cNvSpPr>
        </xdr:nvSpPr>
        <xdr:spPr>
          <a:xfrm>
            <a:off x="1620716" y="15634222"/>
            <a:ext cx="43652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193"/>
          <xdr:cNvSpPr>
            <a:spLocks/>
          </xdr:cNvSpPr>
        </xdr:nvSpPr>
        <xdr:spPr>
          <a:xfrm>
            <a:off x="6753111" y="15634222"/>
            <a:ext cx="445811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194"/>
          <xdr:cNvSpPr>
            <a:spLocks/>
          </xdr:cNvSpPr>
        </xdr:nvSpPr>
        <xdr:spPr>
          <a:xfrm rot="5400000">
            <a:off x="7759899" y="15184516"/>
            <a:ext cx="702152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53" name="Group 198"/>
          <xdr:cNvGrpSpPr>
            <a:grpSpLocks/>
          </xdr:cNvGrpSpPr>
        </xdr:nvGrpSpPr>
        <xdr:grpSpPr>
          <a:xfrm>
            <a:off x="1797183" y="15130203"/>
            <a:ext cx="6304504" cy="138315"/>
            <a:chOff x="1789588" y="15101453"/>
            <a:chExt cx="6336932" cy="137243"/>
          </a:xfrm>
          <a:solidFill>
            <a:srgbClr val="FFFFFF"/>
          </a:solidFill>
        </xdr:grpSpPr>
        <xdr:sp>
          <xdr:nvSpPr>
            <xdr:cNvPr id="54" name="Straight Connector 184"/>
            <xdr:cNvSpPr>
              <a:spLocks/>
            </xdr:cNvSpPr>
          </xdr:nvSpPr>
          <xdr:spPr>
            <a:xfrm>
              <a:off x="1794341" y="15238868"/>
              <a:ext cx="6332179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5" name="Straight Connector 195"/>
            <xdr:cNvSpPr>
              <a:spLocks/>
            </xdr:cNvSpPr>
          </xdr:nvSpPr>
          <xdr:spPr>
            <a:xfrm rot="5400000">
              <a:off x="1730972" y="15165237"/>
              <a:ext cx="128323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56" name="Group 113"/>
          <xdr:cNvGrpSpPr>
            <a:grpSpLocks/>
          </xdr:cNvGrpSpPr>
        </xdr:nvGrpSpPr>
        <xdr:grpSpPr>
          <a:xfrm>
            <a:off x="1947644" y="14972336"/>
            <a:ext cx="1125672" cy="58657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57" name="Oval 227"/>
            <xdr:cNvSpPr>
              <a:spLocks/>
            </xdr:cNvSpPr>
          </xdr:nvSpPr>
          <xdr:spPr>
            <a:xfrm>
              <a:off x="1932549" y="9382767"/>
              <a:ext cx="57922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8" name="Oval 228"/>
            <xdr:cNvSpPr>
              <a:spLocks/>
            </xdr:cNvSpPr>
          </xdr:nvSpPr>
          <xdr:spPr>
            <a:xfrm>
              <a:off x="2285502" y="9382767"/>
              <a:ext cx="48221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9" name="Oval 229"/>
            <xdr:cNvSpPr>
              <a:spLocks/>
            </xdr:cNvSpPr>
          </xdr:nvSpPr>
          <xdr:spPr>
            <a:xfrm>
              <a:off x="2661281" y="9382767"/>
              <a:ext cx="57922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0" name="Oval 230"/>
            <xdr:cNvSpPr>
              <a:spLocks/>
            </xdr:cNvSpPr>
          </xdr:nvSpPr>
          <xdr:spPr>
            <a:xfrm>
              <a:off x="3017942" y="9392853"/>
              <a:ext cx="57922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1" name="Group 126"/>
          <xdr:cNvGrpSpPr>
            <a:grpSpLocks/>
          </xdr:cNvGrpSpPr>
        </xdr:nvGrpSpPr>
        <xdr:grpSpPr>
          <a:xfrm>
            <a:off x="5854059" y="14976681"/>
            <a:ext cx="2089737" cy="60830"/>
            <a:chOff x="5814353" y="9375529"/>
            <a:chExt cx="2112871" cy="65723"/>
          </a:xfrm>
          <a:solidFill>
            <a:srgbClr val="FFFFFF"/>
          </a:solidFill>
        </xdr:grpSpPr>
        <xdr:sp>
          <xdr:nvSpPr>
            <xdr:cNvPr id="62" name="Oval 217"/>
            <xdr:cNvSpPr>
              <a:spLocks/>
            </xdr:cNvSpPr>
          </xdr:nvSpPr>
          <xdr:spPr>
            <a:xfrm>
              <a:off x="5814353" y="9370913"/>
              <a:ext cx="57576" cy="64179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3" name="Oval 218"/>
            <xdr:cNvSpPr>
              <a:spLocks/>
            </xdr:cNvSpPr>
          </xdr:nvSpPr>
          <xdr:spPr>
            <a:xfrm>
              <a:off x="6165618" y="9370913"/>
              <a:ext cx="48068" cy="64179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4" name="Oval 219"/>
            <xdr:cNvSpPr>
              <a:spLocks/>
            </xdr:cNvSpPr>
          </xdr:nvSpPr>
          <xdr:spPr>
            <a:xfrm>
              <a:off x="6540124" y="9381592"/>
              <a:ext cx="57576" cy="5348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5" name="Oval 220"/>
            <xdr:cNvSpPr>
              <a:spLocks/>
            </xdr:cNvSpPr>
          </xdr:nvSpPr>
          <xdr:spPr>
            <a:xfrm>
              <a:off x="7155498" y="9381592"/>
              <a:ext cx="48068" cy="64179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6" name="Oval 221"/>
            <xdr:cNvSpPr>
              <a:spLocks/>
            </xdr:cNvSpPr>
          </xdr:nvSpPr>
          <xdr:spPr>
            <a:xfrm>
              <a:off x="7510988" y="9381592"/>
              <a:ext cx="57576" cy="64179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7" name="Oval 222"/>
            <xdr:cNvSpPr>
              <a:spLocks/>
            </xdr:cNvSpPr>
          </xdr:nvSpPr>
          <xdr:spPr>
            <a:xfrm>
              <a:off x="7866479" y="9381592"/>
              <a:ext cx="57576" cy="64179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68" name="Oval 284"/>
          <xdr:cNvSpPr>
            <a:spLocks/>
          </xdr:cNvSpPr>
        </xdr:nvSpPr>
        <xdr:spPr>
          <a:xfrm>
            <a:off x="5850344" y="14972336"/>
            <a:ext cx="57584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Oval 285"/>
          <xdr:cNvSpPr>
            <a:spLocks/>
          </xdr:cNvSpPr>
        </xdr:nvSpPr>
        <xdr:spPr>
          <a:xfrm>
            <a:off x="5554995" y="14972336"/>
            <a:ext cx="48296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70" name="Group 113"/>
          <xdr:cNvGrpSpPr>
            <a:grpSpLocks/>
          </xdr:cNvGrpSpPr>
        </xdr:nvGrpSpPr>
        <xdr:grpSpPr>
          <a:xfrm>
            <a:off x="1938356" y="15268519"/>
            <a:ext cx="1125672" cy="58657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71" name="Oval 199"/>
            <xdr:cNvSpPr>
              <a:spLocks/>
            </xdr:cNvSpPr>
          </xdr:nvSpPr>
          <xdr:spPr>
            <a:xfrm>
              <a:off x="1932549" y="9383125"/>
              <a:ext cx="57922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2" name="Oval 200"/>
            <xdr:cNvSpPr>
              <a:spLocks/>
            </xdr:cNvSpPr>
          </xdr:nvSpPr>
          <xdr:spPr>
            <a:xfrm>
              <a:off x="2285787" y="9383125"/>
              <a:ext cx="48221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3" name="Oval 201"/>
            <xdr:cNvSpPr>
              <a:spLocks/>
            </xdr:cNvSpPr>
          </xdr:nvSpPr>
          <xdr:spPr>
            <a:xfrm>
              <a:off x="2661566" y="9383125"/>
              <a:ext cx="57922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4" name="Oval 236"/>
            <xdr:cNvSpPr>
              <a:spLocks/>
            </xdr:cNvSpPr>
          </xdr:nvSpPr>
          <xdr:spPr>
            <a:xfrm>
              <a:off x="3018228" y="9393227"/>
              <a:ext cx="57922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5" name="Group 113"/>
          <xdr:cNvGrpSpPr>
            <a:grpSpLocks/>
          </xdr:cNvGrpSpPr>
        </xdr:nvGrpSpPr>
        <xdr:grpSpPr>
          <a:xfrm>
            <a:off x="3331514" y="15277933"/>
            <a:ext cx="1129387" cy="58657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76" name="Oval 244"/>
            <xdr:cNvSpPr>
              <a:spLocks/>
            </xdr:cNvSpPr>
          </xdr:nvSpPr>
          <xdr:spPr>
            <a:xfrm>
              <a:off x="1932549" y="9383664"/>
              <a:ext cx="57637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7" name="Oval 247"/>
            <xdr:cNvSpPr>
              <a:spLocks/>
            </xdr:cNvSpPr>
          </xdr:nvSpPr>
          <xdr:spPr>
            <a:xfrm>
              <a:off x="2287499" y="9383664"/>
              <a:ext cx="47935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8" name="Oval 248"/>
            <xdr:cNvSpPr>
              <a:spLocks/>
            </xdr:cNvSpPr>
          </xdr:nvSpPr>
          <xdr:spPr>
            <a:xfrm>
              <a:off x="2662137" y="9383664"/>
              <a:ext cx="57637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9" name="Oval 249"/>
            <xdr:cNvSpPr>
              <a:spLocks/>
            </xdr:cNvSpPr>
          </xdr:nvSpPr>
          <xdr:spPr>
            <a:xfrm>
              <a:off x="3017372" y="9393766"/>
              <a:ext cx="57637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80" name="Group 113"/>
          <xdr:cNvGrpSpPr>
            <a:grpSpLocks/>
          </xdr:cNvGrpSpPr>
        </xdr:nvGrpSpPr>
        <xdr:grpSpPr>
          <a:xfrm>
            <a:off x="4791544" y="15277933"/>
            <a:ext cx="1129387" cy="58657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81" name="Oval 256"/>
            <xdr:cNvSpPr>
              <a:spLocks/>
            </xdr:cNvSpPr>
          </xdr:nvSpPr>
          <xdr:spPr>
            <a:xfrm>
              <a:off x="1936544" y="9383664"/>
              <a:ext cx="57637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2" name="Oval 257"/>
            <xdr:cNvSpPr>
              <a:spLocks/>
            </xdr:cNvSpPr>
          </xdr:nvSpPr>
          <xdr:spPr>
            <a:xfrm>
              <a:off x="2282363" y="9383664"/>
              <a:ext cx="47935" cy="6059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3" name="Oval 258"/>
            <xdr:cNvSpPr>
              <a:spLocks/>
            </xdr:cNvSpPr>
          </xdr:nvSpPr>
          <xdr:spPr>
            <a:xfrm>
              <a:off x="2656715" y="9383664"/>
              <a:ext cx="57637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4" name="Oval 259"/>
            <xdr:cNvSpPr>
              <a:spLocks/>
            </xdr:cNvSpPr>
          </xdr:nvSpPr>
          <xdr:spPr>
            <a:xfrm>
              <a:off x="3011950" y="9393766"/>
              <a:ext cx="57637" cy="50494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85" name="Oval 261"/>
          <xdr:cNvSpPr>
            <a:spLocks/>
          </xdr:cNvSpPr>
        </xdr:nvSpPr>
        <xdr:spPr>
          <a:xfrm>
            <a:off x="6238571" y="15278657"/>
            <a:ext cx="57584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6" name="Oval 262"/>
          <xdr:cNvSpPr>
            <a:spLocks/>
          </xdr:cNvSpPr>
        </xdr:nvSpPr>
        <xdr:spPr>
          <a:xfrm>
            <a:off x="6591504" y="15278657"/>
            <a:ext cx="48296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Oval 265"/>
          <xdr:cNvSpPr>
            <a:spLocks/>
          </xdr:cNvSpPr>
        </xdr:nvSpPr>
        <xdr:spPr>
          <a:xfrm>
            <a:off x="7171058" y="15278657"/>
            <a:ext cx="57584" cy="49243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Oval 266"/>
          <xdr:cNvSpPr>
            <a:spLocks/>
          </xdr:cNvSpPr>
        </xdr:nvSpPr>
        <xdr:spPr>
          <a:xfrm>
            <a:off x="7549997" y="15268519"/>
            <a:ext cx="48296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Oval 267"/>
          <xdr:cNvSpPr>
            <a:spLocks/>
          </xdr:cNvSpPr>
        </xdr:nvSpPr>
        <xdr:spPr>
          <a:xfrm>
            <a:off x="7921506" y="15278657"/>
            <a:ext cx="57584" cy="5938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59</xdr:row>
      <xdr:rowOff>47625</xdr:rowOff>
    </xdr:from>
    <xdr:to>
      <xdr:col>21</xdr:col>
      <xdr:colOff>219075</xdr:colOff>
      <xdr:row>78</xdr:row>
      <xdr:rowOff>104775</xdr:rowOff>
    </xdr:to>
    <xdr:grpSp>
      <xdr:nvGrpSpPr>
        <xdr:cNvPr id="90" name="Group 301"/>
        <xdr:cNvGrpSpPr>
          <a:grpSpLocks/>
        </xdr:cNvGrpSpPr>
      </xdr:nvGrpSpPr>
      <xdr:grpSpPr>
        <a:xfrm>
          <a:off x="1019175" y="8477250"/>
          <a:ext cx="7448550" cy="2771775"/>
          <a:chOff x="1017814" y="8878661"/>
          <a:chExt cx="7389347" cy="2901043"/>
        </a:xfrm>
        <a:solidFill>
          <a:srgbClr val="FFFFFF"/>
        </a:solidFill>
      </xdr:grpSpPr>
      <xdr:grpSp>
        <xdr:nvGrpSpPr>
          <xdr:cNvPr id="91" name="Group 31"/>
          <xdr:cNvGrpSpPr>
            <a:grpSpLocks/>
          </xdr:cNvGrpSpPr>
        </xdr:nvGrpSpPr>
        <xdr:grpSpPr>
          <a:xfrm>
            <a:off x="1017814" y="9413178"/>
            <a:ext cx="661347" cy="672317"/>
            <a:chOff x="1024493" y="8912663"/>
            <a:chExt cx="651976" cy="630006"/>
          </a:xfrm>
          <a:solidFill>
            <a:srgbClr val="FFFFFF"/>
          </a:solidFill>
        </xdr:grpSpPr>
        <xdr:sp>
          <xdr:nvSpPr>
            <xdr:cNvPr id="92" name="Rectangle 11"/>
            <xdr:cNvSpPr>
              <a:spLocks/>
            </xdr:cNvSpPr>
          </xdr:nvSpPr>
          <xdr:spPr>
            <a:xfrm>
              <a:off x="1331574" y="8915971"/>
              <a:ext cx="223302" cy="626068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3" name="Straight Connector 13"/>
            <xdr:cNvSpPr>
              <a:spLocks/>
            </xdr:cNvSpPr>
          </xdr:nvSpPr>
          <xdr:spPr>
            <a:xfrm rot="10800000">
              <a:off x="1024493" y="9018819"/>
              <a:ext cx="6513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4" name="Straight Connector 15"/>
            <xdr:cNvSpPr>
              <a:spLocks/>
            </xdr:cNvSpPr>
          </xdr:nvSpPr>
          <xdr:spPr>
            <a:xfrm rot="10800000">
              <a:off x="1024493" y="9457933"/>
              <a:ext cx="6513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5" name="Straight Arrow Connector 19"/>
            <xdr:cNvSpPr>
              <a:spLocks/>
            </xdr:cNvSpPr>
          </xdr:nvSpPr>
          <xdr:spPr>
            <a:xfrm rot="5400000">
              <a:off x="1200364" y="9243101"/>
              <a:ext cx="448559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96" name="Group 42"/>
          <xdr:cNvGrpSpPr>
            <a:grpSpLocks/>
          </xdr:cNvGrpSpPr>
        </xdr:nvGrpSpPr>
        <xdr:grpSpPr>
          <a:xfrm>
            <a:off x="1727191" y="10225470"/>
            <a:ext cx="5257520" cy="1554234"/>
            <a:chOff x="1724583" y="9761239"/>
            <a:chExt cx="5338721" cy="1492416"/>
          </a:xfrm>
          <a:solidFill>
            <a:srgbClr val="FFFFFF"/>
          </a:solidFill>
        </xdr:grpSpPr>
        <xdr:sp>
          <xdr:nvSpPr>
            <xdr:cNvPr id="97" name="Rectangle 20"/>
            <xdr:cNvSpPr>
              <a:spLocks/>
            </xdr:cNvSpPr>
          </xdr:nvSpPr>
          <xdr:spPr>
            <a:xfrm>
              <a:off x="1724583" y="10248513"/>
              <a:ext cx="5337386" cy="679795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8" name="Straight Connector 22"/>
            <xdr:cNvSpPr>
              <a:spLocks/>
            </xdr:cNvSpPr>
          </xdr:nvSpPr>
          <xdr:spPr>
            <a:xfrm rot="5400000">
              <a:off x="1121309" y="10487672"/>
              <a:ext cx="14548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99" name="Straight Connector 23"/>
            <xdr:cNvSpPr>
              <a:spLocks/>
            </xdr:cNvSpPr>
          </xdr:nvSpPr>
          <xdr:spPr>
            <a:xfrm rot="5400000">
              <a:off x="6251818" y="10511551"/>
              <a:ext cx="14841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0" name="Straight Arrow Connector 25"/>
            <xdr:cNvSpPr>
              <a:spLocks/>
            </xdr:cNvSpPr>
          </xdr:nvSpPr>
          <xdr:spPr>
            <a:xfrm>
              <a:off x="1847374" y="11157767"/>
              <a:ext cx="514652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1" name="Straight Arrow Connector 29"/>
            <xdr:cNvSpPr>
              <a:spLocks/>
            </xdr:cNvSpPr>
          </xdr:nvSpPr>
          <xdr:spPr>
            <a:xfrm>
              <a:off x="1847374" y="10133597"/>
              <a:ext cx="1293305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2" name="Straight Arrow Connector 30"/>
            <xdr:cNvSpPr>
              <a:spLocks/>
            </xdr:cNvSpPr>
          </xdr:nvSpPr>
          <xdr:spPr>
            <a:xfrm>
              <a:off x="5585813" y="10133597"/>
              <a:ext cx="1398745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03" name="Straight Connector 276"/>
          <xdr:cNvSpPr>
            <a:spLocks/>
          </xdr:cNvSpPr>
        </xdr:nvSpPr>
        <xdr:spPr>
          <a:xfrm rot="5400000">
            <a:off x="5144764" y="10419115"/>
            <a:ext cx="80728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04" name="Group 102"/>
          <xdr:cNvGrpSpPr>
            <a:grpSpLocks/>
          </xdr:cNvGrpSpPr>
        </xdr:nvGrpSpPr>
        <xdr:grpSpPr>
          <a:xfrm rot="10800000" flipH="1">
            <a:off x="3604085" y="9945520"/>
            <a:ext cx="537575" cy="638229"/>
            <a:chOff x="2711098" y="8667318"/>
            <a:chExt cx="465315" cy="687470"/>
          </a:xfrm>
          <a:solidFill>
            <a:srgbClr val="FFFFFF"/>
          </a:solidFill>
        </xdr:grpSpPr>
        <xdr:sp>
          <xdr:nvSpPr>
            <xdr:cNvPr id="105" name="Straight Arrow Connector 103"/>
            <xdr:cNvSpPr>
              <a:spLocks/>
            </xdr:cNvSpPr>
          </xdr:nvSpPr>
          <xdr:spPr>
            <a:xfrm rot="5400000" flipH="1" flipV="1">
              <a:off x="2368278" y="9011053"/>
              <a:ext cx="687503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6" name="Straight Connector 104"/>
            <xdr:cNvSpPr>
              <a:spLocks/>
            </xdr:cNvSpPr>
          </xdr:nvSpPr>
          <xdr:spPr>
            <a:xfrm rot="10800000" flipH="1">
              <a:off x="2711098" y="8667318"/>
              <a:ext cx="4653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07" name="Group 167"/>
          <xdr:cNvGrpSpPr>
            <a:grpSpLocks/>
          </xdr:cNvGrpSpPr>
        </xdr:nvGrpSpPr>
        <xdr:grpSpPr>
          <a:xfrm rot="10800000" flipH="1">
            <a:off x="3718620" y="9830203"/>
            <a:ext cx="395330" cy="475771"/>
            <a:chOff x="3044337" y="8810831"/>
            <a:chExt cx="387480" cy="442148"/>
          </a:xfrm>
          <a:solidFill>
            <a:srgbClr val="FFFFFF"/>
          </a:solidFill>
        </xdr:grpSpPr>
        <xdr:sp>
          <xdr:nvSpPr>
            <xdr:cNvPr id="108" name="Oval 168"/>
            <xdr:cNvSpPr>
              <a:spLocks/>
            </xdr:cNvSpPr>
          </xdr:nvSpPr>
          <xdr:spPr>
            <a:xfrm>
              <a:off x="3044337" y="9104638"/>
              <a:ext cx="138815" cy="148341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09" name="Group 154"/>
            <xdr:cNvGrpSpPr>
              <a:grpSpLocks/>
            </xdr:cNvGrpSpPr>
          </xdr:nvGrpSpPr>
          <xdr:grpSpPr>
            <a:xfrm>
              <a:off x="3117183" y="8810831"/>
              <a:ext cx="314634" cy="307072"/>
              <a:chOff x="2750020" y="8722850"/>
              <a:chExt cx="704735" cy="644208"/>
            </a:xfrm>
            <a:solidFill>
              <a:srgbClr val="FFFFFF"/>
            </a:solidFill>
          </xdr:grpSpPr>
          <xdr:sp>
            <xdr:nvSpPr>
              <xdr:cNvPr id="110" name="Straight Arrow Connector 170"/>
              <xdr:cNvSpPr>
                <a:spLocks/>
              </xdr:cNvSpPr>
            </xdr:nvSpPr>
            <xdr:spPr>
              <a:xfrm rot="5400000" flipH="1">
                <a:off x="2429190" y="9046081"/>
                <a:ext cx="64201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11" name="Straight Connector 171"/>
              <xdr:cNvSpPr>
                <a:spLocks/>
              </xdr:cNvSpPr>
            </xdr:nvSpPr>
            <xdr:spPr>
              <a:xfrm>
                <a:off x="2750020" y="8722850"/>
                <a:ext cx="7047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grpSp>
        <xdr:nvGrpSpPr>
          <xdr:cNvPr id="112" name="Group 157"/>
          <xdr:cNvGrpSpPr>
            <a:grpSpLocks/>
          </xdr:cNvGrpSpPr>
        </xdr:nvGrpSpPr>
        <xdr:grpSpPr>
          <a:xfrm>
            <a:off x="2961212" y="9191248"/>
            <a:ext cx="424887" cy="494628"/>
            <a:chOff x="2980562" y="8773883"/>
            <a:chExt cx="430339" cy="475273"/>
          </a:xfrm>
          <a:solidFill>
            <a:srgbClr val="FFFFFF"/>
          </a:solidFill>
        </xdr:grpSpPr>
        <xdr:sp>
          <xdr:nvSpPr>
            <xdr:cNvPr id="113" name="Oval 151"/>
            <xdr:cNvSpPr>
              <a:spLocks/>
            </xdr:cNvSpPr>
          </xdr:nvSpPr>
          <xdr:spPr>
            <a:xfrm>
              <a:off x="2980562" y="9105624"/>
              <a:ext cx="143410" cy="143651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14" name="Group 154"/>
            <xdr:cNvGrpSpPr>
              <a:grpSpLocks/>
            </xdr:cNvGrpSpPr>
          </xdr:nvGrpSpPr>
          <xdr:grpSpPr>
            <a:xfrm>
              <a:off x="3044683" y="8773883"/>
              <a:ext cx="366218" cy="325443"/>
              <a:chOff x="2587285" y="8645283"/>
              <a:chExt cx="820195" cy="682870"/>
            </a:xfrm>
            <a:solidFill>
              <a:srgbClr val="FFFFFF"/>
            </a:solidFill>
          </xdr:grpSpPr>
          <xdr:sp>
            <xdr:nvSpPr>
              <xdr:cNvPr id="115" name="Straight Arrow Connector 155"/>
              <xdr:cNvSpPr>
                <a:spLocks/>
              </xdr:cNvSpPr>
            </xdr:nvSpPr>
            <xdr:spPr>
              <a:xfrm rot="5400000" flipH="1" flipV="1">
                <a:off x="2252441" y="8979719"/>
                <a:ext cx="68281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16" name="Straight Connector 156"/>
              <xdr:cNvSpPr>
                <a:spLocks/>
              </xdr:cNvSpPr>
            </xdr:nvSpPr>
            <xdr:spPr>
              <a:xfrm>
                <a:off x="2593642" y="8638455"/>
                <a:ext cx="8138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grpSp>
        <xdr:nvGrpSpPr>
          <xdr:cNvPr id="117" name="Group 158"/>
          <xdr:cNvGrpSpPr>
            <a:grpSpLocks/>
          </xdr:cNvGrpSpPr>
        </xdr:nvGrpSpPr>
        <xdr:grpSpPr>
          <a:xfrm>
            <a:off x="6500709" y="9206479"/>
            <a:ext cx="570827" cy="472145"/>
            <a:chOff x="2984501" y="8794750"/>
            <a:chExt cx="577849" cy="453564"/>
          </a:xfrm>
          <a:solidFill>
            <a:srgbClr val="FFFFFF"/>
          </a:solidFill>
        </xdr:grpSpPr>
        <xdr:sp>
          <xdr:nvSpPr>
            <xdr:cNvPr id="118" name="Oval 159"/>
            <xdr:cNvSpPr>
              <a:spLocks/>
            </xdr:cNvSpPr>
          </xdr:nvSpPr>
          <xdr:spPr>
            <a:xfrm>
              <a:off x="2984501" y="9102040"/>
              <a:ext cx="143162" cy="143553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19" name="Group 154"/>
            <xdr:cNvGrpSpPr>
              <a:grpSpLocks/>
            </xdr:cNvGrpSpPr>
          </xdr:nvGrpSpPr>
          <xdr:grpSpPr>
            <a:xfrm>
              <a:off x="3064966" y="8794750"/>
              <a:ext cx="497384" cy="326679"/>
              <a:chOff x="2633059" y="8689065"/>
              <a:chExt cx="1114069" cy="685376"/>
            </a:xfrm>
            <a:solidFill>
              <a:srgbClr val="FFFFFF"/>
            </a:solidFill>
          </xdr:grpSpPr>
          <xdr:sp>
            <xdr:nvSpPr>
              <xdr:cNvPr id="120" name="Straight Arrow Connector 161"/>
              <xdr:cNvSpPr>
                <a:spLocks/>
              </xdr:cNvSpPr>
            </xdr:nvSpPr>
            <xdr:spPr>
              <a:xfrm rot="5400000" flipH="1" flipV="1">
                <a:off x="2281850" y="9032610"/>
                <a:ext cx="68292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21" name="Straight Connector 162"/>
              <xdr:cNvSpPr>
                <a:spLocks/>
              </xdr:cNvSpPr>
            </xdr:nvSpPr>
            <xdr:spPr>
              <a:xfrm>
                <a:off x="2633059" y="8691121"/>
                <a:ext cx="113245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sp>
        <xdr:nvSpPr>
          <xdr:cNvPr id="122" name="Straight Connector 36"/>
          <xdr:cNvSpPr>
            <a:spLocks/>
          </xdr:cNvSpPr>
        </xdr:nvSpPr>
        <xdr:spPr>
          <a:xfrm>
            <a:off x="1679161" y="9526319"/>
            <a:ext cx="6380701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Straight Connector 50"/>
          <xdr:cNvSpPr>
            <a:spLocks/>
          </xdr:cNvSpPr>
        </xdr:nvSpPr>
        <xdr:spPr>
          <a:xfrm rot="5400000">
            <a:off x="1330014" y="9875895"/>
            <a:ext cx="69829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Straight Connector 51"/>
          <xdr:cNvSpPr>
            <a:spLocks/>
          </xdr:cNvSpPr>
        </xdr:nvSpPr>
        <xdr:spPr>
          <a:xfrm>
            <a:off x="1961803" y="9995563"/>
            <a:ext cx="4803076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5" name="Straight Connector 54"/>
          <xdr:cNvSpPr>
            <a:spLocks/>
          </xdr:cNvSpPr>
        </xdr:nvSpPr>
        <xdr:spPr>
          <a:xfrm>
            <a:off x="1782611" y="9955673"/>
            <a:ext cx="6266166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6" name="Straight Connector 56"/>
          <xdr:cNvSpPr>
            <a:spLocks/>
          </xdr:cNvSpPr>
        </xdr:nvSpPr>
        <xdr:spPr>
          <a:xfrm>
            <a:off x="1734581" y="9576362"/>
            <a:ext cx="137811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7" name="Straight Connector 59"/>
          <xdr:cNvSpPr>
            <a:spLocks/>
          </xdr:cNvSpPr>
        </xdr:nvSpPr>
        <xdr:spPr>
          <a:xfrm>
            <a:off x="5519774" y="9576362"/>
            <a:ext cx="2529004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Straight Connector 61"/>
          <xdr:cNvSpPr>
            <a:spLocks/>
          </xdr:cNvSpPr>
        </xdr:nvSpPr>
        <xdr:spPr>
          <a:xfrm rot="5400000">
            <a:off x="1501816" y="9800467"/>
            <a:ext cx="44890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9" name="Straight Connector 66"/>
          <xdr:cNvSpPr>
            <a:spLocks/>
          </xdr:cNvSpPr>
        </xdr:nvSpPr>
        <xdr:spPr>
          <a:xfrm>
            <a:off x="7047521" y="10004991"/>
            <a:ext cx="1019730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0" name="Straight Connector 68"/>
          <xdr:cNvSpPr>
            <a:spLocks/>
          </xdr:cNvSpPr>
        </xdr:nvSpPr>
        <xdr:spPr>
          <a:xfrm rot="5400000">
            <a:off x="1862047" y="10105077"/>
            <a:ext cx="21983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Straight Connector 71"/>
          <xdr:cNvSpPr>
            <a:spLocks/>
          </xdr:cNvSpPr>
        </xdr:nvSpPr>
        <xdr:spPr>
          <a:xfrm rot="5400000">
            <a:off x="6661428" y="10100000"/>
            <a:ext cx="208749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2" name="Straight Connector 72"/>
          <xdr:cNvSpPr>
            <a:spLocks/>
          </xdr:cNvSpPr>
        </xdr:nvSpPr>
        <xdr:spPr>
          <a:xfrm rot="5400000">
            <a:off x="6947765" y="10105077"/>
            <a:ext cx="21983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3" name="Straight Connector 74"/>
          <xdr:cNvSpPr>
            <a:spLocks/>
          </xdr:cNvSpPr>
        </xdr:nvSpPr>
        <xdr:spPr>
          <a:xfrm>
            <a:off x="1612656" y="10214591"/>
            <a:ext cx="434124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4" name="Straight Connector 77"/>
          <xdr:cNvSpPr>
            <a:spLocks/>
          </xdr:cNvSpPr>
        </xdr:nvSpPr>
        <xdr:spPr>
          <a:xfrm>
            <a:off x="6709459" y="10224745"/>
            <a:ext cx="443361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5" name="Straight Connector 78"/>
          <xdr:cNvSpPr>
            <a:spLocks/>
          </xdr:cNvSpPr>
        </xdr:nvSpPr>
        <xdr:spPr>
          <a:xfrm rot="5400000">
            <a:off x="7708868" y="9756227"/>
            <a:ext cx="698293" cy="0"/>
          </a:xfrm>
          <a:prstGeom prst="line">
            <a:avLst/>
          </a:prstGeom>
          <a:noFill/>
          <a:ln w="12700" cmpd="sng">
            <a:solidFill>
              <a:srgbClr val="0000CC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6" name="Straight Connector 79"/>
          <xdr:cNvSpPr>
            <a:spLocks/>
          </xdr:cNvSpPr>
        </xdr:nvSpPr>
        <xdr:spPr>
          <a:xfrm rot="5400000">
            <a:off x="1642214" y="9815698"/>
            <a:ext cx="278948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37" name="Group 97"/>
          <xdr:cNvGrpSpPr>
            <a:grpSpLocks/>
          </xdr:cNvGrpSpPr>
        </xdr:nvGrpSpPr>
        <xdr:grpSpPr>
          <a:xfrm>
            <a:off x="2621302" y="8878661"/>
            <a:ext cx="766645" cy="702052"/>
            <a:chOff x="2633059" y="8689065"/>
            <a:chExt cx="779406" cy="685376"/>
          </a:xfrm>
          <a:solidFill>
            <a:srgbClr val="FFFFFF"/>
          </a:solidFill>
        </xdr:grpSpPr>
        <xdr:sp>
          <xdr:nvSpPr>
            <xdr:cNvPr id="138" name="Straight Arrow Connector 83"/>
            <xdr:cNvSpPr>
              <a:spLocks/>
            </xdr:cNvSpPr>
          </xdr:nvSpPr>
          <xdr:spPr>
            <a:xfrm rot="5400000" flipH="1" flipV="1">
              <a:off x="2293434" y="9029526"/>
              <a:ext cx="681006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9" name="Straight Connector 85"/>
            <xdr:cNvSpPr>
              <a:spLocks/>
            </xdr:cNvSpPr>
          </xdr:nvSpPr>
          <xdr:spPr>
            <a:xfrm>
              <a:off x="2643191" y="8689065"/>
              <a:ext cx="7669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40" name="Group 98"/>
          <xdr:cNvGrpSpPr>
            <a:grpSpLocks/>
          </xdr:cNvGrpSpPr>
        </xdr:nvGrpSpPr>
        <xdr:grpSpPr>
          <a:xfrm>
            <a:off x="6299350" y="8884463"/>
            <a:ext cx="750019" cy="698426"/>
            <a:chOff x="2628368" y="8689065"/>
            <a:chExt cx="412611" cy="685376"/>
          </a:xfrm>
          <a:solidFill>
            <a:srgbClr val="FFFFFF"/>
          </a:solidFill>
        </xdr:grpSpPr>
        <xdr:sp>
          <xdr:nvSpPr>
            <xdr:cNvPr id="141" name="Straight Arrow Connector 99"/>
            <xdr:cNvSpPr>
              <a:spLocks/>
            </xdr:cNvSpPr>
          </xdr:nvSpPr>
          <xdr:spPr>
            <a:xfrm rot="5400000" flipH="1" flipV="1">
              <a:off x="2288274" y="9035351"/>
              <a:ext cx="684522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2" name="Straight Connector 100"/>
            <xdr:cNvSpPr>
              <a:spLocks/>
            </xdr:cNvSpPr>
          </xdr:nvSpPr>
          <xdr:spPr>
            <a:xfrm>
              <a:off x="2630431" y="8693177"/>
              <a:ext cx="4100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43" name="Group 113"/>
          <xdr:cNvGrpSpPr>
            <a:grpSpLocks/>
          </xdr:cNvGrpSpPr>
        </xdr:nvGrpSpPr>
        <xdr:grpSpPr>
          <a:xfrm>
            <a:off x="1932246" y="9585790"/>
            <a:ext cx="1117639" cy="59471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144" name="Oval 108"/>
            <xdr:cNvSpPr>
              <a:spLocks/>
            </xdr:cNvSpPr>
          </xdr:nvSpPr>
          <xdr:spPr>
            <a:xfrm>
              <a:off x="1932834" y="9383604"/>
              <a:ext cx="57922" cy="60027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5" name="Oval 109"/>
            <xdr:cNvSpPr>
              <a:spLocks/>
            </xdr:cNvSpPr>
          </xdr:nvSpPr>
          <xdr:spPr>
            <a:xfrm>
              <a:off x="2289211" y="9383604"/>
              <a:ext cx="48221" cy="60027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6" name="Oval 110"/>
            <xdr:cNvSpPr>
              <a:spLocks/>
            </xdr:cNvSpPr>
          </xdr:nvSpPr>
          <xdr:spPr>
            <a:xfrm>
              <a:off x="2664704" y="9383604"/>
              <a:ext cx="57922" cy="5003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7" name="Oval 111"/>
            <xdr:cNvSpPr>
              <a:spLocks/>
            </xdr:cNvSpPr>
          </xdr:nvSpPr>
          <xdr:spPr>
            <a:xfrm>
              <a:off x="3011380" y="9393616"/>
              <a:ext cx="57922" cy="5003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48" name="Group 126"/>
          <xdr:cNvGrpSpPr>
            <a:grpSpLocks/>
          </xdr:cNvGrpSpPr>
        </xdr:nvGrpSpPr>
        <xdr:grpSpPr>
          <a:xfrm>
            <a:off x="5815348" y="9582164"/>
            <a:ext cx="2076407" cy="61647"/>
            <a:chOff x="5814353" y="9375529"/>
            <a:chExt cx="2112871" cy="65723"/>
          </a:xfrm>
          <a:solidFill>
            <a:srgbClr val="FFFFFF"/>
          </a:solidFill>
        </xdr:grpSpPr>
        <xdr:sp>
          <xdr:nvSpPr>
            <xdr:cNvPr id="149" name="Oval 120"/>
            <xdr:cNvSpPr>
              <a:spLocks/>
            </xdr:cNvSpPr>
          </xdr:nvSpPr>
          <xdr:spPr>
            <a:xfrm>
              <a:off x="5814353" y="9380195"/>
              <a:ext cx="57576" cy="52973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0" name="Oval 121"/>
            <xdr:cNvSpPr>
              <a:spLocks/>
            </xdr:cNvSpPr>
          </xdr:nvSpPr>
          <xdr:spPr>
            <a:xfrm>
              <a:off x="6166674" y="9380195"/>
              <a:ext cx="48068" cy="52973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1" name="Oval 122"/>
            <xdr:cNvSpPr>
              <a:spLocks/>
            </xdr:cNvSpPr>
          </xdr:nvSpPr>
          <xdr:spPr>
            <a:xfrm>
              <a:off x="6541181" y="9390793"/>
              <a:ext cx="57576" cy="42375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2" name="Oval 123"/>
            <xdr:cNvSpPr>
              <a:spLocks/>
            </xdr:cNvSpPr>
          </xdr:nvSpPr>
          <xdr:spPr>
            <a:xfrm>
              <a:off x="7155498" y="9390793"/>
              <a:ext cx="48068" cy="52973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3" name="Oval 124"/>
            <xdr:cNvSpPr>
              <a:spLocks/>
            </xdr:cNvSpPr>
          </xdr:nvSpPr>
          <xdr:spPr>
            <a:xfrm>
              <a:off x="7510988" y="9390793"/>
              <a:ext cx="57576" cy="52973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4" name="Oval 125"/>
            <xdr:cNvSpPr>
              <a:spLocks/>
            </xdr:cNvSpPr>
          </xdr:nvSpPr>
          <xdr:spPr>
            <a:xfrm>
              <a:off x="7865951" y="9390793"/>
              <a:ext cx="57576" cy="52973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55" name="Straight Connector 153"/>
          <xdr:cNvSpPr>
            <a:spLocks/>
          </xdr:cNvSpPr>
        </xdr:nvSpPr>
        <xdr:spPr>
          <a:xfrm>
            <a:off x="2621302" y="8878661"/>
            <a:ext cx="7555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6" name="Oval 281"/>
          <xdr:cNvSpPr>
            <a:spLocks/>
          </xdr:cNvSpPr>
        </xdr:nvSpPr>
        <xdr:spPr>
          <a:xfrm>
            <a:off x="5510537" y="9576362"/>
            <a:ext cx="48031" cy="59471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57" name="Group 113"/>
          <xdr:cNvGrpSpPr>
            <a:grpSpLocks/>
          </xdr:cNvGrpSpPr>
        </xdr:nvGrpSpPr>
        <xdr:grpSpPr>
          <a:xfrm>
            <a:off x="1932246" y="9888224"/>
            <a:ext cx="1123181" cy="59471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158" name="Oval 272"/>
            <xdr:cNvSpPr>
              <a:spLocks/>
            </xdr:cNvSpPr>
          </xdr:nvSpPr>
          <xdr:spPr>
            <a:xfrm>
              <a:off x="1933690" y="9380103"/>
              <a:ext cx="57637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59" name="Oval 274"/>
            <xdr:cNvSpPr>
              <a:spLocks/>
            </xdr:cNvSpPr>
          </xdr:nvSpPr>
          <xdr:spPr>
            <a:xfrm>
              <a:off x="2288640" y="9380103"/>
              <a:ext cx="47935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0" name="Oval 275"/>
            <xdr:cNvSpPr>
              <a:spLocks/>
            </xdr:cNvSpPr>
          </xdr:nvSpPr>
          <xdr:spPr>
            <a:xfrm>
              <a:off x="2662993" y="9380103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1" name="Oval 277"/>
            <xdr:cNvSpPr>
              <a:spLocks/>
            </xdr:cNvSpPr>
          </xdr:nvSpPr>
          <xdr:spPr>
            <a:xfrm>
              <a:off x="3017942" y="9390099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62" name="Group 113"/>
          <xdr:cNvGrpSpPr>
            <a:grpSpLocks/>
          </xdr:cNvGrpSpPr>
        </xdr:nvGrpSpPr>
        <xdr:grpSpPr>
          <a:xfrm>
            <a:off x="3411962" y="9897652"/>
            <a:ext cx="1123181" cy="59471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163" name="Oval 279"/>
            <xdr:cNvSpPr>
              <a:spLocks/>
            </xdr:cNvSpPr>
          </xdr:nvSpPr>
          <xdr:spPr>
            <a:xfrm>
              <a:off x="1936258" y="9380552"/>
              <a:ext cx="57637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4" name="Oval 280"/>
            <xdr:cNvSpPr>
              <a:spLocks/>
            </xdr:cNvSpPr>
          </xdr:nvSpPr>
          <xdr:spPr>
            <a:xfrm>
              <a:off x="2291208" y="9380552"/>
              <a:ext cx="47935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5" name="Oval 282"/>
            <xdr:cNvSpPr>
              <a:spLocks/>
            </xdr:cNvSpPr>
          </xdr:nvSpPr>
          <xdr:spPr>
            <a:xfrm>
              <a:off x="2665560" y="9380552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6" name="Oval 283"/>
            <xdr:cNvSpPr>
              <a:spLocks/>
            </xdr:cNvSpPr>
          </xdr:nvSpPr>
          <xdr:spPr>
            <a:xfrm>
              <a:off x="3020510" y="9390548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67" name="Group 113"/>
          <xdr:cNvGrpSpPr>
            <a:grpSpLocks/>
          </xdr:cNvGrpSpPr>
        </xdr:nvGrpSpPr>
        <xdr:grpSpPr>
          <a:xfrm>
            <a:off x="4847343" y="9888224"/>
            <a:ext cx="1123181" cy="59471"/>
            <a:chOff x="1932549" y="9382856"/>
            <a:chExt cx="1141318" cy="59862"/>
          </a:xfrm>
          <a:solidFill>
            <a:srgbClr val="FFFFFF"/>
          </a:solidFill>
        </xdr:grpSpPr>
        <xdr:sp>
          <xdr:nvSpPr>
            <xdr:cNvPr id="168" name="Oval 287"/>
            <xdr:cNvSpPr>
              <a:spLocks/>
            </xdr:cNvSpPr>
          </xdr:nvSpPr>
          <xdr:spPr>
            <a:xfrm>
              <a:off x="1935117" y="9380103"/>
              <a:ext cx="57637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69" name="Oval 288"/>
            <xdr:cNvSpPr>
              <a:spLocks/>
            </xdr:cNvSpPr>
          </xdr:nvSpPr>
          <xdr:spPr>
            <a:xfrm>
              <a:off x="2290352" y="9380103"/>
              <a:ext cx="47935" cy="60072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70" name="Oval 289"/>
            <xdr:cNvSpPr>
              <a:spLocks/>
            </xdr:cNvSpPr>
          </xdr:nvSpPr>
          <xdr:spPr>
            <a:xfrm>
              <a:off x="2664419" y="9380103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71" name="Oval 290"/>
            <xdr:cNvSpPr>
              <a:spLocks/>
            </xdr:cNvSpPr>
          </xdr:nvSpPr>
          <xdr:spPr>
            <a:xfrm>
              <a:off x="3019369" y="9390099"/>
              <a:ext cx="57637" cy="50060"/>
            </a:xfrm>
            <a:prstGeom prst="ellipse">
              <a:avLst/>
            </a:prstGeom>
            <a:solidFill>
              <a:srgbClr val="FF0000"/>
            </a:solidFill>
            <a:ln w="31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72" name="Oval 292"/>
          <xdr:cNvSpPr>
            <a:spLocks/>
          </xdr:cNvSpPr>
        </xdr:nvSpPr>
        <xdr:spPr>
          <a:xfrm>
            <a:off x="6208830" y="9905630"/>
            <a:ext cx="57267" cy="50043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3" name="Oval 293"/>
          <xdr:cNvSpPr>
            <a:spLocks/>
          </xdr:cNvSpPr>
        </xdr:nvSpPr>
        <xdr:spPr>
          <a:xfrm>
            <a:off x="6557977" y="9905630"/>
            <a:ext cx="48031" cy="50043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4" name="Oval 297"/>
          <xdr:cNvSpPr>
            <a:spLocks/>
          </xdr:cNvSpPr>
        </xdr:nvSpPr>
        <xdr:spPr>
          <a:xfrm>
            <a:off x="7132499" y="9905630"/>
            <a:ext cx="57267" cy="50043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5" name="Oval 298"/>
          <xdr:cNvSpPr>
            <a:spLocks/>
          </xdr:cNvSpPr>
        </xdr:nvSpPr>
        <xdr:spPr>
          <a:xfrm>
            <a:off x="7481645" y="9905630"/>
            <a:ext cx="48031" cy="50043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6" name="Oval 299"/>
          <xdr:cNvSpPr>
            <a:spLocks/>
          </xdr:cNvSpPr>
        </xdr:nvSpPr>
        <xdr:spPr>
          <a:xfrm>
            <a:off x="7851113" y="9905630"/>
            <a:ext cx="57267" cy="39889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77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178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66</xdr:row>
      <xdr:rowOff>76200</xdr:rowOff>
    </xdr:from>
    <xdr:to>
      <xdr:col>7</xdr:col>
      <xdr:colOff>95250</xdr:colOff>
      <xdr:row>71</xdr:row>
      <xdr:rowOff>123825</xdr:rowOff>
    </xdr:to>
    <xdr:sp>
      <xdr:nvSpPr>
        <xdr:cNvPr id="179" name="Straight Connector 179"/>
        <xdr:cNvSpPr>
          <a:spLocks/>
        </xdr:cNvSpPr>
      </xdr:nvSpPr>
      <xdr:spPr>
        <a:xfrm flipV="1">
          <a:off x="3143250" y="9505950"/>
          <a:ext cx="0" cy="76200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O470"/>
  <sheetViews>
    <sheetView showGridLines="0" tabSelected="1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71" sqref="P71"/>
    </sheetView>
  </sheetViews>
  <sheetFormatPr defaultColWidth="9.140625" defaultRowHeight="11.25" customHeight="1"/>
  <cols>
    <col min="1" max="1" width="9.140625" style="7" customWidth="1"/>
    <col min="2" max="2" width="5.57421875" style="7" customWidth="1"/>
    <col min="3" max="3" width="8.7109375" style="7" customWidth="1"/>
    <col min="4" max="22" width="5.57421875" style="7" customWidth="1"/>
    <col min="23" max="23" width="7.28125" style="6" customWidth="1"/>
    <col min="24" max="67" width="7.28125" style="6" hidden="1" customWidth="1"/>
    <col min="68" max="78" width="7.28125" style="6" customWidth="1"/>
    <col min="79" max="99" width="9.140625" style="6" customWidth="1"/>
    <col min="100" max="16384" width="9.140625" style="7" customWidth="1"/>
  </cols>
  <sheetData>
    <row r="1" ht="11.25" customHeight="1" thickBot="1"/>
    <row r="2" spans="2:22" ht="11.25" customHeight="1">
      <c r="B2" s="107"/>
      <c r="C2" s="243" t="s">
        <v>126</v>
      </c>
      <c r="D2" s="243"/>
      <c r="E2" s="243"/>
      <c r="F2" s="243"/>
      <c r="G2" s="244"/>
      <c r="H2" s="114" t="s">
        <v>47</v>
      </c>
      <c r="I2" s="152"/>
      <c r="J2" s="241" t="s">
        <v>48</v>
      </c>
      <c r="K2" s="241"/>
      <c r="L2" s="241"/>
      <c r="M2" s="241"/>
      <c r="N2" s="115"/>
      <c r="O2" s="5" t="s">
        <v>49</v>
      </c>
      <c r="P2" s="5"/>
      <c r="Q2" s="203" t="s">
        <v>122</v>
      </c>
      <c r="R2" s="203"/>
      <c r="S2" s="203"/>
      <c r="T2" s="203"/>
      <c r="U2" s="232" t="s">
        <v>50</v>
      </c>
      <c r="V2" s="175">
        <v>1</v>
      </c>
    </row>
    <row r="3" spans="2:22" ht="11.25" customHeight="1">
      <c r="B3" s="109"/>
      <c r="C3" s="245"/>
      <c r="D3" s="245"/>
      <c r="E3" s="245"/>
      <c r="F3" s="245"/>
      <c r="G3" s="246"/>
      <c r="H3" s="105" t="s">
        <v>51</v>
      </c>
      <c r="I3" s="153"/>
      <c r="J3" s="242" t="s">
        <v>128</v>
      </c>
      <c r="K3" s="242"/>
      <c r="L3" s="242"/>
      <c r="M3" s="242"/>
      <c r="N3" s="15"/>
      <c r="O3" s="189" t="s">
        <v>52</v>
      </c>
      <c r="P3" s="190"/>
      <c r="Q3" s="204" t="s">
        <v>124</v>
      </c>
      <c r="R3" s="204"/>
      <c r="S3" s="204"/>
      <c r="T3" s="204"/>
      <c r="U3" s="233"/>
      <c r="V3" s="154" t="s">
        <v>53</v>
      </c>
    </row>
    <row r="4" spans="2:22" ht="11.25" customHeight="1">
      <c r="B4" s="109"/>
      <c r="C4" s="245" t="s">
        <v>127</v>
      </c>
      <c r="D4" s="245"/>
      <c r="E4" s="245"/>
      <c r="F4" s="245"/>
      <c r="G4" s="246"/>
      <c r="H4" s="105" t="s">
        <v>54</v>
      </c>
      <c r="I4" s="153"/>
      <c r="J4" s="242" t="s">
        <v>129</v>
      </c>
      <c r="K4" s="242"/>
      <c r="L4" s="242"/>
      <c r="M4" s="242"/>
      <c r="N4" s="15"/>
      <c r="O4" s="195" t="s">
        <v>55</v>
      </c>
      <c r="P4" s="195"/>
      <c r="Q4" s="205">
        <v>39603</v>
      </c>
      <c r="R4" s="205"/>
      <c r="S4" s="205"/>
      <c r="T4" s="205"/>
      <c r="U4" s="233"/>
      <c r="V4" s="174">
        <v>2</v>
      </c>
    </row>
    <row r="5" spans="2:22" ht="11.25" customHeight="1" thickBot="1">
      <c r="B5" s="14"/>
      <c r="C5" s="247"/>
      <c r="D5" s="247"/>
      <c r="E5" s="247"/>
      <c r="F5" s="247"/>
      <c r="G5" s="248"/>
      <c r="H5" s="155"/>
      <c r="I5" s="156"/>
      <c r="J5" s="156"/>
      <c r="K5" s="157"/>
      <c r="L5" s="158"/>
      <c r="M5" s="159"/>
      <c r="N5" s="61"/>
      <c r="O5" s="150"/>
      <c r="P5" s="150"/>
      <c r="Q5" s="160"/>
      <c r="R5" s="160"/>
      <c r="S5" s="160"/>
      <c r="T5" s="160"/>
      <c r="U5" s="233"/>
      <c r="V5" s="161"/>
    </row>
    <row r="6" spans="2:22" ht="11.25" customHeight="1" thickBot="1">
      <c r="B6" s="200" t="s">
        <v>121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2"/>
    </row>
    <row r="7" spans="2:22" ht="11.25" customHeight="1"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5"/>
    </row>
    <row r="8" spans="2:22" ht="11.25" customHeight="1">
      <c r="B8" s="162" t="s">
        <v>8</v>
      </c>
      <c r="C8" s="163" t="s">
        <v>56</v>
      </c>
      <c r="D8" s="164"/>
      <c r="E8" s="164"/>
      <c r="F8" s="164"/>
      <c r="G8" s="16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5"/>
    </row>
    <row r="9" spans="2:22" ht="11.25" customHeight="1">
      <c r="B9" s="14"/>
      <c r="C9" s="17" t="s">
        <v>57</v>
      </c>
      <c r="D9" s="11"/>
      <c r="E9" s="11"/>
      <c r="F9" s="11"/>
      <c r="G9" s="11"/>
      <c r="H9" s="11"/>
      <c r="I9" s="11"/>
      <c r="J9" s="11"/>
      <c r="K9" s="11"/>
      <c r="L9" s="11"/>
      <c r="M9" s="17" t="s">
        <v>62</v>
      </c>
      <c r="N9" s="11"/>
      <c r="O9" s="11"/>
      <c r="P9" s="11"/>
      <c r="Q9" s="11"/>
      <c r="R9" s="11"/>
      <c r="S9" s="11"/>
      <c r="T9" s="11"/>
      <c r="U9" s="11"/>
      <c r="V9" s="15"/>
    </row>
    <row r="10" spans="2:22" ht="11.25" customHeight="1">
      <c r="B10" s="14"/>
      <c r="C10" s="11" t="s">
        <v>58</v>
      </c>
      <c r="D10" s="11"/>
      <c r="E10" s="11"/>
      <c r="F10" s="11" t="s">
        <v>35</v>
      </c>
      <c r="G10" s="151" t="s">
        <v>4</v>
      </c>
      <c r="H10" s="237">
        <v>173</v>
      </c>
      <c r="I10" s="238"/>
      <c r="J10" s="171" t="s">
        <v>109</v>
      </c>
      <c r="K10" s="11"/>
      <c r="L10" s="11"/>
      <c r="M10" s="11" t="s">
        <v>63</v>
      </c>
      <c r="N10" s="11"/>
      <c r="O10" s="11"/>
      <c r="P10" s="11"/>
      <c r="Q10" s="11"/>
      <c r="R10" s="18" t="s">
        <v>4</v>
      </c>
      <c r="S10" s="237" t="s">
        <v>125</v>
      </c>
      <c r="T10" s="238"/>
      <c r="U10" s="20"/>
      <c r="V10" s="15"/>
    </row>
    <row r="11" spans="2:22" ht="11.25" customHeight="1">
      <c r="B11" s="14"/>
      <c r="C11" s="11" t="s">
        <v>59</v>
      </c>
      <c r="D11" s="11"/>
      <c r="E11" s="11" t="str">
        <f>H12&amp;"f'c"</f>
        <v>0.375f'c</v>
      </c>
      <c r="F11" s="11" t="s">
        <v>36</v>
      </c>
      <c r="G11" s="151" t="s">
        <v>4</v>
      </c>
      <c r="H11" s="239">
        <f>H10*H12</f>
        <v>64.875</v>
      </c>
      <c r="I11" s="239"/>
      <c r="J11" s="171" t="s">
        <v>109</v>
      </c>
      <c r="K11" s="11"/>
      <c r="L11" s="11"/>
      <c r="M11" s="11" t="s">
        <v>64</v>
      </c>
      <c r="N11" s="11"/>
      <c r="O11" s="11"/>
      <c r="P11" s="11"/>
      <c r="Q11" s="11" t="s">
        <v>38</v>
      </c>
      <c r="R11" s="18" t="s">
        <v>4</v>
      </c>
      <c r="S11" s="228">
        <f>IF(S10="SR-24",2400,IF(S10="SD-30",3000,IF(S10="SD-40",4000)))</f>
        <v>2400</v>
      </c>
      <c r="T11" s="228"/>
      <c r="U11" s="171" t="s">
        <v>109</v>
      </c>
      <c r="V11" s="15"/>
    </row>
    <row r="12" spans="2:22" ht="11.25" customHeight="1">
      <c r="B12" s="14"/>
      <c r="C12" s="11" t="s">
        <v>60</v>
      </c>
      <c r="D12" s="11"/>
      <c r="E12" s="11"/>
      <c r="F12" s="11"/>
      <c r="G12" s="151" t="s">
        <v>4</v>
      </c>
      <c r="H12" s="237">
        <v>0.375</v>
      </c>
      <c r="I12" s="238"/>
      <c r="J12" s="20"/>
      <c r="K12" s="11"/>
      <c r="L12" s="11"/>
      <c r="M12" s="11" t="s">
        <v>65</v>
      </c>
      <c r="N12" s="11"/>
      <c r="O12" s="11"/>
      <c r="P12" s="11"/>
      <c r="Q12" s="11" t="s">
        <v>39</v>
      </c>
      <c r="R12" s="18" t="s">
        <v>4</v>
      </c>
      <c r="S12" s="228">
        <f>MIN(S11*0.5,1700)</f>
        <v>1200</v>
      </c>
      <c r="T12" s="228"/>
      <c r="U12" s="171" t="s">
        <v>109</v>
      </c>
      <c r="V12" s="15"/>
    </row>
    <row r="13" spans="2:22" ht="11.25" customHeight="1">
      <c r="B13" s="14"/>
      <c r="C13" s="11" t="s">
        <v>61</v>
      </c>
      <c r="D13" s="11"/>
      <c r="E13" s="11"/>
      <c r="F13" s="11" t="s">
        <v>37</v>
      </c>
      <c r="G13" s="151" t="s">
        <v>4</v>
      </c>
      <c r="H13" s="213">
        <f>INT(15210*SQRT(H10))</f>
        <v>200056</v>
      </c>
      <c r="I13" s="213"/>
      <c r="J13" s="171" t="s">
        <v>109</v>
      </c>
      <c r="K13" s="11"/>
      <c r="L13" s="11"/>
      <c r="M13" s="11" t="s">
        <v>66</v>
      </c>
      <c r="N13" s="11"/>
      <c r="O13" s="11"/>
      <c r="P13" s="11"/>
      <c r="Q13" s="11" t="s">
        <v>40</v>
      </c>
      <c r="R13" s="18" t="s">
        <v>4</v>
      </c>
      <c r="S13" s="228">
        <v>2040000</v>
      </c>
      <c r="T13" s="228"/>
      <c r="U13" s="171" t="s">
        <v>109</v>
      </c>
      <c r="V13" s="15"/>
    </row>
    <row r="14" spans="2:22" ht="11.25" customHeight="1"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5"/>
    </row>
    <row r="15" spans="2:22" ht="11.25" customHeight="1">
      <c r="B15" s="162" t="s">
        <v>9</v>
      </c>
      <c r="C15" s="163" t="s">
        <v>67</v>
      </c>
      <c r="D15" s="164"/>
      <c r="E15" s="164"/>
      <c r="F15" s="164"/>
      <c r="G15" s="16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5"/>
    </row>
    <row r="16" spans="2:22" ht="11.25" customHeight="1">
      <c r="B16" s="14"/>
      <c r="C16" s="11" t="s">
        <v>0</v>
      </c>
      <c r="D16" s="18"/>
      <c r="E16" s="11" t="s">
        <v>3</v>
      </c>
      <c r="F16" s="11"/>
      <c r="G16" s="18" t="s">
        <v>4</v>
      </c>
      <c r="H16" s="231">
        <f>TRUNC(S13/H13)</f>
        <v>10</v>
      </c>
      <c r="I16" s="231"/>
      <c r="J16" s="11"/>
      <c r="K16" s="11"/>
      <c r="L16" s="11"/>
      <c r="M16" s="11" t="s">
        <v>46</v>
      </c>
      <c r="N16" s="18"/>
      <c r="O16" s="11" t="s">
        <v>6</v>
      </c>
      <c r="P16" s="11"/>
      <c r="Q16" s="11"/>
      <c r="R16" s="18" t="s">
        <v>4</v>
      </c>
      <c r="S16" s="229">
        <f>1-(H17/3)</f>
        <v>0.8830290736984449</v>
      </c>
      <c r="T16" s="229"/>
      <c r="U16" s="11"/>
      <c r="V16" s="15"/>
    </row>
    <row r="17" spans="2:22" ht="11.25" customHeight="1">
      <c r="B17" s="14"/>
      <c r="C17" s="11" t="s">
        <v>1</v>
      </c>
      <c r="D17" s="18"/>
      <c r="E17" s="11" t="s">
        <v>5</v>
      </c>
      <c r="F17" s="11"/>
      <c r="G17" s="18" t="s">
        <v>4</v>
      </c>
      <c r="H17" s="229">
        <f>1/(1+S12/(H16*H11))</f>
        <v>0.3509127789046653</v>
      </c>
      <c r="I17" s="229"/>
      <c r="J17" s="11"/>
      <c r="K17" s="11"/>
      <c r="L17" s="11"/>
      <c r="M17" s="11" t="s">
        <v>2</v>
      </c>
      <c r="N17" s="18"/>
      <c r="O17" s="11" t="s">
        <v>7</v>
      </c>
      <c r="P17" s="11"/>
      <c r="Q17" s="11"/>
      <c r="R17" s="18" t="s">
        <v>4</v>
      </c>
      <c r="S17" s="230">
        <f>(H11*S16*H17)/2</f>
        <v>10.051284411785279</v>
      </c>
      <c r="T17" s="230"/>
      <c r="U17" s="171" t="s">
        <v>109</v>
      </c>
      <c r="V17" s="15"/>
    </row>
    <row r="18" spans="2:22" ht="11.25" customHeight="1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5"/>
    </row>
    <row r="19" spans="2:22" ht="11.25" customHeight="1">
      <c r="B19" s="162" t="s">
        <v>10</v>
      </c>
      <c r="C19" s="163" t="s">
        <v>68</v>
      </c>
      <c r="D19" s="164"/>
      <c r="E19" s="164"/>
      <c r="F19" s="164"/>
      <c r="G19" s="164"/>
      <c r="H19" s="11"/>
      <c r="I19" s="11"/>
      <c r="J19" s="11"/>
      <c r="K19" s="11"/>
      <c r="L19" s="11"/>
      <c r="M19" s="11"/>
      <c r="N19" s="11"/>
      <c r="O19" s="213" t="str">
        <f>"ด้านยาว    =  "&amp;FIXED(N25,2)&amp;" ม."</f>
        <v>ด้านยาว    =  6.00 ม.</v>
      </c>
      <c r="P19" s="213"/>
      <c r="Q19" s="213"/>
      <c r="R19" s="11"/>
      <c r="S19" s="11"/>
      <c r="T19" s="11"/>
      <c r="U19" s="11"/>
      <c r="V19" s="15"/>
    </row>
    <row r="20" spans="2:22" ht="11.25" customHeight="1">
      <c r="B20" s="14"/>
      <c r="C20" s="11" t="s">
        <v>99</v>
      </c>
      <c r="D20" s="18" t="s">
        <v>17</v>
      </c>
      <c r="E20" s="11" t="s">
        <v>69</v>
      </c>
      <c r="F20" s="11"/>
      <c r="G20" s="11"/>
      <c r="H20" s="11" t="s">
        <v>123</v>
      </c>
      <c r="I20" s="18" t="s">
        <v>17</v>
      </c>
      <c r="J20" s="11" t="s">
        <v>72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5"/>
    </row>
    <row r="21" spans="2:22" ht="11.25" customHeight="1">
      <c r="B21" s="14"/>
      <c r="C21" s="11" t="s">
        <v>100</v>
      </c>
      <c r="D21" s="18" t="s">
        <v>17</v>
      </c>
      <c r="E21" s="11" t="s">
        <v>70</v>
      </c>
      <c r="F21" s="11"/>
      <c r="G21" s="11"/>
      <c r="H21" s="11" t="s">
        <v>97</v>
      </c>
      <c r="I21" s="18" t="s">
        <v>17</v>
      </c>
      <c r="J21" s="11" t="s">
        <v>73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5"/>
    </row>
    <row r="22" spans="2:22" ht="11.25" customHeight="1">
      <c r="B22" s="14"/>
      <c r="C22" s="11" t="s">
        <v>98</v>
      </c>
      <c r="D22" s="18" t="s">
        <v>17</v>
      </c>
      <c r="E22" s="11" t="s">
        <v>71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 t="str">
        <f>"ด้านสั้น    =  "&amp;H25&amp;" ม."</f>
        <v>ด้านสั้น    =  5 ม.</v>
      </c>
      <c r="S22" s="11"/>
      <c r="T22" s="11"/>
      <c r="U22" s="11"/>
      <c r="V22" s="15"/>
    </row>
    <row r="23" spans="2:22" ht="11.25" customHeight="1"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5"/>
    </row>
    <row r="24" spans="2:22" ht="11.25" customHeight="1">
      <c r="B24" s="162" t="s">
        <v>11</v>
      </c>
      <c r="C24" s="163" t="s">
        <v>104</v>
      </c>
      <c r="D24" s="164"/>
      <c r="E24" s="164"/>
      <c r="F24" s="164"/>
      <c r="G24" s="16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/>
    </row>
    <row r="25" spans="2:22" ht="11.25" customHeight="1">
      <c r="B25" s="14"/>
      <c r="C25" s="11" t="s">
        <v>74</v>
      </c>
      <c r="D25" s="176">
        <v>3</v>
      </c>
      <c r="E25" s="20"/>
      <c r="F25" s="11" t="s">
        <v>75</v>
      </c>
      <c r="G25" s="11"/>
      <c r="H25" s="215">
        <v>5</v>
      </c>
      <c r="I25" s="216"/>
      <c r="J25" s="171" t="s">
        <v>110</v>
      </c>
      <c r="L25" s="11" t="s">
        <v>76</v>
      </c>
      <c r="M25" s="11"/>
      <c r="N25" s="215">
        <v>6</v>
      </c>
      <c r="O25" s="216"/>
      <c r="P25" s="171" t="s">
        <v>110</v>
      </c>
      <c r="R25" s="18" t="s">
        <v>18</v>
      </c>
      <c r="S25" s="11" t="s">
        <v>41</v>
      </c>
      <c r="T25" s="208">
        <f>IF(ROUND(H25/N25,2)&lt;0.5,"One Way Slab",ROUND(H25/N25,2))</f>
        <v>0.83</v>
      </c>
      <c r="U25" s="208"/>
      <c r="V25" s="15"/>
    </row>
    <row r="26" spans="2:22" ht="11.25" customHeight="1"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/>
    </row>
    <row r="27" spans="2:22" ht="11.25" customHeight="1">
      <c r="B27" s="162" t="s">
        <v>12</v>
      </c>
      <c r="C27" s="163" t="s">
        <v>103</v>
      </c>
      <c r="D27" s="164"/>
      <c r="E27" s="164"/>
      <c r="F27" s="164"/>
      <c r="G27" s="16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5"/>
    </row>
    <row r="28" spans="2:22" ht="11.25" customHeight="1">
      <c r="B28" s="14"/>
      <c r="C28" s="11" t="s">
        <v>106</v>
      </c>
      <c r="D28" s="11"/>
      <c r="E28" s="151"/>
      <c r="F28" s="151" t="s">
        <v>4</v>
      </c>
      <c r="G28" s="151">
        <f>Q30*2400</f>
        <v>336.00000000000006</v>
      </c>
      <c r="H28" s="171" t="s">
        <v>111</v>
      </c>
      <c r="I28" s="20"/>
      <c r="K28" s="7" t="s">
        <v>80</v>
      </c>
      <c r="P28" s="21" t="s">
        <v>4</v>
      </c>
      <c r="Q28" s="22">
        <f>((H25+N25)*2)/180</f>
        <v>0.12222222222222222</v>
      </c>
      <c r="R28" s="171" t="s">
        <v>110</v>
      </c>
      <c r="S28" s="11"/>
      <c r="T28" s="11"/>
      <c r="U28" s="11"/>
      <c r="V28" s="15"/>
    </row>
    <row r="29" spans="2:22" ht="11.25" customHeight="1">
      <c r="B29" s="16"/>
      <c r="C29" s="11" t="s">
        <v>107</v>
      </c>
      <c r="D29" s="11"/>
      <c r="E29" s="18"/>
      <c r="F29" s="18" t="s">
        <v>4</v>
      </c>
      <c r="G29" s="176">
        <v>300</v>
      </c>
      <c r="H29" s="171" t="s">
        <v>111</v>
      </c>
      <c r="I29" s="20"/>
      <c r="K29" s="11" t="s">
        <v>81</v>
      </c>
      <c r="L29" s="11"/>
      <c r="M29" s="11"/>
      <c r="N29" s="18"/>
      <c r="O29" s="18"/>
      <c r="P29" s="21" t="s">
        <v>4</v>
      </c>
      <c r="Q29" s="23">
        <f>SQRT(MAX(F38:G40,F44:G46)*100/(S17*100))/100</f>
        <v>0.09951188381971976</v>
      </c>
      <c r="R29" s="171" t="s">
        <v>110</v>
      </c>
      <c r="S29" s="11"/>
      <c r="T29" s="11"/>
      <c r="U29" s="11"/>
      <c r="V29" s="15"/>
    </row>
    <row r="30" spans="2:22" ht="11.25" customHeight="1">
      <c r="B30" s="14"/>
      <c r="C30" s="11" t="s">
        <v>108</v>
      </c>
      <c r="D30" s="11"/>
      <c r="E30" s="18"/>
      <c r="F30" s="18" t="s">
        <v>4</v>
      </c>
      <c r="G30" s="176">
        <v>0</v>
      </c>
      <c r="H30" s="171" t="s">
        <v>111</v>
      </c>
      <c r="I30" s="20"/>
      <c r="K30" s="7" t="s">
        <v>82</v>
      </c>
      <c r="P30" s="21" t="s">
        <v>4</v>
      </c>
      <c r="Q30" s="177">
        <v>0.14</v>
      </c>
      <c r="R30" s="171" t="s">
        <v>110</v>
      </c>
      <c r="U30" s="11"/>
      <c r="V30" s="15"/>
    </row>
    <row r="31" spans="2:22" ht="11.25" customHeight="1">
      <c r="B31" s="14"/>
      <c r="C31" s="11" t="s">
        <v>77</v>
      </c>
      <c r="D31" s="11"/>
      <c r="E31" s="18"/>
      <c r="F31" s="18" t="s">
        <v>4</v>
      </c>
      <c r="G31" s="1">
        <f>SUM(G28:G30)</f>
        <v>636</v>
      </c>
      <c r="H31" s="171" t="s">
        <v>111</v>
      </c>
      <c r="I31" s="20"/>
      <c r="K31" s="11" t="s">
        <v>84</v>
      </c>
      <c r="P31" s="21" t="s">
        <v>4</v>
      </c>
      <c r="Q31" s="23">
        <f>Q30-G32</f>
        <v>0.12000000000000001</v>
      </c>
      <c r="R31" s="171" t="s">
        <v>110</v>
      </c>
      <c r="S31" s="214" t="str">
        <f>IF(Q31&gt;=Q29,"OK","Try Depth again")</f>
        <v>OK</v>
      </c>
      <c r="T31" s="214"/>
      <c r="U31" s="11"/>
      <c r="V31" s="15"/>
    </row>
    <row r="32" spans="2:22" ht="11.25" customHeight="1">
      <c r="B32" s="14"/>
      <c r="C32" s="11" t="s">
        <v>79</v>
      </c>
      <c r="D32" s="11"/>
      <c r="E32" s="11"/>
      <c r="F32" s="18" t="s">
        <v>4</v>
      </c>
      <c r="G32" s="176">
        <v>0.02</v>
      </c>
      <c r="H32" s="171" t="s">
        <v>110</v>
      </c>
      <c r="I32" s="20"/>
      <c r="J32" s="11"/>
      <c r="K32" s="7" t="s">
        <v>83</v>
      </c>
      <c r="O32" s="7" t="s">
        <v>86</v>
      </c>
      <c r="P32" s="21" t="s">
        <v>4</v>
      </c>
      <c r="Q32" s="24">
        <f>$S$17*Q31^2*10000</f>
        <v>1447.3849552970805</v>
      </c>
      <c r="R32" s="171" t="s">
        <v>112</v>
      </c>
      <c r="S32" s="11"/>
      <c r="T32" s="11"/>
      <c r="U32" s="11"/>
      <c r="V32" s="15"/>
    </row>
    <row r="33" spans="2:22" ht="11.25" customHeight="1">
      <c r="B33" s="14"/>
      <c r="C33" s="165" t="s">
        <v>78</v>
      </c>
      <c r="D33" s="11"/>
      <c r="E33" s="11"/>
      <c r="F33" s="18" t="s">
        <v>4</v>
      </c>
      <c r="G33" s="149">
        <f>MAX(F38:G40,F44:G46)</f>
        <v>995.34</v>
      </c>
      <c r="H33" s="171" t="s">
        <v>112</v>
      </c>
      <c r="I33" s="20"/>
      <c r="J33" s="11"/>
      <c r="K33" s="11" t="s">
        <v>85</v>
      </c>
      <c r="L33" s="11"/>
      <c r="M33" s="11"/>
      <c r="N33" s="11"/>
      <c r="O33" s="11"/>
      <c r="P33" s="18" t="s">
        <v>4</v>
      </c>
      <c r="Q33" s="214" t="str">
        <f>IF(Q32&gt;MAX(F38:G46),"OK,Mr &gt; Mmax","Try Depth again")</f>
        <v>OK,Mr &gt; Mmax</v>
      </c>
      <c r="R33" s="214"/>
      <c r="S33" s="11"/>
      <c r="T33" s="11"/>
      <c r="U33" s="11"/>
      <c r="V33" s="15"/>
    </row>
    <row r="34" spans="2:22" ht="11.25" customHeight="1">
      <c r="B34" s="14"/>
      <c r="H34" s="20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5"/>
    </row>
    <row r="35" spans="2:22" ht="11.25" customHeight="1">
      <c r="B35" s="162" t="s">
        <v>13</v>
      </c>
      <c r="C35" s="163" t="s">
        <v>87</v>
      </c>
      <c r="D35" s="164"/>
      <c r="E35" s="167"/>
      <c r="F35" s="167"/>
      <c r="G35" s="167"/>
      <c r="H35" s="11"/>
      <c r="I35" s="11"/>
      <c r="J35" s="11"/>
      <c r="K35" s="25"/>
      <c r="L35" s="25"/>
      <c r="M35" s="25"/>
      <c r="N35" s="11"/>
      <c r="O35" s="11"/>
      <c r="P35" s="11"/>
      <c r="Q35" s="11"/>
      <c r="R35" s="11"/>
      <c r="S35" s="11"/>
      <c r="T35" s="11"/>
      <c r="U35" s="11"/>
      <c r="V35" s="103" t="s">
        <v>91</v>
      </c>
    </row>
    <row r="36" spans="2:22" ht="11.25" customHeight="1">
      <c r="B36" s="14"/>
      <c r="C36" s="27" t="s">
        <v>88</v>
      </c>
      <c r="D36" s="225" t="s">
        <v>120</v>
      </c>
      <c r="E36" s="225"/>
      <c r="F36" s="226" t="s">
        <v>102</v>
      </c>
      <c r="G36" s="226"/>
      <c r="H36" s="251" t="s">
        <v>101</v>
      </c>
      <c r="I36" s="252"/>
      <c r="J36" s="196">
        <v>9</v>
      </c>
      <c r="K36" s="197"/>
      <c r="L36" s="196">
        <v>10</v>
      </c>
      <c r="M36" s="197"/>
      <c r="N36" s="196">
        <v>12</v>
      </c>
      <c r="O36" s="197"/>
      <c r="P36" s="196">
        <v>16</v>
      </c>
      <c r="Q36" s="197"/>
      <c r="R36" s="196">
        <v>20</v>
      </c>
      <c r="S36" s="197"/>
      <c r="T36" s="98" t="s">
        <v>30</v>
      </c>
      <c r="U36" s="29">
        <v>0.3</v>
      </c>
      <c r="V36" s="184">
        <v>9</v>
      </c>
    </row>
    <row r="37" spans="2:22" ht="11.25" customHeight="1">
      <c r="B37" s="14"/>
      <c r="C37" s="27" t="s">
        <v>89</v>
      </c>
      <c r="D37" s="217" t="s">
        <v>20</v>
      </c>
      <c r="E37" s="217"/>
      <c r="F37" s="224" t="s">
        <v>19</v>
      </c>
      <c r="G37" s="224"/>
      <c r="H37" s="225" t="s">
        <v>34</v>
      </c>
      <c r="I37" s="225"/>
      <c r="J37" s="222" t="s">
        <v>115</v>
      </c>
      <c r="K37" s="223"/>
      <c r="L37" s="222" t="s">
        <v>115</v>
      </c>
      <c r="M37" s="223"/>
      <c r="N37" s="222" t="s">
        <v>115</v>
      </c>
      <c r="O37" s="223"/>
      <c r="P37" s="222" t="s">
        <v>115</v>
      </c>
      <c r="Q37" s="223"/>
      <c r="R37" s="222" t="s">
        <v>115</v>
      </c>
      <c r="S37" s="223"/>
      <c r="T37" s="28" t="s">
        <v>115</v>
      </c>
      <c r="U37" s="30" t="s">
        <v>115</v>
      </c>
      <c r="V37" s="99" t="s">
        <v>115</v>
      </c>
    </row>
    <row r="38" spans="2:23" ht="11.25" customHeight="1">
      <c r="B38" s="183">
        <f>IF(SUM(J38:U38)&gt;0,ROUND(MIN(HLOOKUP($V$36,$J$36:$S$40,3,FALSE),T38,U38),2),"")</f>
        <v>0.08</v>
      </c>
      <c r="C38" s="172" t="s">
        <v>113</v>
      </c>
      <c r="D38" s="219">
        <f>IF($D$25=1,VLOOKUP($T$25,$X$167:$AA$268,2),IF($D$25=2,VLOOKUP($T$25,$AG$167:$AJ$268,2),IF($D$25=3,VLOOKUP($T$25,$AP$167:$AS$268,2),IF(D25=4,VLOOKUP($T$25,$AY$167:$BB$268,2),IF($D$25=5,VLOOKUP($T$25,$BH$167:$BK$268,2))))))</f>
        <v>0.0626</v>
      </c>
      <c r="E38" s="219"/>
      <c r="F38" s="217">
        <f>IF(D38=0,"",D38*$G$31*$H$25^2)</f>
        <v>995.34</v>
      </c>
      <c r="G38" s="217"/>
      <c r="H38" s="217">
        <f>IF(F38="","",F38/($S$12*$S$16*$Q$31))</f>
        <v>7.827696209800918</v>
      </c>
      <c r="I38" s="217"/>
      <c r="J38" s="217">
        <f>IF(H38="","",1/(H38/(PI()/4*($J$36/10)^2)))</f>
        <v>0.08127199821007271</v>
      </c>
      <c r="K38" s="217"/>
      <c r="L38" s="198">
        <f>IF(H38="","",1/(H38/(PI()/4*($L$36/10)^2)))</f>
        <v>0.10033580025934902</v>
      </c>
      <c r="M38" s="199"/>
      <c r="N38" s="198">
        <f>IF(H38="","",1/(H38/(PI()/4*($N$36/10)^2)))</f>
        <v>0.14448355237346258</v>
      </c>
      <c r="O38" s="199"/>
      <c r="P38" s="198">
        <f>IF(H38="","",1/(H38/(PI()/4*($P$36/10)^2)))</f>
        <v>0.2568596486639335</v>
      </c>
      <c r="Q38" s="199"/>
      <c r="R38" s="198">
        <f>IF(H38="","",1/(H38/(PI()/4*($R$36/10)^2)))</f>
        <v>0.40134320103739607</v>
      </c>
      <c r="S38" s="199"/>
      <c r="T38" s="31">
        <f>IF(SUM(F38:S38)&gt;0,$Q$30*3,"")</f>
        <v>0.42000000000000004</v>
      </c>
      <c r="U38" s="29">
        <f>IF(SUM(J38:S38)&gt;0,0.3,"")</f>
        <v>0.3</v>
      </c>
      <c r="V38" s="179">
        <v>0.075</v>
      </c>
      <c r="W38" s="180" t="str">
        <f>IF(V38&lt;=B38,"OK","NG.")</f>
        <v>OK</v>
      </c>
    </row>
    <row r="39" spans="2:23" ht="11.25" customHeight="1">
      <c r="B39" s="183">
        <f>IF(SUM(J39:U39)&gt;0,ROUND(MIN(HLOOKUP($V$36,$J$36:$S$40,4,FALSE),T39,U39),2),"")</f>
        <v>0.16</v>
      </c>
      <c r="C39" s="173" t="s">
        <v>114</v>
      </c>
      <c r="D39" s="219">
        <f>IF($D$25=1,VLOOKUP($T$25,$X$167:AA268,3),IF($D$25=2,VLOOKUP($T$25,$AG$167:$AJ$268,3),IF($D$25=3,VLOOKUP($T$25,$AP$167:$AS$268,3),IF(D25=4,VLOOKUP($T$25,$AY$167:$BB$268,3),IF($D$25=5,VLOOKUP($T$25,$BH$167:$BK$268,3))))))</f>
        <v>0.031200000000000006</v>
      </c>
      <c r="E39" s="219"/>
      <c r="F39" s="217">
        <f>IF(D39=0,"",D39*$G$31*$H$25^2)</f>
        <v>496.0800000000001</v>
      </c>
      <c r="G39" s="217"/>
      <c r="H39" s="217">
        <f>IF(F39="","",F39/($S$12*$S$16*$Q$31))</f>
        <v>3.9013437978560495</v>
      </c>
      <c r="I39" s="217"/>
      <c r="J39" s="217">
        <f>IF(H39="","",1/(H39/(PI()/4*($J$36/10)^2)))</f>
        <v>0.16306497076764584</v>
      </c>
      <c r="K39" s="217"/>
      <c r="L39" s="198">
        <f>IF(H39="","",1/(H39/(PI()/4*($L$36/10)^2)))</f>
        <v>0.2013147787254887</v>
      </c>
      <c r="M39" s="199"/>
      <c r="N39" s="198">
        <f>IF(H39="","",1/(H39/(PI()/4*($N$36/10)^2)))</f>
        <v>0.2898932813647037</v>
      </c>
      <c r="O39" s="199"/>
      <c r="P39" s="198">
        <f>IF(H39="","",1/(H39/(PI()/4*($P$36/10)^2)))</f>
        <v>0.5153658335372511</v>
      </c>
      <c r="Q39" s="199"/>
      <c r="R39" s="198">
        <f>IF(H39="","",1/(H39/(PI()/4*($R$36/10)^2)))</f>
        <v>0.8052591149019548</v>
      </c>
      <c r="S39" s="199"/>
      <c r="T39" s="31">
        <f>IF(SUM(F39:S39)&gt;0,$Q$30*3,"")</f>
        <v>0.42000000000000004</v>
      </c>
      <c r="U39" s="29">
        <f>IF(SUM(J39:S39)&gt;0,0.3,"")</f>
        <v>0.3</v>
      </c>
      <c r="V39" s="179">
        <v>0.15</v>
      </c>
      <c r="W39" s="180" t="str">
        <f>IF(V39&lt;=B39,"OK","NG.")</f>
        <v>OK</v>
      </c>
    </row>
    <row r="40" spans="2:23" ht="11.25" customHeight="1">
      <c r="B40" s="183">
        <f>IF(SUM(J40:U40)&gt;0,ROUND(MIN(HLOOKUP($V$36,$J$36:$S$40,5,FALSE),T40,U40),2),"")</f>
        <v>0.11</v>
      </c>
      <c r="C40" s="32" t="s">
        <v>21</v>
      </c>
      <c r="D40" s="219">
        <f>IF($D$25=1,VLOOKUP($T$25,$X$167:$AA$268,4),IF($D$25=2,VLOOKUP($T$25,$AG$167:$AJ$268,4),IF($D$25=3,VLOOKUP($T$25,$AP$167:$AS$268,4),IF(D25=4,VLOOKUP($T$25,$AY$167:$BB$268,4),IF($D$25=5,VLOOKUP($T$25,$BH$167:$BK$268,4))))))</f>
        <v>0.04700000000000001</v>
      </c>
      <c r="E40" s="219"/>
      <c r="F40" s="217">
        <f>IF(D40=0,"",D40*$G$31*$H$25^2)</f>
        <v>747.3000000000001</v>
      </c>
      <c r="G40" s="217"/>
      <c r="H40" s="217">
        <f>IF(F40="","",F40/($S$12*$S$16*$Q$31))</f>
        <v>5.877024310872894</v>
      </c>
      <c r="I40" s="217"/>
      <c r="J40" s="217">
        <f>IF(H40="","",1/(H40/(PI()/4*($J$36/10)^2)))</f>
        <v>0.10824738485001173</v>
      </c>
      <c r="K40" s="217"/>
      <c r="L40" s="198">
        <f>IF(H40="","",1/(H40/(PI()/4*($L$36/10)^2)))</f>
        <v>0.13363874672840953</v>
      </c>
      <c r="M40" s="199"/>
      <c r="N40" s="198">
        <f>IF(H40="","",1/(H40/(PI()/4*($N$36/10)^2)))</f>
        <v>0.19243979528890975</v>
      </c>
      <c r="O40" s="199"/>
      <c r="P40" s="198">
        <f>IF(H40="","",1/(H40/(PI()/4*($P$36/10)^2)))</f>
        <v>0.3421151916247284</v>
      </c>
      <c r="Q40" s="199"/>
      <c r="R40" s="198">
        <f>IF(H40="","",1/(H40/(PI()/4*($R$36/10)^2)))</f>
        <v>0.5345549869136381</v>
      </c>
      <c r="S40" s="199"/>
      <c r="T40" s="31">
        <f>IF(SUM(F40:S40)&gt;0,$Q$30*3,"")</f>
        <v>0.42000000000000004</v>
      </c>
      <c r="U40" s="29">
        <f>IF(SUM(J40:S40)&gt;0,0.3,"")</f>
        <v>0.3</v>
      </c>
      <c r="V40" s="179">
        <v>0.1</v>
      </c>
      <c r="W40" s="180" t="str">
        <f>IF(V40&lt;=B40,"OK","NG.")</f>
        <v>OK</v>
      </c>
    </row>
    <row r="41" spans="2:22" ht="11.25" customHeight="1">
      <c r="B41" s="181"/>
      <c r="C41" s="11"/>
      <c r="D41" s="33"/>
      <c r="E41" s="34"/>
      <c r="F41" s="35"/>
      <c r="G41" s="35"/>
      <c r="H41" s="36"/>
      <c r="I41" s="37"/>
      <c r="J41" s="37"/>
      <c r="K41" s="35"/>
      <c r="L41" s="35"/>
      <c r="M41" s="35"/>
      <c r="N41" s="36"/>
      <c r="O41" s="37"/>
      <c r="P41" s="37"/>
      <c r="Q41" s="35"/>
      <c r="R41" s="35"/>
      <c r="S41" s="35"/>
      <c r="T41" s="18"/>
      <c r="U41" s="38"/>
      <c r="V41" s="103" t="s">
        <v>91</v>
      </c>
    </row>
    <row r="42" spans="2:22" ht="11.25" customHeight="1">
      <c r="B42" s="181"/>
      <c r="C42" s="27" t="s">
        <v>88</v>
      </c>
      <c r="D42" s="225" t="s">
        <v>120</v>
      </c>
      <c r="E42" s="225"/>
      <c r="F42" s="226" t="s">
        <v>102</v>
      </c>
      <c r="G42" s="226"/>
      <c r="H42" s="226" t="s">
        <v>101</v>
      </c>
      <c r="I42" s="226"/>
      <c r="J42" s="211">
        <f>J36</f>
        <v>9</v>
      </c>
      <c r="K42" s="212"/>
      <c r="L42" s="211">
        <f>L36</f>
        <v>10</v>
      </c>
      <c r="M42" s="212"/>
      <c r="N42" s="211">
        <f>N36</f>
        <v>12</v>
      </c>
      <c r="O42" s="212"/>
      <c r="P42" s="211">
        <f>P36</f>
        <v>16</v>
      </c>
      <c r="Q42" s="212"/>
      <c r="R42" s="211">
        <f>R36</f>
        <v>20</v>
      </c>
      <c r="S42" s="212"/>
      <c r="T42" s="28" t="s">
        <v>30</v>
      </c>
      <c r="U42" s="29">
        <v>0.3</v>
      </c>
      <c r="V42" s="184">
        <v>9</v>
      </c>
    </row>
    <row r="43" spans="2:22" ht="11.25" customHeight="1">
      <c r="B43" s="182"/>
      <c r="C43" s="27" t="s">
        <v>90</v>
      </c>
      <c r="D43" s="220" t="s">
        <v>20</v>
      </c>
      <c r="E43" s="221"/>
      <c r="F43" s="227" t="s">
        <v>19</v>
      </c>
      <c r="G43" s="227"/>
      <c r="H43" s="225" t="s">
        <v>34</v>
      </c>
      <c r="I43" s="225"/>
      <c r="J43" s="222" t="s">
        <v>115</v>
      </c>
      <c r="K43" s="223"/>
      <c r="L43" s="222" t="s">
        <v>115</v>
      </c>
      <c r="M43" s="223"/>
      <c r="N43" s="222" t="s">
        <v>115</v>
      </c>
      <c r="O43" s="223"/>
      <c r="P43" s="222" t="s">
        <v>115</v>
      </c>
      <c r="Q43" s="223"/>
      <c r="R43" s="222" t="s">
        <v>115</v>
      </c>
      <c r="S43" s="223"/>
      <c r="T43" s="28" t="s">
        <v>115</v>
      </c>
      <c r="U43" s="30" t="s">
        <v>115</v>
      </c>
      <c r="V43" s="99" t="s">
        <v>115</v>
      </c>
    </row>
    <row r="44" spans="2:23" ht="11.25" customHeight="1">
      <c r="B44" s="183">
        <f>IF(SUM(J44:U44)&gt;0,ROUND(MIN(HLOOKUP($V$42,$J$42:$S$46,3,FALSE),T44,U44),2),"")</f>
        <v>0.1</v>
      </c>
      <c r="C44" s="172" t="s">
        <v>113</v>
      </c>
      <c r="D44" s="219">
        <f>IF($D$25=1,VLOOKUP($T$25,$AB$167:$AE$268,2),IF($D$25=2,VLOOKUP($T$25,$AK$167:$AN$268,2),IF($D$25=3,VLOOKUP($T$25,$AT$167:$AW$268,2),IF($D$25=4,VLOOKUP($T$25,$BC$167:$BF$268,2),IF($D$25=5,VLOOKUP($T$25,$BL$167:$BO$268,2))))))</f>
        <v>0.049</v>
      </c>
      <c r="E44" s="219"/>
      <c r="F44" s="217">
        <f>IF(D44=0,"",D44*$G$31*$H$25^2)</f>
        <v>779.1</v>
      </c>
      <c r="G44" s="217"/>
      <c r="H44" s="217">
        <f>IF(F44="","",F44/($S$12*$S$16*$Q$31))</f>
        <v>6.127110451761102</v>
      </c>
      <c r="I44" s="217"/>
      <c r="J44" s="217">
        <f>IF(H44="","",1/(H44/(PI()/4*($J$42/10)^2)))</f>
        <v>0.1038291242438888</v>
      </c>
      <c r="K44" s="217"/>
      <c r="L44" s="198">
        <f>IF(H44="","",1/(H44/(PI()/4*($L$42/10)^2)))</f>
        <v>0.12818410400480099</v>
      </c>
      <c r="M44" s="199"/>
      <c r="N44" s="198">
        <f>IF(H44="","",1/(H44/(PI()/4*($N$42/10)^2)))</f>
        <v>0.18458510976691342</v>
      </c>
      <c r="O44" s="199"/>
      <c r="P44" s="198">
        <f>IF(H44="","",1/(H44/(PI()/4*($P$42/10)^2)))</f>
        <v>0.32815130625229055</v>
      </c>
      <c r="Q44" s="199"/>
      <c r="R44" s="198">
        <f>IF(H44="","",1/(H44/(PI()/4*($R$42/10)^2)))</f>
        <v>0.5127364160192039</v>
      </c>
      <c r="S44" s="199"/>
      <c r="T44" s="31">
        <f>IF(SUM(F44:S44)&gt;0,$Q$30*3,"")</f>
        <v>0.42000000000000004</v>
      </c>
      <c r="U44" s="29">
        <f>IF(SUM(J44:S44)&gt;0,0.3,"")</f>
        <v>0.3</v>
      </c>
      <c r="V44" s="179">
        <v>0.1</v>
      </c>
      <c r="W44" s="180" t="str">
        <f>IF(V44&lt;=B44,"OK","NG.")</f>
        <v>OK</v>
      </c>
    </row>
    <row r="45" spans="2:23" ht="11.25" customHeight="1">
      <c r="B45" s="183">
        <f>IF(SUM(J45:U45)&gt;0,ROUND(MIN(HLOOKUP($V$42,$J$42:$S$46,4,FALSE),T45,U45),2),"")</f>
        <v>0.2</v>
      </c>
      <c r="C45" s="173" t="s">
        <v>114</v>
      </c>
      <c r="D45" s="219">
        <f>IF($D$25=1,VLOOKUP($T$25,$AB$167:$AE$268,3),IF($D$25=2,VLOOKUP($T$25,$AK$167:$AN$268,3),IF($D$25=3,VLOOKUP($T$25,$AT$167:$AW$268,3),IF($D$25=4,VLOOKUP($T$25,$BC$167:$BF$268,3),IF($D$25=5,VLOOKUP($T$25,$BL$167:$BO$268,3))))))</f>
        <v>0.025</v>
      </c>
      <c r="E45" s="219"/>
      <c r="F45" s="217">
        <f>IF(D45=0,"",D45*$G$31*$H$25^2)</f>
        <v>397.5</v>
      </c>
      <c r="G45" s="217"/>
      <c r="H45" s="217">
        <f>IF(F45="","",F45/($S$12*$S$16*$Q$31))</f>
        <v>3.126076761102603</v>
      </c>
      <c r="I45" s="217"/>
      <c r="J45" s="217">
        <f>IF(H45="","",1/(H45/(PI()/4*($J$42/10)^2)))</f>
        <v>0.20350508351802207</v>
      </c>
      <c r="K45" s="217"/>
      <c r="L45" s="198">
        <f>IF(H45="","",1/(H45/(PI()/4*($L$42/10)^2)))</f>
        <v>0.2512408438494099</v>
      </c>
      <c r="M45" s="199"/>
      <c r="N45" s="198">
        <f>IF(H45="","",1/(H45/(PI()/4*($N$42/10)^2)))</f>
        <v>0.36178681514315036</v>
      </c>
      <c r="O45" s="199"/>
      <c r="P45" s="198">
        <f>IF(H45="","",1/(H45/(PI()/4*($P$42/10)^2)))</f>
        <v>0.6431765602544894</v>
      </c>
      <c r="Q45" s="199"/>
      <c r="R45" s="198">
        <f>IF(H45="","",1/(H45/(PI()/4*($R$42/10)^2)))</f>
        <v>1.0049633753976397</v>
      </c>
      <c r="S45" s="199"/>
      <c r="T45" s="31">
        <f>IF(SUM(F45:S45)&gt;0,$Q$30*3,"")</f>
        <v>0.42000000000000004</v>
      </c>
      <c r="U45" s="29">
        <f>IF(SUM(J45:S45)&gt;0,0.3,"")</f>
        <v>0.3</v>
      </c>
      <c r="V45" s="179">
        <v>0.15</v>
      </c>
      <c r="W45" s="180" t="str">
        <f>IF(V45&lt;=B45,"OK","NG.")</f>
        <v>OK</v>
      </c>
    </row>
    <row r="46" spans="2:23" ht="11.25" customHeight="1">
      <c r="B46" s="183">
        <f>IF(SUM(J46:U46)&gt;0,ROUND(MIN(HLOOKUP($V$42,$J$42:$S$46,5,FALSE),T46,U46),2),"")</f>
        <v>0.14</v>
      </c>
      <c r="C46" s="32" t="s">
        <v>21</v>
      </c>
      <c r="D46" s="219">
        <f>IF($D$25=1,VLOOKUP($T$25,$AB$167:$AE$268,4),IF($D$25=2,VLOOKUP($T$25,$AK$167:$AN$268,4),IF($D$25=3,VLOOKUP($T$25,$AT$167:$AW$268,4),IF($D$25=4,VLOOKUP($T$25,$BC$167:$BF$268,4),IF($D$25=5,VLOOKUP($T$25,$BL$167:$BO$268,4))))))</f>
        <v>0.037</v>
      </c>
      <c r="E46" s="219"/>
      <c r="F46" s="217">
        <f>IF(D46=0,"",D46*$G$31*$H$25^2)</f>
        <v>588.3</v>
      </c>
      <c r="G46" s="217"/>
      <c r="H46" s="198">
        <f>IF(F46="","",F46/($S$12*$S$16*$Q$31))</f>
        <v>4.626593606431852</v>
      </c>
      <c r="I46" s="199"/>
      <c r="J46" s="198">
        <f>IF(H46="","",1/(H46/(PI()/4*($J$42/10)^2)))</f>
        <v>0.13750343480947438</v>
      </c>
      <c r="K46" s="199"/>
      <c r="L46" s="198">
        <f>IF(H46="","",1/(H46/(PI()/4*($L$42/10)^2)))</f>
        <v>0.169757326925277</v>
      </c>
      <c r="M46" s="199"/>
      <c r="N46" s="198">
        <f>IF(H46="","",1/(H46/(PI()/4*($N$42/10)^2)))</f>
        <v>0.24445055077239888</v>
      </c>
      <c r="O46" s="199"/>
      <c r="P46" s="198">
        <f>IF(H46="","",1/(H46/(PI()/4*($P$42/10)^2)))</f>
        <v>0.4345787569287092</v>
      </c>
      <c r="Q46" s="199"/>
      <c r="R46" s="198">
        <f>IF(H46="","",1/(H46/(PI()/4*($R$42/10)^2)))</f>
        <v>0.679029307701108</v>
      </c>
      <c r="S46" s="199"/>
      <c r="T46" s="31">
        <f>IF(SUM(F46:S46)&gt;0,$Q$30*3,"")</f>
        <v>0.42000000000000004</v>
      </c>
      <c r="U46" s="29">
        <f>IF(SUM(J46:S46)&gt;0,0.3,"")</f>
        <v>0.3</v>
      </c>
      <c r="V46" s="179">
        <v>0.125</v>
      </c>
      <c r="W46" s="180" t="str">
        <f>IF(V46&lt;=B46,"OK","NG.")</f>
        <v>OK</v>
      </c>
    </row>
    <row r="47" spans="2:22" ht="11.25" customHeight="1">
      <c r="B47" s="14"/>
      <c r="C47" s="11"/>
      <c r="D47" s="39"/>
      <c r="E47" s="40"/>
      <c r="F47" s="41"/>
      <c r="G47" s="41"/>
      <c r="H47" s="42"/>
      <c r="I47" s="42"/>
      <c r="J47" s="42"/>
      <c r="K47" s="43"/>
      <c r="L47" s="44"/>
      <c r="M47" s="43"/>
      <c r="N47" s="45"/>
      <c r="O47" s="46"/>
      <c r="P47" s="46"/>
      <c r="Q47" s="46"/>
      <c r="R47" s="43"/>
      <c r="S47" s="43"/>
      <c r="T47" s="18"/>
      <c r="U47" s="38"/>
      <c r="V47" s="15"/>
    </row>
    <row r="48" spans="2:22" ht="11.25" customHeight="1">
      <c r="B48" s="162" t="s">
        <v>14</v>
      </c>
      <c r="C48" s="163" t="s">
        <v>105</v>
      </c>
      <c r="D48" s="168"/>
      <c r="E48" s="168"/>
      <c r="F48" s="169"/>
      <c r="G48" s="166"/>
      <c r="H48" s="17"/>
      <c r="I48" s="11"/>
      <c r="J48" s="11"/>
      <c r="K48" s="18"/>
      <c r="L48" s="49"/>
      <c r="M48" s="18"/>
      <c r="N48" s="11"/>
      <c r="O48" s="11"/>
      <c r="P48" s="11"/>
      <c r="Q48" s="11"/>
      <c r="R48" s="18"/>
      <c r="S48" s="18"/>
      <c r="T48" s="102" t="s">
        <v>91</v>
      </c>
      <c r="U48" s="11"/>
      <c r="V48" s="15"/>
    </row>
    <row r="49" spans="2:22" ht="11.25" customHeight="1">
      <c r="B49" s="14"/>
      <c r="C49" s="47" t="s">
        <v>116</v>
      </c>
      <c r="D49" s="47"/>
      <c r="E49" s="47"/>
      <c r="F49" s="48"/>
      <c r="G49" s="18"/>
      <c r="H49" s="50" t="s">
        <v>4</v>
      </c>
      <c r="I49" s="11"/>
      <c r="J49" s="211">
        <f>J36</f>
        <v>9</v>
      </c>
      <c r="K49" s="212"/>
      <c r="L49" s="211">
        <f>L36</f>
        <v>10</v>
      </c>
      <c r="M49" s="212"/>
      <c r="N49" s="211">
        <f>N36</f>
        <v>12</v>
      </c>
      <c r="O49" s="212"/>
      <c r="P49" s="211">
        <f>P36</f>
        <v>16</v>
      </c>
      <c r="Q49" s="212"/>
      <c r="R49" s="211">
        <f>R36</f>
        <v>20</v>
      </c>
      <c r="S49" s="212"/>
      <c r="T49" s="178">
        <v>9</v>
      </c>
      <c r="U49" s="11"/>
      <c r="V49" s="15"/>
    </row>
    <row r="50" spans="2:22" ht="11.25" customHeight="1">
      <c r="B50" s="14"/>
      <c r="C50" s="165" t="s">
        <v>117</v>
      </c>
      <c r="D50" s="11"/>
      <c r="E50" s="11"/>
      <c r="F50" s="11"/>
      <c r="G50" s="11"/>
      <c r="H50" s="18" t="s">
        <v>4</v>
      </c>
      <c r="I50" s="188">
        <f>ROUND(MIN(HLOOKUP($T$49,$J$49:$S$51,2,FALSE),HLOOKUP($T$49,$J$49:$S$51,3,FALSE)),2)</f>
        <v>0.18</v>
      </c>
      <c r="J50" s="185">
        <f>1/((0.0025*100*(Q30*100))/(PI()/4*(J49/10)^2))</f>
        <v>0.18176357495769516</v>
      </c>
      <c r="K50" s="186"/>
      <c r="L50" s="185">
        <f>IF($S$10="Sr-24",1/((0.0025*100*(Q30*100))/(PI()/4*(L49/10)^2)),IF($S$10="SD-30",1/((0.002*100*(Q30*100))/(PI()/4*(L49/10)^2)),IF($S$10="SD-40",1/((0.0018*100*(Q30*100))/(PI()/4*(L49/10)^2)))))</f>
        <v>0.22439947525641377</v>
      </c>
      <c r="M50" s="186"/>
      <c r="N50" s="185">
        <f>IF($S$10="Sr-24",1/((0.0025*100*(Q30*100))/(PI()/4*(N49/10)^2)),IF($S$10="SD-30",1/((0.002*100*(Q30*100))/(PI()/4*(N49/10)^2)),IF($S$10="SD-40",1/((0.0018*100*(Q30*100))/(PI()/4*(N49/10)^2)))))</f>
        <v>0.32313524436923585</v>
      </c>
      <c r="O50" s="186"/>
      <c r="P50" s="185">
        <f>IF($S$10="Sr-24",1/((0.0025*100*(Q30*100))/(PI()/4*(P49/10)^2)),IF($S$10="SD-30",1/((0.002*100*(Q30*100))/(PI()/4*(P49/10)^2)),IF($S$10="SD-40",1/((0.0018*100*(Q30*100))/(PI()/4*(P49/10)^2)))))</f>
        <v>0.5744626566564193</v>
      </c>
      <c r="Q50" s="186"/>
      <c r="R50" s="185">
        <f>IF($S$10="Sr-24",1/((0.0025*100*(Q30*100))/(PI()/4*(R49/10)^2)),IF($S$10="SD-30",1/((0.002*100*(Q30*100))/(PI()/4*(R49/10)^2)),IF($S$10="SD-40",1/((0.0018*100*(Q30*100))/(PI()/4*(R49/10)^2)))))</f>
        <v>0.8975979010256551</v>
      </c>
      <c r="S50" s="186"/>
      <c r="T50" s="209">
        <v>0.18</v>
      </c>
      <c r="U50" s="187" t="str">
        <f>IF(T50&lt;=I50,"OK","NG.")</f>
        <v>OK</v>
      </c>
      <c r="V50" s="15"/>
    </row>
    <row r="51" spans="2:22" ht="11.25" customHeight="1">
      <c r="B51" s="14"/>
      <c r="C51" s="11" t="s">
        <v>118</v>
      </c>
      <c r="D51" s="18"/>
      <c r="E51" s="24"/>
      <c r="F51" s="24"/>
      <c r="G51" s="11"/>
      <c r="H51" s="18" t="s">
        <v>4</v>
      </c>
      <c r="I51" s="188"/>
      <c r="J51" s="185">
        <f>MIN(0.3,$Q$30*3)</f>
        <v>0.3</v>
      </c>
      <c r="K51" s="186"/>
      <c r="L51" s="185">
        <f>MIN(0.3,$Q$30*3)</f>
        <v>0.3</v>
      </c>
      <c r="M51" s="186"/>
      <c r="N51" s="185">
        <f>MIN(0.3,$Q$30*3)</f>
        <v>0.3</v>
      </c>
      <c r="O51" s="186"/>
      <c r="P51" s="185">
        <f>MIN(0.3,$Q$30*3)</f>
        <v>0.3</v>
      </c>
      <c r="Q51" s="186"/>
      <c r="R51" s="185">
        <f>MIN(0.3,$Q$30*3)</f>
        <v>0.3</v>
      </c>
      <c r="S51" s="186"/>
      <c r="T51" s="210"/>
      <c r="U51" s="187"/>
      <c r="V51" s="15"/>
    </row>
    <row r="52" spans="2:22" ht="11.25" customHeight="1">
      <c r="B52" s="14"/>
      <c r="C52" s="11"/>
      <c r="D52" s="18"/>
      <c r="E52" s="24"/>
      <c r="F52" s="51"/>
      <c r="G52" s="11"/>
      <c r="H52" s="11"/>
      <c r="I52" s="11"/>
      <c r="J52" s="11"/>
      <c r="K52" s="18"/>
      <c r="L52" s="52"/>
      <c r="M52" s="11"/>
      <c r="N52" s="11"/>
      <c r="O52" s="11"/>
      <c r="P52" s="11"/>
      <c r="Q52" s="11"/>
      <c r="R52" s="11"/>
      <c r="S52" s="11"/>
      <c r="T52" s="11"/>
      <c r="U52" s="11"/>
      <c r="V52" s="15"/>
    </row>
    <row r="53" spans="2:22" ht="11.25" customHeight="1">
      <c r="B53" s="162" t="s">
        <v>15</v>
      </c>
      <c r="C53" s="163" t="s">
        <v>92</v>
      </c>
      <c r="D53" s="166"/>
      <c r="E53" s="170"/>
      <c r="F53" s="170"/>
      <c r="G53" s="164"/>
      <c r="H53" s="11"/>
      <c r="I53" s="11"/>
      <c r="J53" s="11"/>
      <c r="K53" s="1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5"/>
    </row>
    <row r="54" spans="2:22" ht="11.25" customHeight="1">
      <c r="B54" s="14"/>
      <c r="C54" s="11" t="s">
        <v>93</v>
      </c>
      <c r="D54" s="18"/>
      <c r="E54" s="11"/>
      <c r="F54" s="53"/>
      <c r="G54" s="11"/>
      <c r="H54" s="21" t="s">
        <v>4</v>
      </c>
      <c r="J54" s="218">
        <f>G31*H25/3</f>
        <v>1060</v>
      </c>
      <c r="K54" s="218"/>
      <c r="L54" s="20" t="s">
        <v>119</v>
      </c>
      <c r="M54" s="54"/>
      <c r="N54" s="20"/>
      <c r="O54" s="55"/>
      <c r="P54" s="11"/>
      <c r="Q54" s="11"/>
      <c r="R54" s="11"/>
      <c r="S54" s="11"/>
      <c r="T54" s="11"/>
      <c r="U54" s="11"/>
      <c r="V54" s="15"/>
    </row>
    <row r="55" spans="2:22" ht="11.25" customHeight="1">
      <c r="B55" s="14"/>
      <c r="C55" s="11" t="s">
        <v>94</v>
      </c>
      <c r="D55" s="11"/>
      <c r="E55" s="11"/>
      <c r="F55" s="18"/>
      <c r="G55" s="11"/>
      <c r="H55" s="21" t="s">
        <v>4</v>
      </c>
      <c r="J55" s="218">
        <f>J54*((3-$T$25^2)/2)</f>
        <v>1224.883</v>
      </c>
      <c r="K55" s="218"/>
      <c r="L55" s="20" t="s">
        <v>119</v>
      </c>
      <c r="M55" s="54"/>
      <c r="N55" s="20"/>
      <c r="O55" s="11"/>
      <c r="P55" s="11"/>
      <c r="Q55" s="11"/>
      <c r="R55" s="11"/>
      <c r="S55" s="11"/>
      <c r="T55" s="11"/>
      <c r="U55" s="11"/>
      <c r="V55" s="15"/>
    </row>
    <row r="56" spans="2:22" ht="11.25" customHeight="1">
      <c r="B56" s="16"/>
      <c r="C56" s="17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5"/>
    </row>
    <row r="57" spans="2:22" ht="11.25" customHeight="1">
      <c r="B57" s="162" t="s">
        <v>16</v>
      </c>
      <c r="C57" s="163" t="s">
        <v>95</v>
      </c>
      <c r="D57" s="163"/>
      <c r="E57" s="168"/>
      <c r="F57" s="168"/>
      <c r="G57" s="168"/>
      <c r="H57" s="151"/>
      <c r="I57" s="151"/>
      <c r="J57" s="151"/>
      <c r="K57" s="47"/>
      <c r="L57" s="47"/>
      <c r="M57" s="47"/>
      <c r="N57" s="18"/>
      <c r="O57" s="18"/>
      <c r="P57" s="18"/>
      <c r="Q57" s="47"/>
      <c r="R57" s="47"/>
      <c r="S57" s="47"/>
      <c r="T57" s="18"/>
      <c r="U57" s="18"/>
      <c r="V57" s="26"/>
    </row>
    <row r="58" spans="2:22" ht="11.25" customHeight="1">
      <c r="B58" s="16"/>
      <c r="C58" s="17"/>
      <c r="D58" s="17"/>
      <c r="E58" s="47"/>
      <c r="F58" s="47"/>
      <c r="G58" s="47"/>
      <c r="H58" s="18"/>
      <c r="I58" s="18"/>
      <c r="J58" s="18"/>
      <c r="K58" s="47"/>
      <c r="L58" s="47"/>
      <c r="M58" s="47"/>
      <c r="N58" s="18"/>
      <c r="O58" s="18"/>
      <c r="P58" s="18"/>
      <c r="Q58" s="47"/>
      <c r="R58" s="47"/>
      <c r="S58" s="47"/>
      <c r="T58" s="18"/>
      <c r="U58" s="18"/>
      <c r="V58" s="26"/>
    </row>
    <row r="59" spans="2:22" ht="11.25" customHeight="1">
      <c r="B59" s="16"/>
      <c r="C59" s="121"/>
      <c r="D59" s="122"/>
      <c r="E59" s="123"/>
      <c r="F59" s="123"/>
      <c r="G59" s="123"/>
      <c r="H59" s="124"/>
      <c r="I59" s="124"/>
      <c r="J59" s="124"/>
      <c r="K59" s="123"/>
      <c r="L59" s="123"/>
      <c r="M59" s="123"/>
      <c r="N59" s="124"/>
      <c r="O59" s="124"/>
      <c r="P59" s="124"/>
      <c r="Q59" s="123"/>
      <c r="R59" s="123"/>
      <c r="S59" s="123"/>
      <c r="T59" s="124"/>
      <c r="U59" s="125"/>
      <c r="V59" s="26"/>
    </row>
    <row r="60" spans="2:22" ht="11.25" customHeight="1">
      <c r="B60" s="14"/>
      <c r="C60" s="126"/>
      <c r="D60" s="17"/>
      <c r="E60" s="47"/>
      <c r="F60" s="47"/>
      <c r="G60" s="120"/>
      <c r="I60" s="119" t="str">
        <f>IF(S10="SR-24",IF(V39="",S60,"RB"&amp;V36&amp;" มม."&amp;" @  "&amp;FIXED(V39,2)&amp;" ม."),IF(V39="",S60,"DB"&amp;V36&amp;" มม."&amp;" @  "&amp;FIXED(V39,2)&amp;" ม."))</f>
        <v>RB9 มม. @  0.15 ม.</v>
      </c>
      <c r="J60" s="19"/>
      <c r="K60" s="47"/>
      <c r="L60" s="47"/>
      <c r="M60" s="120"/>
      <c r="N60" s="20"/>
      <c r="O60" s="19"/>
      <c r="P60" s="19"/>
      <c r="Q60" s="47"/>
      <c r="S60" s="118" t="str">
        <f>IF(V38="",I60,IF(S10="SR-24","RB"&amp;V36&amp;" มม. "&amp;" @  "&amp;FIXED(V38,2)&amp;" ม.","DB"&amp;V36&amp;" มม. "&amp;" @  "&amp;FIXED(V38,2)&amp;" ม."))</f>
        <v>RB9 มม.  @  0.08 ม.</v>
      </c>
      <c r="T60" s="20"/>
      <c r="U60" s="127"/>
      <c r="V60" s="56"/>
    </row>
    <row r="61" spans="2:22" ht="11.25" customHeight="1">
      <c r="B61" s="14"/>
      <c r="C61" s="126"/>
      <c r="D61" s="17"/>
      <c r="E61" s="47"/>
      <c r="F61" s="47"/>
      <c r="G61" s="120"/>
      <c r="I61" s="20"/>
      <c r="J61" s="19"/>
      <c r="K61" s="47"/>
      <c r="L61" s="47"/>
      <c r="M61" s="120"/>
      <c r="N61" s="20"/>
      <c r="O61" s="19"/>
      <c r="P61" s="19"/>
      <c r="Q61" s="47"/>
      <c r="S61" s="47"/>
      <c r="T61" s="20"/>
      <c r="U61" s="127"/>
      <c r="V61" s="56"/>
    </row>
    <row r="62" spans="2:22" ht="11.25" customHeight="1">
      <c r="B62" s="14"/>
      <c r="C62" s="126"/>
      <c r="D62" s="17"/>
      <c r="E62" s="47"/>
      <c r="F62" s="47"/>
      <c r="G62" s="120"/>
      <c r="I62" s="119" t="str">
        <f>I97</f>
        <v>RB9 มม. @  0.15 ม.</v>
      </c>
      <c r="J62" s="19"/>
      <c r="K62" s="47"/>
      <c r="L62" s="47"/>
      <c r="M62" s="120"/>
      <c r="N62" s="20"/>
      <c r="O62" s="19"/>
      <c r="P62" s="19"/>
      <c r="Q62" s="47"/>
      <c r="S62" s="118" t="str">
        <f>S97</f>
        <v>RB9 มม. @  0.10 ม.</v>
      </c>
      <c r="T62" s="20"/>
      <c r="U62" s="127"/>
      <c r="V62" s="56"/>
    </row>
    <row r="63" spans="2:22" ht="11.25" customHeight="1">
      <c r="B63" s="14"/>
      <c r="C63" s="126"/>
      <c r="D63" s="17"/>
      <c r="E63" s="47"/>
      <c r="F63" s="47"/>
      <c r="G63" s="120"/>
      <c r="H63" s="20"/>
      <c r="I63" s="19"/>
      <c r="J63" s="19"/>
      <c r="K63" s="47"/>
      <c r="L63" s="47"/>
      <c r="M63" s="120"/>
      <c r="N63" s="20"/>
      <c r="O63" s="19"/>
      <c r="P63" s="19"/>
      <c r="Q63" s="47"/>
      <c r="R63" s="47"/>
      <c r="S63" s="120"/>
      <c r="T63" s="20"/>
      <c r="U63" s="127"/>
      <c r="V63" s="56"/>
    </row>
    <row r="64" spans="2:22" ht="11.25" customHeight="1">
      <c r="B64" s="14"/>
      <c r="C64" s="126"/>
      <c r="D64" s="17"/>
      <c r="E64" s="47"/>
      <c r="F64" s="47"/>
      <c r="G64" s="120"/>
      <c r="H64" s="20"/>
      <c r="I64" s="19"/>
      <c r="J64" s="19"/>
      <c r="K64" s="47"/>
      <c r="L64" s="47"/>
      <c r="M64" s="120"/>
      <c r="N64" s="20"/>
      <c r="O64" s="19"/>
      <c r="P64" s="19"/>
      <c r="Q64" s="47"/>
      <c r="R64" s="47"/>
      <c r="S64" s="120"/>
      <c r="T64" s="20"/>
      <c r="U64" s="127"/>
      <c r="V64" s="56"/>
    </row>
    <row r="65" spans="2:22" ht="11.25" customHeight="1">
      <c r="B65" s="14"/>
      <c r="C65" s="126"/>
      <c r="D65" s="17"/>
      <c r="E65" s="47"/>
      <c r="F65" s="47"/>
      <c r="G65" s="120"/>
      <c r="H65" s="20"/>
      <c r="I65" s="19"/>
      <c r="J65" s="19"/>
      <c r="K65" s="47"/>
      <c r="L65" s="47"/>
      <c r="M65" s="120"/>
      <c r="N65" s="20"/>
      <c r="O65" s="19"/>
      <c r="P65" s="19"/>
      <c r="Q65" s="47"/>
      <c r="R65" s="47"/>
      <c r="S65" s="120"/>
      <c r="T65" s="20"/>
      <c r="U65" s="127"/>
      <c r="V65" s="56"/>
    </row>
    <row r="66" spans="2:22" ht="11.25" customHeight="1">
      <c r="B66" s="137"/>
      <c r="C66" s="136" t="str">
        <f>FIXED(Q30,2)&amp;" "&amp;R30</f>
        <v>0.14 ม.</v>
      </c>
      <c r="D66" s="17"/>
      <c r="E66" s="47"/>
      <c r="F66" s="47"/>
      <c r="G66" s="120"/>
      <c r="H66" s="20"/>
      <c r="I66" s="19"/>
      <c r="J66" s="19"/>
      <c r="K66" s="47"/>
      <c r="L66" s="47"/>
      <c r="M66" s="120"/>
      <c r="N66" s="20"/>
      <c r="O66" s="19"/>
      <c r="P66" s="19"/>
      <c r="Q66" s="47"/>
      <c r="R66" s="47"/>
      <c r="S66" s="120"/>
      <c r="T66" s="20"/>
      <c r="U66" s="127"/>
      <c r="V66" s="56"/>
    </row>
    <row r="67" spans="2:22" ht="11.25" customHeight="1">
      <c r="B67" s="14"/>
      <c r="C67" s="126"/>
      <c r="D67" s="17"/>
      <c r="E67" s="47"/>
      <c r="F67" s="47"/>
      <c r="G67" s="120"/>
      <c r="H67" s="20"/>
      <c r="I67" s="19"/>
      <c r="J67" s="19"/>
      <c r="K67" s="47"/>
      <c r="L67" s="47"/>
      <c r="M67" s="120"/>
      <c r="N67" s="20"/>
      <c r="O67" s="19"/>
      <c r="P67" s="19"/>
      <c r="Q67" s="47"/>
      <c r="R67" s="47"/>
      <c r="S67" s="120"/>
      <c r="T67" s="20"/>
      <c r="U67" s="127"/>
      <c r="V67" s="56"/>
    </row>
    <row r="68" spans="2:22" ht="11.25" customHeight="1">
      <c r="B68" s="14"/>
      <c r="C68" s="126"/>
      <c r="D68" s="17"/>
      <c r="E68" s="47"/>
      <c r="F68" s="47"/>
      <c r="G68" s="120"/>
      <c r="H68" s="20"/>
      <c r="I68" s="19"/>
      <c r="J68" s="19"/>
      <c r="K68" s="47"/>
      <c r="L68" s="47"/>
      <c r="M68" s="120"/>
      <c r="N68" s="20"/>
      <c r="O68" s="19"/>
      <c r="P68" s="19"/>
      <c r="Q68" s="47"/>
      <c r="R68" s="47"/>
      <c r="S68" s="120"/>
      <c r="T68" s="20"/>
      <c r="U68" s="127"/>
      <c r="V68" s="56"/>
    </row>
    <row r="69" spans="2:22" ht="11.25" customHeight="1">
      <c r="B69" s="14"/>
      <c r="C69" s="126"/>
      <c r="D69" s="17"/>
      <c r="E69" s="47"/>
      <c r="F69" s="47"/>
      <c r="G69" s="120"/>
      <c r="H69" s="20"/>
      <c r="I69" s="19"/>
      <c r="J69" s="19"/>
      <c r="K69" s="118" t="str">
        <f>IF(S10="SR-24","RB"&amp;V42&amp;" มม."&amp;" @  "&amp;FIXED(V46,2)&amp;" ม.","DB"&amp;V42&amp;" มม."&amp;" @  "&amp;FIXED(V46,2)&amp;" ม.")</f>
        <v>RB9 มม. @  0.13 ม.</v>
      </c>
      <c r="L69" s="47"/>
      <c r="M69" s="120"/>
      <c r="N69" s="20"/>
      <c r="O69" s="19"/>
      <c r="P69" s="19"/>
      <c r="Q69" s="47"/>
      <c r="R69" s="47"/>
      <c r="S69" s="120"/>
      <c r="T69" s="20"/>
      <c r="U69" s="127"/>
      <c r="V69" s="56"/>
    </row>
    <row r="70" spans="2:22" ht="11.25" customHeight="1">
      <c r="B70" s="14"/>
      <c r="C70" s="126"/>
      <c r="D70" s="17"/>
      <c r="E70" s="47"/>
      <c r="F70" s="138" t="s">
        <v>42</v>
      </c>
      <c r="G70" s="120"/>
      <c r="H70" s="20"/>
      <c r="I70" s="19"/>
      <c r="J70" s="19"/>
      <c r="K70" s="47"/>
      <c r="L70" s="47"/>
      <c r="M70" s="120"/>
      <c r="N70" s="20"/>
      <c r="O70" s="19"/>
      <c r="P70" s="250" t="s">
        <v>42</v>
      </c>
      <c r="Q70" s="250"/>
      <c r="R70" s="47"/>
      <c r="S70" s="120"/>
      <c r="T70" s="20"/>
      <c r="U70" s="127"/>
      <c r="V70" s="56"/>
    </row>
    <row r="71" spans="2:22" ht="11.25" customHeight="1">
      <c r="B71" s="14"/>
      <c r="C71" s="126"/>
      <c r="D71" s="17"/>
      <c r="E71" s="47"/>
      <c r="F71" s="47"/>
      <c r="G71" s="120"/>
      <c r="H71" s="20"/>
      <c r="I71" s="19"/>
      <c r="J71" s="19"/>
      <c r="K71" s="118" t="str">
        <f>IF(S10="SR-24","RB"&amp;V36&amp;" มม."&amp;" @  "&amp;FIXED(V40,2)&amp;" ม.","DB"&amp;V36&amp;" มม."&amp;" @  "&amp;FIXED(V40,2)&amp;" ม.")</f>
        <v>RB9 มม. @  0.10 ม.</v>
      </c>
      <c r="L71" s="47"/>
      <c r="M71" s="120"/>
      <c r="N71" s="20"/>
      <c r="O71" s="19"/>
      <c r="P71" s="19"/>
      <c r="Q71" s="47"/>
      <c r="R71" s="47"/>
      <c r="S71" s="120"/>
      <c r="T71" s="20"/>
      <c r="U71" s="127"/>
      <c r="V71" s="56"/>
    </row>
    <row r="72" spans="2:22" ht="11.25" customHeight="1">
      <c r="B72" s="14"/>
      <c r="C72" s="126"/>
      <c r="D72" s="17"/>
      <c r="E72" s="47"/>
      <c r="F72" s="47"/>
      <c r="G72" s="120"/>
      <c r="H72" s="20"/>
      <c r="I72" s="19"/>
      <c r="J72" s="19"/>
      <c r="K72" s="47"/>
      <c r="L72" s="47"/>
      <c r="M72" s="120"/>
      <c r="N72" s="20"/>
      <c r="O72" s="19"/>
      <c r="P72" s="19"/>
      <c r="Q72" s="47"/>
      <c r="R72" s="47"/>
      <c r="S72" s="120"/>
      <c r="T72" s="20"/>
      <c r="U72" s="127"/>
      <c r="V72" s="56"/>
    </row>
    <row r="73" spans="2:22" ht="11.25" customHeight="1">
      <c r="B73" s="14"/>
      <c r="C73" s="126"/>
      <c r="D73" s="17"/>
      <c r="E73" s="47"/>
      <c r="F73" s="47"/>
      <c r="G73" s="120"/>
      <c r="H73" s="20"/>
      <c r="I73" s="19"/>
      <c r="J73" s="19"/>
      <c r="K73" s="47"/>
      <c r="L73" s="47"/>
      <c r="M73" s="120"/>
      <c r="N73" s="20"/>
      <c r="O73" s="19"/>
      <c r="P73" s="19"/>
      <c r="Q73" s="47"/>
      <c r="R73" s="47"/>
      <c r="S73" s="120"/>
      <c r="T73" s="20"/>
      <c r="U73" s="127"/>
      <c r="V73" s="56"/>
    </row>
    <row r="74" spans="2:22" ht="11.25" customHeight="1">
      <c r="B74" s="14"/>
      <c r="C74" s="126"/>
      <c r="D74" s="17"/>
      <c r="E74" s="47"/>
      <c r="F74" s="47"/>
      <c r="G74" s="120"/>
      <c r="H74" s="20"/>
      <c r="I74" s="19"/>
      <c r="J74" s="19"/>
      <c r="K74" s="47"/>
      <c r="L74" s="47"/>
      <c r="M74" s="120"/>
      <c r="N74" s="20"/>
      <c r="O74" s="19"/>
      <c r="P74" s="19"/>
      <c r="Q74" s="47"/>
      <c r="R74" s="47"/>
      <c r="S74" s="120"/>
      <c r="T74" s="20"/>
      <c r="U74" s="127"/>
      <c r="V74" s="56"/>
    </row>
    <row r="75" spans="2:22" ht="11.25" customHeight="1">
      <c r="B75" s="16"/>
      <c r="C75" s="126"/>
      <c r="D75" s="17"/>
      <c r="E75" s="47"/>
      <c r="F75" s="47"/>
      <c r="G75" s="120"/>
      <c r="H75" s="20"/>
      <c r="I75" s="19"/>
      <c r="J75" s="19"/>
      <c r="K75" s="47"/>
      <c r="L75" s="47"/>
      <c r="M75" s="120"/>
      <c r="N75" s="20"/>
      <c r="O75" s="19"/>
      <c r="P75" s="19"/>
      <c r="Q75" s="47"/>
      <c r="R75" s="47"/>
      <c r="S75" s="120"/>
      <c r="T75" s="20"/>
      <c r="U75" s="127"/>
      <c r="V75" s="56"/>
    </row>
    <row r="76" spans="2:22" ht="11.25" customHeight="1">
      <c r="B76" s="14"/>
      <c r="C76" s="126"/>
      <c r="D76" s="17"/>
      <c r="E76" s="47"/>
      <c r="F76" s="47"/>
      <c r="G76" s="120"/>
      <c r="H76" s="20"/>
      <c r="I76" s="19"/>
      <c r="J76" s="19"/>
      <c r="K76" s="47"/>
      <c r="L76" s="47"/>
      <c r="M76" s="120"/>
      <c r="N76" s="20"/>
      <c r="O76" s="19"/>
      <c r="P76" s="19"/>
      <c r="Q76" s="47"/>
      <c r="R76" s="47"/>
      <c r="S76" s="120"/>
      <c r="T76" s="20"/>
      <c r="U76" s="127"/>
      <c r="V76" s="56"/>
    </row>
    <row r="77" spans="2:22" ht="11.25" customHeight="1">
      <c r="B77" s="14"/>
      <c r="C77" s="126"/>
      <c r="D77" s="17"/>
      <c r="E77" s="47"/>
      <c r="F77" s="47"/>
      <c r="G77" s="120"/>
      <c r="H77" s="20"/>
      <c r="I77" s="19"/>
      <c r="J77" s="19"/>
      <c r="K77" s="11"/>
      <c r="L77" s="11"/>
      <c r="M77" s="11"/>
      <c r="N77" s="20"/>
      <c r="O77" s="19"/>
      <c r="P77" s="19"/>
      <c r="Q77" s="47"/>
      <c r="R77" s="47"/>
      <c r="S77" s="120"/>
      <c r="T77" s="20"/>
      <c r="U77" s="127"/>
      <c r="V77" s="56"/>
    </row>
    <row r="78" spans="2:22" ht="11.25" customHeight="1">
      <c r="B78" s="14"/>
      <c r="C78" s="126"/>
      <c r="D78" s="17"/>
      <c r="E78" s="47"/>
      <c r="F78" s="47"/>
      <c r="G78" s="120"/>
      <c r="H78" s="20"/>
      <c r="I78" s="19"/>
      <c r="J78" s="240" t="str">
        <f>"ด้านสั้น =  "&amp;FIXED(H25,2)&amp;"  "&amp;J25</f>
        <v>ด้านสั้น =  5.00  ม.</v>
      </c>
      <c r="K78" s="240"/>
      <c r="L78" s="240"/>
      <c r="M78" s="120"/>
      <c r="N78" s="20"/>
      <c r="O78" s="19"/>
      <c r="P78" s="19"/>
      <c r="Q78" s="47"/>
      <c r="R78" s="47"/>
      <c r="S78" s="120"/>
      <c r="T78" s="20"/>
      <c r="U78" s="127"/>
      <c r="V78" s="56"/>
    </row>
    <row r="79" spans="2:22" ht="11.25" customHeight="1">
      <c r="B79" s="14"/>
      <c r="C79" s="126"/>
      <c r="D79" s="17"/>
      <c r="E79" s="47"/>
      <c r="F79" s="47"/>
      <c r="G79" s="120"/>
      <c r="H79" s="20"/>
      <c r="I79" s="19"/>
      <c r="J79" s="249" t="s">
        <v>43</v>
      </c>
      <c r="K79" s="249"/>
      <c r="L79" s="249"/>
      <c r="M79" s="120"/>
      <c r="N79" s="20"/>
      <c r="O79" s="19"/>
      <c r="P79" s="19"/>
      <c r="Q79" s="47"/>
      <c r="R79" s="47"/>
      <c r="S79" s="120"/>
      <c r="T79" s="20"/>
      <c r="U79" s="127"/>
      <c r="V79" s="56"/>
    </row>
    <row r="80" spans="2:22" ht="11.25" customHeight="1">
      <c r="B80" s="14"/>
      <c r="C80" s="128"/>
      <c r="D80" s="129"/>
      <c r="E80" s="130"/>
      <c r="F80" s="130"/>
      <c r="G80" s="131"/>
      <c r="H80" s="132"/>
      <c r="I80" s="133"/>
      <c r="J80" s="133"/>
      <c r="K80" s="130"/>
      <c r="L80" s="130"/>
      <c r="M80" s="131"/>
      <c r="N80" s="132"/>
      <c r="O80" s="133"/>
      <c r="P80" s="133"/>
      <c r="Q80" s="130"/>
      <c r="R80" s="130"/>
      <c r="S80" s="131"/>
      <c r="T80" s="132"/>
      <c r="U80" s="134"/>
      <c r="V80" s="56"/>
    </row>
    <row r="81" spans="2:22" ht="11.25" customHeight="1">
      <c r="B81" s="14"/>
      <c r="C81" s="17"/>
      <c r="D81" s="17"/>
      <c r="E81" s="47"/>
      <c r="F81" s="47"/>
      <c r="G81" s="101"/>
      <c r="H81" s="20"/>
      <c r="I81" s="19"/>
      <c r="J81" s="19"/>
      <c r="K81" s="47"/>
      <c r="L81" s="47"/>
      <c r="M81" s="101"/>
      <c r="N81" s="20"/>
      <c r="O81" s="19"/>
      <c r="P81" s="19"/>
      <c r="Q81" s="47"/>
      <c r="R81" s="47"/>
      <c r="S81" s="101"/>
      <c r="T81" s="20"/>
      <c r="U81" s="19"/>
      <c r="V81" s="56"/>
    </row>
    <row r="82" spans="2:22" ht="11.25" customHeight="1">
      <c r="B82" s="14"/>
      <c r="C82" s="17"/>
      <c r="D82" s="17"/>
      <c r="E82" s="47"/>
      <c r="F82" s="47"/>
      <c r="G82" s="101"/>
      <c r="H82" s="20"/>
      <c r="I82" s="19"/>
      <c r="J82" s="19"/>
      <c r="K82" s="47"/>
      <c r="L82" s="47"/>
      <c r="M82" s="101"/>
      <c r="N82" s="20"/>
      <c r="O82" s="19"/>
      <c r="P82" s="116"/>
      <c r="Q82" s="117"/>
      <c r="R82" s="117"/>
      <c r="S82" s="117"/>
      <c r="T82" s="117"/>
      <c r="U82" s="19"/>
      <c r="V82" s="56"/>
    </row>
    <row r="83" spans="2:22" ht="11.25" customHeight="1">
      <c r="B83" s="14"/>
      <c r="C83" s="17"/>
      <c r="D83" s="17"/>
      <c r="E83" s="47"/>
      <c r="F83" s="47"/>
      <c r="G83" s="104"/>
      <c r="H83" s="20"/>
      <c r="I83" s="19"/>
      <c r="J83" s="19"/>
      <c r="K83" s="47"/>
      <c r="L83" s="47"/>
      <c r="M83" s="104"/>
      <c r="N83" s="20"/>
      <c r="O83" s="19"/>
      <c r="P83" s="17" t="str">
        <f>O3&amp;"   "&amp;Q3</f>
        <v>วิศวกรโครงสร้าง :   นาย สุธีร์     แก้วคำ  สย.9698</v>
      </c>
      <c r="Q83" s="47"/>
      <c r="R83" s="47"/>
      <c r="S83" s="104"/>
      <c r="T83" s="20"/>
      <c r="U83" s="19"/>
      <c r="V83" s="56"/>
    </row>
    <row r="84" spans="2:22" ht="11.25" customHeight="1"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57"/>
      <c r="P84" s="11"/>
      <c r="Q84" s="11"/>
      <c r="R84" s="11"/>
      <c r="S84" s="11"/>
      <c r="T84" s="11"/>
      <c r="U84" s="11"/>
      <c r="V84" s="15"/>
    </row>
    <row r="85" spans="2:22" ht="11.25" customHeight="1" thickBot="1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59"/>
      <c r="Q85" s="59"/>
      <c r="R85" s="59"/>
      <c r="S85" s="59"/>
      <c r="T85" s="59"/>
      <c r="U85" s="59"/>
      <c r="V85" s="61"/>
    </row>
    <row r="86" spans="2:22" ht="11.25" customHeight="1">
      <c r="B86" s="107"/>
      <c r="C86" s="243" t="s">
        <v>126</v>
      </c>
      <c r="D86" s="243"/>
      <c r="E86" s="243"/>
      <c r="F86" s="243"/>
      <c r="G86" s="244"/>
      <c r="H86" s="114" t="s">
        <v>47</v>
      </c>
      <c r="I86" s="108"/>
      <c r="J86" s="108" t="str">
        <f>J2</f>
        <v>อาคารคอนกรีตเสริมเหล็ก 2 ชั้น</v>
      </c>
      <c r="K86" s="2"/>
      <c r="L86" s="3"/>
      <c r="M86" s="4"/>
      <c r="N86" s="115"/>
      <c r="O86" s="5" t="s">
        <v>49</v>
      </c>
      <c r="P86" s="5"/>
      <c r="Q86" s="206" t="str">
        <f>Q2</f>
        <v>S1</v>
      </c>
      <c r="R86" s="206"/>
      <c r="S86" s="206"/>
      <c r="T86" s="207"/>
      <c r="U86" s="234" t="s">
        <v>32</v>
      </c>
      <c r="V86" s="110">
        <f>V2+1</f>
        <v>2</v>
      </c>
    </row>
    <row r="87" spans="2:22" ht="11.25" customHeight="1">
      <c r="B87" s="109"/>
      <c r="C87" s="245"/>
      <c r="D87" s="245"/>
      <c r="E87" s="245"/>
      <c r="F87" s="245"/>
      <c r="G87" s="246"/>
      <c r="H87" s="105" t="s">
        <v>51</v>
      </c>
      <c r="I87" s="106"/>
      <c r="J87" s="106" t="str">
        <f>J3</f>
        <v>พ.ต.ท. ธงชัย ภัยพิทักษ์</v>
      </c>
      <c r="K87" s="8"/>
      <c r="L87" s="9"/>
      <c r="M87" s="10"/>
      <c r="N87" s="15"/>
      <c r="O87" s="189" t="s">
        <v>52</v>
      </c>
      <c r="P87" s="190"/>
      <c r="Q87" s="191" t="str">
        <f>Q3</f>
        <v>นาย สุธีร์     แก้วคำ  สย.9698</v>
      </c>
      <c r="R87" s="191"/>
      <c r="S87" s="191"/>
      <c r="T87" s="192"/>
      <c r="U87" s="235"/>
      <c r="V87" s="112" t="s">
        <v>33</v>
      </c>
    </row>
    <row r="88" spans="2:22" ht="11.25" customHeight="1">
      <c r="B88" s="109"/>
      <c r="C88" s="245" t="s">
        <v>127</v>
      </c>
      <c r="D88" s="245"/>
      <c r="E88" s="245"/>
      <c r="F88" s="245"/>
      <c r="G88" s="246"/>
      <c r="H88" s="105" t="s">
        <v>54</v>
      </c>
      <c r="I88" s="106"/>
      <c r="J88" s="106" t="str">
        <f>J4</f>
        <v>นนทบุรี</v>
      </c>
      <c r="K88" s="8"/>
      <c r="L88" s="12"/>
      <c r="M88" s="13"/>
      <c r="N88" s="15"/>
      <c r="O88" s="195" t="s">
        <v>55</v>
      </c>
      <c r="P88" s="195"/>
      <c r="Q88" s="193">
        <f>Q4</f>
        <v>39603</v>
      </c>
      <c r="R88" s="193"/>
      <c r="S88" s="193"/>
      <c r="T88" s="194"/>
      <c r="U88" s="235"/>
      <c r="V88" s="111">
        <f>V86</f>
        <v>2</v>
      </c>
    </row>
    <row r="89" spans="2:22" ht="11.25" customHeight="1" thickBot="1">
      <c r="B89" s="14"/>
      <c r="C89" s="247"/>
      <c r="D89" s="247"/>
      <c r="E89" s="247"/>
      <c r="F89" s="247"/>
      <c r="G89" s="248"/>
      <c r="H89" s="58"/>
      <c r="I89" s="59"/>
      <c r="J89" s="59"/>
      <c r="K89" s="59"/>
      <c r="L89" s="59"/>
      <c r="M89" s="59"/>
      <c r="N89" s="61"/>
      <c r="O89" s="59"/>
      <c r="P89" s="59"/>
      <c r="Q89" s="59"/>
      <c r="R89" s="59"/>
      <c r="S89" s="59"/>
      <c r="T89" s="59"/>
      <c r="U89" s="236"/>
      <c r="V89" s="113"/>
    </row>
    <row r="90" spans="2:22" ht="11.25" customHeight="1" thickBot="1">
      <c r="B90" s="200" t="str">
        <f>B6</f>
        <v>ออกแบบพื้นคอนกรีตเสริมเหล็กสองทางทาง - วิธีหน่วยแรงใช้งานอ้างอิง ว.ส.ท. 1007-34 วิธีที่ 2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2"/>
    </row>
    <row r="91" spans="2:22" ht="11.25" customHeight="1"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7"/>
      <c r="P91" s="11"/>
      <c r="Q91" s="11"/>
      <c r="R91" s="11"/>
      <c r="S91" s="11"/>
      <c r="T91" s="11"/>
      <c r="U91" s="11"/>
      <c r="V91" s="15"/>
    </row>
    <row r="92" spans="2:22" ht="11.25" customHeight="1">
      <c r="B92" s="162" t="s">
        <v>31</v>
      </c>
      <c r="C92" s="163" t="s">
        <v>96</v>
      </c>
      <c r="D92" s="164"/>
      <c r="E92" s="164"/>
      <c r="F92" s="164"/>
      <c r="G92" s="164"/>
      <c r="H92" s="11"/>
      <c r="I92" s="11"/>
      <c r="J92" s="11"/>
      <c r="K92" s="11"/>
      <c r="L92" s="11"/>
      <c r="M92" s="11"/>
      <c r="N92" s="11"/>
      <c r="O92" s="57"/>
      <c r="P92" s="11"/>
      <c r="Q92" s="11"/>
      <c r="R92" s="11"/>
      <c r="S92" s="11"/>
      <c r="T92" s="11"/>
      <c r="U92" s="11"/>
      <c r="V92" s="15"/>
    </row>
    <row r="93" spans="2:22" ht="11.25" customHeight="1"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57"/>
      <c r="P93" s="11"/>
      <c r="Q93" s="11"/>
      <c r="R93" s="11"/>
      <c r="S93" s="11"/>
      <c r="T93" s="11"/>
      <c r="U93" s="11"/>
      <c r="V93" s="15"/>
    </row>
    <row r="94" spans="2:22" ht="11.25" customHeight="1"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57"/>
      <c r="P94" s="11"/>
      <c r="Q94" s="11"/>
      <c r="R94" s="11"/>
      <c r="S94" s="11"/>
      <c r="T94" s="11"/>
      <c r="U94" s="11"/>
      <c r="V94" s="15"/>
    </row>
    <row r="95" spans="2:22" ht="11.25" customHeight="1">
      <c r="B95" s="14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  <c r="P95" s="145"/>
      <c r="Q95" s="145"/>
      <c r="R95" s="145"/>
      <c r="S95" s="145"/>
      <c r="T95" s="145"/>
      <c r="U95" s="147"/>
      <c r="V95" s="15"/>
    </row>
    <row r="96" spans="2:22" ht="11.25" customHeight="1">
      <c r="B96" s="14"/>
      <c r="C96" s="139"/>
      <c r="D96" s="11"/>
      <c r="E96" s="11"/>
      <c r="F96" s="11"/>
      <c r="G96" s="11"/>
      <c r="I96" s="11"/>
      <c r="J96" s="11"/>
      <c r="K96" s="11"/>
      <c r="L96" s="11"/>
      <c r="M96" s="11"/>
      <c r="N96" s="11"/>
      <c r="O96" s="57"/>
      <c r="P96" s="11"/>
      <c r="Q96" s="11"/>
      <c r="S96" s="11"/>
      <c r="T96" s="11"/>
      <c r="U96" s="140"/>
      <c r="V96" s="15"/>
    </row>
    <row r="97" spans="2:22" ht="11.25" customHeight="1">
      <c r="B97" s="14"/>
      <c r="C97" s="139"/>
      <c r="D97" s="11"/>
      <c r="E97" s="11"/>
      <c r="F97" s="11"/>
      <c r="G97" s="11"/>
      <c r="I97" s="17" t="str">
        <f>IF(S10="SR-24",IF(V45="",S97,"RB"&amp;V42&amp;" มม."&amp;" @  "&amp;FIXED(V45,2)&amp;" ม."),IF(V45="",S97,"DB"&amp;V42&amp;" มม."&amp;" @  "&amp;FIXED(V45,2)&amp;" ม."))</f>
        <v>RB9 มม. @  0.15 ม.</v>
      </c>
      <c r="J97" s="11"/>
      <c r="K97" s="11"/>
      <c r="L97" s="11"/>
      <c r="M97" s="11"/>
      <c r="N97" s="11"/>
      <c r="O97" s="11"/>
      <c r="P97" s="11"/>
      <c r="Q97" s="11"/>
      <c r="S97" s="17" t="str">
        <f>IF(S10="SR-24",IF(V44="",I97,"RB"&amp;V42&amp;" มม."&amp;" @  "&amp;FIXED(V44,2)&amp;" ม."),IF(V44="",I97,"DB"&amp;V42&amp;" มม."&amp;" @  "&amp;FIXED(V44,2)&amp;" ม."))</f>
        <v>RB9 มม. @  0.10 ม.</v>
      </c>
      <c r="T97" s="11"/>
      <c r="U97" s="140"/>
      <c r="V97" s="15"/>
    </row>
    <row r="98" spans="2:22" ht="11.25" customHeight="1">
      <c r="B98" s="14"/>
      <c r="C98" s="139"/>
      <c r="D98" s="11"/>
      <c r="E98" s="11"/>
      <c r="F98" s="11"/>
      <c r="G98" s="11"/>
      <c r="I98" s="11"/>
      <c r="J98" s="11"/>
      <c r="K98" s="11"/>
      <c r="L98" s="11"/>
      <c r="M98" s="11"/>
      <c r="N98" s="11"/>
      <c r="O98" s="11"/>
      <c r="P98" s="11"/>
      <c r="Q98" s="11"/>
      <c r="S98" s="11"/>
      <c r="T98" s="11"/>
      <c r="U98" s="140"/>
      <c r="V98" s="15"/>
    </row>
    <row r="99" spans="2:22" ht="11.25" customHeight="1">
      <c r="B99" s="14"/>
      <c r="C99" s="139"/>
      <c r="D99" s="11"/>
      <c r="E99" s="11"/>
      <c r="F99" s="11"/>
      <c r="G99" s="11"/>
      <c r="I99" s="17" t="str">
        <f>I60</f>
        <v>RB9 มม. @  0.15 ม.</v>
      </c>
      <c r="J99" s="11"/>
      <c r="K99" s="11"/>
      <c r="L99" s="11"/>
      <c r="M99" s="11"/>
      <c r="N99" s="11"/>
      <c r="O99" s="11"/>
      <c r="P99" s="11"/>
      <c r="Q99" s="11"/>
      <c r="S99" s="17" t="str">
        <f>S60</f>
        <v>RB9 มม.  @  0.08 ม.</v>
      </c>
      <c r="T99" s="11"/>
      <c r="U99" s="140"/>
      <c r="V99" s="15"/>
    </row>
    <row r="100" spans="2:22" ht="11.25" customHeight="1">
      <c r="B100" s="14"/>
      <c r="C100" s="13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40"/>
      <c r="V100" s="15"/>
    </row>
    <row r="101" spans="2:22" ht="11.25" customHeight="1">
      <c r="B101" s="14"/>
      <c r="C101" s="13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40"/>
      <c r="V101" s="15"/>
    </row>
    <row r="102" spans="2:22" ht="11.25" customHeight="1">
      <c r="B102" s="14"/>
      <c r="C102" s="13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40"/>
      <c r="V102" s="15"/>
    </row>
    <row r="103" spans="2:22" ht="11.25" customHeight="1">
      <c r="B103" s="14"/>
      <c r="C103" s="126" t="str">
        <f>FIXED(Q30,2)&amp;" "&amp;R30</f>
        <v>0.14 ม.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40"/>
      <c r="V103" s="15"/>
    </row>
    <row r="104" spans="2:22" ht="11.25" customHeight="1">
      <c r="B104" s="14"/>
      <c r="C104" s="13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40"/>
      <c r="V104" s="15"/>
    </row>
    <row r="105" spans="2:22" ht="11.25" customHeight="1">
      <c r="B105" s="14"/>
      <c r="C105" s="13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40"/>
      <c r="V105" s="15"/>
    </row>
    <row r="106" spans="2:22" ht="11.25" customHeight="1">
      <c r="B106" s="14"/>
      <c r="C106" s="139"/>
      <c r="D106" s="11"/>
      <c r="E106" s="11"/>
      <c r="F106" s="11"/>
      <c r="G106" s="11"/>
      <c r="H106" s="11"/>
      <c r="I106" s="11"/>
      <c r="J106" s="11"/>
      <c r="K106" s="17" t="str">
        <f>K71</f>
        <v>RB9 มม. @  0.10 ม.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40"/>
      <c r="V106" s="15"/>
    </row>
    <row r="107" spans="2:22" ht="11.25" customHeight="1">
      <c r="B107" s="14"/>
      <c r="C107" s="13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40"/>
      <c r="V107" s="15"/>
    </row>
    <row r="108" spans="2:22" ht="11.25" customHeight="1">
      <c r="B108" s="14"/>
      <c r="C108" s="139"/>
      <c r="D108" s="11"/>
      <c r="E108" s="11"/>
      <c r="F108" s="138" t="s">
        <v>44</v>
      </c>
      <c r="G108" s="11"/>
      <c r="H108" s="11"/>
      <c r="I108" s="11"/>
      <c r="J108" s="11"/>
      <c r="K108" s="17" t="str">
        <f>K69</f>
        <v>RB9 มม. @  0.13 ม.</v>
      </c>
      <c r="L108" s="11"/>
      <c r="M108" s="11"/>
      <c r="N108" s="11"/>
      <c r="O108" s="11"/>
      <c r="P108" s="138" t="s">
        <v>44</v>
      </c>
      <c r="Q108" s="148"/>
      <c r="R108" s="11"/>
      <c r="S108" s="11"/>
      <c r="T108" s="11"/>
      <c r="U108" s="140"/>
      <c r="V108" s="15"/>
    </row>
    <row r="109" spans="2:22" ht="11.25" customHeight="1">
      <c r="B109" s="14"/>
      <c r="C109" s="13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40"/>
      <c r="V109" s="15"/>
    </row>
    <row r="110" spans="2:22" ht="11.25" customHeight="1">
      <c r="B110" s="14"/>
      <c r="C110" s="13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40"/>
      <c r="V110" s="15"/>
    </row>
    <row r="111" spans="2:22" ht="11.25" customHeight="1">
      <c r="B111" s="14"/>
      <c r="C111" s="13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40"/>
      <c r="V111" s="15"/>
    </row>
    <row r="112" spans="2:22" ht="11.25" customHeight="1">
      <c r="B112" s="14"/>
      <c r="C112" s="13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40"/>
      <c r="V112" s="15"/>
    </row>
    <row r="113" spans="2:22" ht="11.25" customHeight="1">
      <c r="B113" s="14"/>
      <c r="C113" s="13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40"/>
      <c r="V113" s="15"/>
    </row>
    <row r="114" spans="2:22" ht="11.25" customHeight="1">
      <c r="B114" s="14"/>
      <c r="C114" s="13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40"/>
      <c r="V114" s="15"/>
    </row>
    <row r="115" spans="2:22" ht="11.25" customHeight="1">
      <c r="B115" s="14"/>
      <c r="C115" s="139"/>
      <c r="D115" s="11"/>
      <c r="E115" s="11"/>
      <c r="F115" s="11"/>
      <c r="G115" s="11"/>
      <c r="H115" s="11"/>
      <c r="I115" s="240" t="str">
        <f>"ด้านยาว =  "&amp;FIXED(N25,2)&amp;"  "&amp;P25</f>
        <v>ด้านยาว =  6.00  ม.</v>
      </c>
      <c r="J115" s="240"/>
      <c r="K115" s="240"/>
      <c r="L115" s="240"/>
      <c r="M115" s="240"/>
      <c r="N115" s="11"/>
      <c r="O115" s="11"/>
      <c r="P115" s="11"/>
      <c r="Q115" s="11"/>
      <c r="R115" s="11"/>
      <c r="S115" s="11"/>
      <c r="T115" s="11"/>
      <c r="U115" s="140"/>
      <c r="V115" s="15"/>
    </row>
    <row r="116" spans="2:22" ht="11.25" customHeight="1">
      <c r="B116" s="14"/>
      <c r="C116" s="13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40"/>
      <c r="V116" s="15"/>
    </row>
    <row r="117" spans="2:22" ht="11.25" customHeight="1">
      <c r="B117" s="14"/>
      <c r="C117" s="139"/>
      <c r="D117" s="11"/>
      <c r="E117" s="11"/>
      <c r="F117" s="11"/>
      <c r="G117" s="11"/>
      <c r="H117" s="11"/>
      <c r="I117" s="11"/>
      <c r="J117" s="11"/>
      <c r="K117" s="135" t="s">
        <v>45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40"/>
      <c r="V117" s="15"/>
    </row>
    <row r="118" spans="2:22" ht="11.25" customHeight="1">
      <c r="B118" s="14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3"/>
      <c r="V118" s="15"/>
    </row>
    <row r="119" spans="2:22" ht="11.25" customHeight="1"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5"/>
    </row>
    <row r="120" spans="2:22" ht="11.25" customHeight="1"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5"/>
    </row>
    <row r="121" spans="2:22" ht="11.25" customHeight="1"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Q121" s="11"/>
      <c r="R121" s="11"/>
      <c r="S121" s="11"/>
      <c r="T121" s="11"/>
      <c r="U121" s="11"/>
      <c r="V121" s="15"/>
    </row>
    <row r="122" spans="2:22" ht="11.25" customHeight="1"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7"/>
      <c r="Q122" s="11"/>
      <c r="R122" s="11"/>
      <c r="S122" s="11"/>
      <c r="T122" s="11"/>
      <c r="U122" s="11"/>
      <c r="V122" s="15"/>
    </row>
    <row r="123" spans="2:22" ht="11.25" customHeight="1"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7"/>
      <c r="Q123" s="11"/>
      <c r="R123" s="11"/>
      <c r="S123" s="11"/>
      <c r="T123" s="11"/>
      <c r="U123" s="11"/>
      <c r="V123" s="15"/>
    </row>
    <row r="124" spans="2:22" ht="11.25" customHeight="1"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7"/>
      <c r="Q124" s="11"/>
      <c r="R124" s="11"/>
      <c r="S124" s="11"/>
      <c r="T124" s="11"/>
      <c r="U124" s="11"/>
      <c r="V124" s="15"/>
    </row>
    <row r="125" spans="2:22" ht="11.25" customHeight="1"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7"/>
      <c r="Q125" s="11"/>
      <c r="R125" s="11"/>
      <c r="S125" s="11"/>
      <c r="T125" s="11"/>
      <c r="U125" s="11"/>
      <c r="V125" s="15"/>
    </row>
    <row r="126" spans="2:22" ht="11.25" customHeight="1"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7"/>
      <c r="Q126" s="11"/>
      <c r="R126" s="11"/>
      <c r="S126" s="11"/>
      <c r="T126" s="11"/>
      <c r="U126" s="11"/>
      <c r="V126" s="15"/>
    </row>
    <row r="127" spans="2:22" ht="11.25" customHeight="1"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7"/>
      <c r="Q127" s="11"/>
      <c r="R127" s="11"/>
      <c r="S127" s="11"/>
      <c r="T127" s="11"/>
      <c r="U127" s="11"/>
      <c r="V127" s="15"/>
    </row>
    <row r="128" spans="2:22" ht="11.25" customHeight="1"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7"/>
      <c r="Q128" s="11"/>
      <c r="R128" s="11"/>
      <c r="S128" s="11"/>
      <c r="T128" s="11"/>
      <c r="U128" s="11"/>
      <c r="V128" s="15"/>
    </row>
    <row r="129" spans="2:22" ht="11.25" customHeight="1"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7"/>
      <c r="Q129" s="11"/>
      <c r="R129" s="11"/>
      <c r="S129" s="11"/>
      <c r="T129" s="11"/>
      <c r="U129" s="11"/>
      <c r="V129" s="15"/>
    </row>
    <row r="130" spans="2:22" ht="11.25" customHeight="1"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7"/>
      <c r="Q130" s="11"/>
      <c r="R130" s="11"/>
      <c r="S130" s="11"/>
      <c r="T130" s="11"/>
      <c r="U130" s="11"/>
      <c r="V130" s="15"/>
    </row>
    <row r="131" spans="2:22" ht="11.25" customHeight="1"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  <c r="Q131" s="11"/>
      <c r="R131" s="11"/>
      <c r="S131" s="11"/>
      <c r="T131" s="11"/>
      <c r="U131" s="11"/>
      <c r="V131" s="15"/>
    </row>
    <row r="132" spans="2:22" ht="11.25" customHeight="1"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7"/>
      <c r="Q132" s="11"/>
      <c r="R132" s="11"/>
      <c r="S132" s="11"/>
      <c r="T132" s="11"/>
      <c r="U132" s="11"/>
      <c r="V132" s="15"/>
    </row>
    <row r="133" spans="2:22" ht="11.25" customHeight="1"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7"/>
      <c r="Q133" s="11"/>
      <c r="R133" s="11"/>
      <c r="S133" s="11"/>
      <c r="T133" s="11"/>
      <c r="U133" s="11"/>
      <c r="V133" s="15"/>
    </row>
    <row r="134" spans="2:22" ht="11.25" customHeight="1"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7"/>
      <c r="Q134" s="11"/>
      <c r="R134" s="11"/>
      <c r="S134" s="11"/>
      <c r="T134" s="11"/>
      <c r="U134" s="11"/>
      <c r="V134" s="15"/>
    </row>
    <row r="135" spans="2:22" ht="11.25" customHeight="1"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7"/>
      <c r="Q135" s="11"/>
      <c r="R135" s="11"/>
      <c r="S135" s="11"/>
      <c r="T135" s="11"/>
      <c r="U135" s="11"/>
      <c r="V135" s="15"/>
    </row>
    <row r="136" spans="2:22" ht="11.25" customHeight="1"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7"/>
      <c r="Q136" s="11"/>
      <c r="R136" s="11"/>
      <c r="S136" s="11"/>
      <c r="T136" s="11"/>
      <c r="U136" s="11"/>
      <c r="V136" s="15"/>
    </row>
    <row r="137" spans="2:22" ht="11.25" customHeight="1"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7"/>
      <c r="Q137" s="11"/>
      <c r="R137" s="11"/>
      <c r="S137" s="11"/>
      <c r="T137" s="11"/>
      <c r="U137" s="11"/>
      <c r="V137" s="15"/>
    </row>
    <row r="138" spans="2:22" ht="11.25" customHeight="1"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7"/>
      <c r="Q138" s="11"/>
      <c r="R138" s="11"/>
      <c r="S138" s="11"/>
      <c r="T138" s="11"/>
      <c r="U138" s="11"/>
      <c r="V138" s="15"/>
    </row>
    <row r="139" spans="2:22" ht="11.25" customHeight="1"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7"/>
      <c r="Q139" s="11"/>
      <c r="R139" s="11"/>
      <c r="S139" s="11"/>
      <c r="T139" s="11"/>
      <c r="U139" s="11"/>
      <c r="V139" s="15"/>
    </row>
    <row r="140" spans="2:22" ht="11.25" customHeight="1"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7"/>
      <c r="Q140" s="11"/>
      <c r="R140" s="11"/>
      <c r="S140" s="11"/>
      <c r="T140" s="11"/>
      <c r="U140" s="11"/>
      <c r="V140" s="15"/>
    </row>
    <row r="141" spans="2:22" ht="11.25" customHeight="1"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7"/>
      <c r="Q141" s="11"/>
      <c r="R141" s="11"/>
      <c r="S141" s="11"/>
      <c r="T141" s="11"/>
      <c r="U141" s="11"/>
      <c r="V141" s="15"/>
    </row>
    <row r="142" spans="2:22" ht="11.25" customHeight="1"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7"/>
      <c r="Q142" s="11"/>
      <c r="R142" s="11"/>
      <c r="S142" s="11"/>
      <c r="T142" s="11"/>
      <c r="U142" s="11"/>
      <c r="V142" s="15"/>
    </row>
    <row r="143" spans="2:22" ht="11.25" customHeight="1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7"/>
      <c r="Q143" s="11"/>
      <c r="R143" s="11"/>
      <c r="S143" s="11"/>
      <c r="T143" s="11"/>
      <c r="U143" s="11"/>
      <c r="V143" s="15"/>
    </row>
    <row r="144" spans="2:22" ht="11.25" customHeight="1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7"/>
      <c r="Q144" s="11"/>
      <c r="R144" s="11"/>
      <c r="S144" s="11"/>
      <c r="T144" s="11"/>
      <c r="U144" s="11"/>
      <c r="V144" s="15"/>
    </row>
    <row r="145" spans="2:22" ht="11.25" customHeight="1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7"/>
      <c r="Q145" s="11"/>
      <c r="R145" s="11"/>
      <c r="S145" s="11"/>
      <c r="T145" s="11"/>
      <c r="U145" s="11"/>
      <c r="V145" s="15"/>
    </row>
    <row r="146" spans="2:22" ht="11.25" customHeight="1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7"/>
      <c r="Q146" s="11"/>
      <c r="R146" s="11"/>
      <c r="S146" s="11"/>
      <c r="T146" s="11"/>
      <c r="U146" s="11"/>
      <c r="V146" s="15"/>
    </row>
    <row r="147" spans="2:22" ht="11.25" customHeight="1"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7"/>
      <c r="Q147" s="11"/>
      <c r="R147" s="11"/>
      <c r="S147" s="11"/>
      <c r="T147" s="11"/>
      <c r="U147" s="11"/>
      <c r="V147" s="15"/>
    </row>
    <row r="148" spans="2:22" ht="11.25" customHeight="1"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7"/>
      <c r="Q148" s="11"/>
      <c r="R148" s="11"/>
      <c r="S148" s="11"/>
      <c r="T148" s="11"/>
      <c r="U148" s="11"/>
      <c r="V148" s="15"/>
    </row>
    <row r="149" spans="2:22" ht="11.25" customHeight="1"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7"/>
      <c r="Q149" s="11"/>
      <c r="R149" s="11"/>
      <c r="S149" s="11"/>
      <c r="T149" s="11"/>
      <c r="U149" s="11"/>
      <c r="V149" s="15"/>
    </row>
    <row r="150" spans="2:22" ht="11.25" customHeight="1"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7"/>
      <c r="Q150" s="11"/>
      <c r="R150" s="11"/>
      <c r="S150" s="11"/>
      <c r="T150" s="11"/>
      <c r="U150" s="11"/>
      <c r="V150" s="15"/>
    </row>
    <row r="151" spans="2:22" ht="11.25" customHeight="1"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7"/>
      <c r="Q151" s="11"/>
      <c r="R151" s="11"/>
      <c r="S151" s="11"/>
      <c r="T151" s="11"/>
      <c r="U151" s="11"/>
      <c r="V151" s="15"/>
    </row>
    <row r="152" spans="2:22" ht="11.25" customHeight="1"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7"/>
      <c r="Q152" s="11"/>
      <c r="R152" s="11"/>
      <c r="S152" s="11"/>
      <c r="T152" s="11"/>
      <c r="U152" s="11"/>
      <c r="V152" s="15"/>
    </row>
    <row r="153" spans="2:22" ht="11.25" customHeight="1"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7"/>
      <c r="Q153" s="11"/>
      <c r="R153" s="11"/>
      <c r="S153" s="11"/>
      <c r="T153" s="11"/>
      <c r="U153" s="11"/>
      <c r="V153" s="15"/>
    </row>
    <row r="154" spans="2:22" ht="11.25" customHeight="1"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7"/>
      <c r="Q154" s="11"/>
      <c r="R154" s="11"/>
      <c r="S154" s="11"/>
      <c r="T154" s="11"/>
      <c r="U154" s="11"/>
      <c r="V154" s="15"/>
    </row>
    <row r="155" spans="2:22" ht="11.25" customHeight="1"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7"/>
      <c r="Q155" s="11"/>
      <c r="R155" s="11"/>
      <c r="S155" s="11"/>
      <c r="T155" s="11"/>
      <c r="U155" s="11"/>
      <c r="V155" s="15"/>
    </row>
    <row r="156" spans="2:22" ht="11.25" customHeight="1"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  <c r="Q156" s="11"/>
      <c r="R156" s="11"/>
      <c r="S156" s="11"/>
      <c r="T156" s="11"/>
      <c r="U156" s="11"/>
      <c r="V156" s="15"/>
    </row>
    <row r="157" spans="2:22" ht="11.25" customHeight="1"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7"/>
      <c r="Q157" s="11"/>
      <c r="R157" s="11"/>
      <c r="S157" s="11"/>
      <c r="T157" s="11"/>
      <c r="U157" s="11"/>
      <c r="V157" s="15"/>
    </row>
    <row r="158" spans="2:22" ht="11.25" customHeight="1"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7"/>
      <c r="Q158" s="11"/>
      <c r="R158" s="11"/>
      <c r="S158" s="11"/>
      <c r="T158" s="11"/>
      <c r="U158" s="11"/>
      <c r="V158" s="15"/>
    </row>
    <row r="159" spans="2:22" ht="11.25" customHeight="1">
      <c r="B159" s="1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7"/>
      <c r="Q159" s="11"/>
      <c r="R159" s="11"/>
      <c r="S159" s="11"/>
      <c r="T159" s="11"/>
      <c r="U159" s="11"/>
      <c r="V159" s="15"/>
    </row>
    <row r="160" spans="2:22" ht="11.25" customHeight="1">
      <c r="B160" s="1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7"/>
      <c r="Q160" s="11"/>
      <c r="R160" s="11"/>
      <c r="S160" s="11"/>
      <c r="T160" s="11"/>
      <c r="U160" s="11"/>
      <c r="V160" s="15"/>
    </row>
    <row r="161" spans="2:22" ht="11.25" customHeight="1">
      <c r="B161" s="1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7"/>
      <c r="Q161" s="11"/>
      <c r="R161" s="11"/>
      <c r="S161" s="11"/>
      <c r="T161" s="11"/>
      <c r="U161" s="11"/>
      <c r="V161" s="15"/>
    </row>
    <row r="162" spans="2:22" ht="11.25" customHeight="1">
      <c r="B162" s="1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7"/>
      <c r="Q162" s="11"/>
      <c r="R162" s="11"/>
      <c r="S162" s="11"/>
      <c r="T162" s="11"/>
      <c r="U162" s="11"/>
      <c r="V162" s="15"/>
    </row>
    <row r="163" spans="2:22" ht="11.25" customHeight="1">
      <c r="B163" s="1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7"/>
      <c r="Q163" s="11"/>
      <c r="R163" s="11"/>
      <c r="S163" s="11"/>
      <c r="T163" s="11"/>
      <c r="U163" s="11"/>
      <c r="V163" s="15"/>
    </row>
    <row r="164" spans="2:22" ht="11.25" customHeight="1">
      <c r="B164" s="1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7"/>
      <c r="Q164" s="11"/>
      <c r="R164" s="11"/>
      <c r="S164" s="11"/>
      <c r="T164" s="11"/>
      <c r="U164" s="11"/>
      <c r="V164" s="15"/>
    </row>
    <row r="165" spans="2:22" ht="11.25" customHeight="1">
      <c r="B165" s="1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7"/>
      <c r="Q165" s="11"/>
      <c r="R165" s="11"/>
      <c r="S165" s="11"/>
      <c r="T165" s="11"/>
      <c r="U165" s="11"/>
      <c r="V165" s="15"/>
    </row>
    <row r="166" spans="2:22" ht="11.25" customHeight="1">
      <c r="B166" s="1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6"/>
      <c r="Q166" s="117"/>
      <c r="R166" s="117"/>
      <c r="S166" s="117"/>
      <c r="T166" s="117"/>
      <c r="U166" s="11"/>
      <c r="V166" s="15"/>
    </row>
    <row r="167" spans="2:67" s="6" customFormat="1" ht="11.25" customHeight="1">
      <c r="B167" s="1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7" t="str">
        <f>O3&amp;"   "&amp;Q3</f>
        <v>วิศวกรโครงสร้าง :   นาย สุธีร์     แก้วคำ  สย.9698</v>
      </c>
      <c r="Q167" s="11"/>
      <c r="R167" s="11"/>
      <c r="S167" s="11"/>
      <c r="T167" s="11"/>
      <c r="U167" s="11"/>
      <c r="V167" s="15"/>
      <c r="X167" s="62" t="s">
        <v>22</v>
      </c>
      <c r="Y167" s="62" t="s">
        <v>23</v>
      </c>
      <c r="Z167" s="62" t="s">
        <v>24</v>
      </c>
      <c r="AA167" s="62" t="s">
        <v>25</v>
      </c>
      <c r="AB167" s="62" t="s">
        <v>22</v>
      </c>
      <c r="AC167" s="62" t="s">
        <v>23</v>
      </c>
      <c r="AD167" s="62" t="s">
        <v>24</v>
      </c>
      <c r="AE167" s="62" t="s">
        <v>25</v>
      </c>
      <c r="AF167" s="63"/>
      <c r="AG167" s="64" t="s">
        <v>26</v>
      </c>
      <c r="AH167" s="64" t="s">
        <v>23</v>
      </c>
      <c r="AI167" s="64" t="s">
        <v>24</v>
      </c>
      <c r="AJ167" s="64" t="s">
        <v>25</v>
      </c>
      <c r="AK167" s="64" t="s">
        <v>26</v>
      </c>
      <c r="AL167" s="64" t="s">
        <v>23</v>
      </c>
      <c r="AM167" s="64" t="s">
        <v>24</v>
      </c>
      <c r="AN167" s="64" t="s">
        <v>25</v>
      </c>
      <c r="AP167" s="65" t="s">
        <v>27</v>
      </c>
      <c r="AQ167" s="65" t="s">
        <v>23</v>
      </c>
      <c r="AR167" s="65" t="s">
        <v>24</v>
      </c>
      <c r="AS167" s="65" t="s">
        <v>25</v>
      </c>
      <c r="AT167" s="65" t="s">
        <v>27</v>
      </c>
      <c r="AU167" s="65" t="s">
        <v>23</v>
      </c>
      <c r="AV167" s="65" t="s">
        <v>24</v>
      </c>
      <c r="AW167" s="65" t="s">
        <v>25</v>
      </c>
      <c r="AY167" s="66" t="s">
        <v>28</v>
      </c>
      <c r="AZ167" s="66" t="s">
        <v>23</v>
      </c>
      <c r="BA167" s="66" t="s">
        <v>24</v>
      </c>
      <c r="BB167" s="66" t="s">
        <v>25</v>
      </c>
      <c r="BC167" s="66" t="s">
        <v>28</v>
      </c>
      <c r="BD167" s="66" t="s">
        <v>23</v>
      </c>
      <c r="BE167" s="66" t="s">
        <v>24</v>
      </c>
      <c r="BF167" s="66" t="s">
        <v>25</v>
      </c>
      <c r="BH167" s="67" t="s">
        <v>29</v>
      </c>
      <c r="BI167" s="67" t="s">
        <v>23</v>
      </c>
      <c r="BJ167" s="67" t="s">
        <v>24</v>
      </c>
      <c r="BK167" s="67" t="s">
        <v>25</v>
      </c>
      <c r="BL167" s="67" t="s">
        <v>29</v>
      </c>
      <c r="BM167" s="67" t="s">
        <v>23</v>
      </c>
      <c r="BN167" s="67" t="s">
        <v>24</v>
      </c>
      <c r="BO167" s="67" t="s">
        <v>25</v>
      </c>
    </row>
    <row r="168" spans="2:67" s="6" customFormat="1" ht="11.25" customHeight="1">
      <c r="B168" s="1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7"/>
      <c r="Q168" s="11"/>
      <c r="R168" s="11"/>
      <c r="S168" s="11"/>
      <c r="T168" s="11"/>
      <c r="U168" s="11"/>
      <c r="V168" s="15"/>
      <c r="X168" s="62"/>
      <c r="Y168" s="62"/>
      <c r="Z168" s="62"/>
      <c r="AA168" s="62"/>
      <c r="AB168" s="62"/>
      <c r="AC168" s="62"/>
      <c r="AD168" s="62"/>
      <c r="AE168" s="62"/>
      <c r="AF168" s="63"/>
      <c r="AG168" s="64"/>
      <c r="AH168" s="64"/>
      <c r="AI168" s="64"/>
      <c r="AJ168" s="64"/>
      <c r="AK168" s="64"/>
      <c r="AL168" s="64"/>
      <c r="AM168" s="64"/>
      <c r="AN168" s="64"/>
      <c r="AP168" s="65"/>
      <c r="AQ168" s="65"/>
      <c r="AR168" s="65"/>
      <c r="AS168" s="65"/>
      <c r="AT168" s="65"/>
      <c r="AU168" s="65"/>
      <c r="AV168" s="65"/>
      <c r="AW168" s="65"/>
      <c r="AY168" s="66"/>
      <c r="AZ168" s="66"/>
      <c r="BA168" s="66"/>
      <c r="BB168" s="66"/>
      <c r="BC168" s="66"/>
      <c r="BD168" s="66"/>
      <c r="BE168" s="66"/>
      <c r="BF168" s="66"/>
      <c r="BH168" s="67"/>
      <c r="BI168" s="67"/>
      <c r="BJ168" s="67"/>
      <c r="BK168" s="67"/>
      <c r="BL168" s="67"/>
      <c r="BM168" s="67"/>
      <c r="BN168" s="67"/>
      <c r="BO168" s="67"/>
    </row>
    <row r="169" spans="2:67" s="6" customFormat="1" ht="11.25" customHeight="1" thickBot="1">
      <c r="B169" s="58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100"/>
      <c r="Q169" s="59"/>
      <c r="R169" s="59"/>
      <c r="S169" s="59"/>
      <c r="T169" s="59"/>
      <c r="U169" s="59"/>
      <c r="V169" s="61"/>
      <c r="X169" s="68">
        <v>0.01</v>
      </c>
      <c r="Y169" s="69">
        <v>0.083</v>
      </c>
      <c r="Z169" s="69">
        <v>0</v>
      </c>
      <c r="AA169" s="69">
        <v>0.062</v>
      </c>
      <c r="AB169" s="68">
        <v>0.01</v>
      </c>
      <c r="AC169" s="70">
        <v>0.033</v>
      </c>
      <c r="AD169" s="70">
        <v>0</v>
      </c>
      <c r="AE169" s="70">
        <v>0.025</v>
      </c>
      <c r="AF169" s="63"/>
      <c r="AG169" s="71">
        <v>0.01</v>
      </c>
      <c r="AH169" s="72">
        <v>0.085</v>
      </c>
      <c r="AI169" s="72">
        <v>0.042</v>
      </c>
      <c r="AJ169" s="72">
        <v>0.064</v>
      </c>
      <c r="AK169" s="71">
        <v>0.01</v>
      </c>
      <c r="AL169" s="73">
        <v>0.041</v>
      </c>
      <c r="AM169" s="73">
        <v>0.021</v>
      </c>
      <c r="AN169" s="73">
        <v>0.031</v>
      </c>
      <c r="AP169" s="74">
        <v>0.01</v>
      </c>
      <c r="AQ169" s="75">
        <v>0.09</v>
      </c>
      <c r="AR169" s="75">
        <v>0.045</v>
      </c>
      <c r="AS169" s="75">
        <v>0.068</v>
      </c>
      <c r="AT169" s="74">
        <v>0.01</v>
      </c>
      <c r="AU169" s="76">
        <v>0.049</v>
      </c>
      <c r="AV169" s="76">
        <v>0.025</v>
      </c>
      <c r="AW169" s="76">
        <v>0.037</v>
      </c>
      <c r="AY169" s="77">
        <v>0.01</v>
      </c>
      <c r="AZ169" s="78">
        <v>0.098</v>
      </c>
      <c r="BA169" s="78">
        <v>0.049</v>
      </c>
      <c r="BB169" s="78">
        <v>0.074</v>
      </c>
      <c r="BC169" s="77">
        <v>0.01</v>
      </c>
      <c r="BD169" s="79">
        <v>0.058</v>
      </c>
      <c r="BE169" s="79">
        <v>0.029</v>
      </c>
      <c r="BF169" s="79">
        <v>0.044</v>
      </c>
      <c r="BH169" s="80">
        <v>0.01</v>
      </c>
      <c r="BI169" s="81">
        <v>0</v>
      </c>
      <c r="BJ169" s="81">
        <v>0.055</v>
      </c>
      <c r="BK169" s="81">
        <v>0.083</v>
      </c>
      <c r="BL169" s="80">
        <v>0.01</v>
      </c>
      <c r="BM169" s="82">
        <v>0</v>
      </c>
      <c r="BN169" s="82">
        <v>0.033</v>
      </c>
      <c r="BO169" s="82">
        <v>0.05</v>
      </c>
    </row>
    <row r="170" spans="24:67" s="6" customFormat="1" ht="11.25" customHeight="1">
      <c r="X170" s="68">
        <v>0.02</v>
      </c>
      <c r="Y170" s="69">
        <v>0.083</v>
      </c>
      <c r="Z170" s="69">
        <v>0</v>
      </c>
      <c r="AA170" s="69">
        <v>0.062</v>
      </c>
      <c r="AB170" s="68">
        <v>0.02</v>
      </c>
      <c r="AC170" s="70">
        <v>0.033</v>
      </c>
      <c r="AD170" s="70">
        <v>0</v>
      </c>
      <c r="AE170" s="70">
        <v>0.025</v>
      </c>
      <c r="AF170" s="63"/>
      <c r="AG170" s="71">
        <v>0.02</v>
      </c>
      <c r="AH170" s="72">
        <v>0.085</v>
      </c>
      <c r="AI170" s="72">
        <v>0.042</v>
      </c>
      <c r="AJ170" s="72">
        <v>0.064</v>
      </c>
      <c r="AK170" s="71">
        <v>0.02</v>
      </c>
      <c r="AL170" s="73">
        <v>0.041</v>
      </c>
      <c r="AM170" s="73">
        <v>0.021</v>
      </c>
      <c r="AN170" s="73">
        <v>0.031</v>
      </c>
      <c r="AP170" s="74">
        <v>0.02</v>
      </c>
      <c r="AQ170" s="75">
        <v>0.09</v>
      </c>
      <c r="AR170" s="75">
        <v>0.045</v>
      </c>
      <c r="AS170" s="75">
        <v>0.068</v>
      </c>
      <c r="AT170" s="74">
        <v>0.02</v>
      </c>
      <c r="AU170" s="76">
        <v>0.049</v>
      </c>
      <c r="AV170" s="76">
        <v>0.025</v>
      </c>
      <c r="AW170" s="76">
        <v>0.037</v>
      </c>
      <c r="AY170" s="77">
        <v>0.02</v>
      </c>
      <c r="AZ170" s="78">
        <v>0.098</v>
      </c>
      <c r="BA170" s="78">
        <v>0.049</v>
      </c>
      <c r="BB170" s="78">
        <v>0.074</v>
      </c>
      <c r="BC170" s="77">
        <v>0.02</v>
      </c>
      <c r="BD170" s="79">
        <v>0.058</v>
      </c>
      <c r="BE170" s="79">
        <v>0.029</v>
      </c>
      <c r="BF170" s="79">
        <v>0.044</v>
      </c>
      <c r="BH170" s="80">
        <v>0.02</v>
      </c>
      <c r="BI170" s="81">
        <v>0</v>
      </c>
      <c r="BJ170" s="81">
        <v>0.055</v>
      </c>
      <c r="BK170" s="81">
        <v>0.083</v>
      </c>
      <c r="BL170" s="80">
        <v>0.02</v>
      </c>
      <c r="BM170" s="82">
        <v>0</v>
      </c>
      <c r="BN170" s="82">
        <v>0.033</v>
      </c>
      <c r="BO170" s="82">
        <v>0.05</v>
      </c>
    </row>
    <row r="171" spans="24:67" s="6" customFormat="1" ht="11.25" customHeight="1">
      <c r="X171" s="68">
        <v>0.03</v>
      </c>
      <c r="Y171" s="69">
        <v>0.083</v>
      </c>
      <c r="Z171" s="69">
        <v>0</v>
      </c>
      <c r="AA171" s="69">
        <v>0.062</v>
      </c>
      <c r="AB171" s="68">
        <v>0.03</v>
      </c>
      <c r="AC171" s="70">
        <v>0.033</v>
      </c>
      <c r="AD171" s="70">
        <v>0</v>
      </c>
      <c r="AE171" s="70">
        <v>0.025</v>
      </c>
      <c r="AF171" s="63"/>
      <c r="AG171" s="71">
        <v>0.03</v>
      </c>
      <c r="AH171" s="72">
        <v>0.085</v>
      </c>
      <c r="AI171" s="72">
        <v>0.042</v>
      </c>
      <c r="AJ171" s="72">
        <v>0.064</v>
      </c>
      <c r="AK171" s="71">
        <v>0.03</v>
      </c>
      <c r="AL171" s="73">
        <v>0.041</v>
      </c>
      <c r="AM171" s="73">
        <v>0.021</v>
      </c>
      <c r="AN171" s="73">
        <v>0.031</v>
      </c>
      <c r="AP171" s="74">
        <v>0.03</v>
      </c>
      <c r="AQ171" s="75">
        <v>0.09</v>
      </c>
      <c r="AR171" s="75">
        <v>0.045</v>
      </c>
      <c r="AS171" s="75">
        <v>0.068</v>
      </c>
      <c r="AT171" s="74">
        <v>0.03</v>
      </c>
      <c r="AU171" s="76">
        <v>0.049</v>
      </c>
      <c r="AV171" s="76">
        <v>0.025</v>
      </c>
      <c r="AW171" s="76">
        <v>0.037</v>
      </c>
      <c r="AY171" s="77">
        <v>0.03</v>
      </c>
      <c r="AZ171" s="78">
        <v>0.098</v>
      </c>
      <c r="BA171" s="78">
        <v>0.049</v>
      </c>
      <c r="BB171" s="78">
        <v>0.074</v>
      </c>
      <c r="BC171" s="77">
        <v>0.03</v>
      </c>
      <c r="BD171" s="79">
        <v>0.058</v>
      </c>
      <c r="BE171" s="79">
        <v>0.029</v>
      </c>
      <c r="BF171" s="79">
        <v>0.044</v>
      </c>
      <c r="BH171" s="80">
        <v>0.03</v>
      </c>
      <c r="BI171" s="81">
        <v>0</v>
      </c>
      <c r="BJ171" s="81">
        <v>0.055</v>
      </c>
      <c r="BK171" s="81">
        <v>0.083</v>
      </c>
      <c r="BL171" s="80">
        <v>0.03</v>
      </c>
      <c r="BM171" s="82">
        <v>0</v>
      </c>
      <c r="BN171" s="82">
        <v>0.033</v>
      </c>
      <c r="BO171" s="82">
        <v>0.05</v>
      </c>
    </row>
    <row r="172" spans="24:67" s="6" customFormat="1" ht="11.25" customHeight="1">
      <c r="X172" s="68">
        <v>0.04</v>
      </c>
      <c r="Y172" s="69">
        <v>0.083</v>
      </c>
      <c r="Z172" s="69">
        <v>0</v>
      </c>
      <c r="AA172" s="69">
        <v>0.062</v>
      </c>
      <c r="AB172" s="68">
        <v>0.04</v>
      </c>
      <c r="AC172" s="70">
        <v>0.033</v>
      </c>
      <c r="AD172" s="70">
        <v>0</v>
      </c>
      <c r="AE172" s="70">
        <v>0.025</v>
      </c>
      <c r="AF172" s="63"/>
      <c r="AG172" s="71">
        <v>0.04</v>
      </c>
      <c r="AH172" s="72">
        <v>0.085</v>
      </c>
      <c r="AI172" s="72">
        <v>0.042</v>
      </c>
      <c r="AJ172" s="72">
        <v>0.064</v>
      </c>
      <c r="AK172" s="71">
        <v>0.04</v>
      </c>
      <c r="AL172" s="73">
        <v>0.041</v>
      </c>
      <c r="AM172" s="73">
        <v>0.021</v>
      </c>
      <c r="AN172" s="73">
        <v>0.031</v>
      </c>
      <c r="AP172" s="74">
        <v>0.04</v>
      </c>
      <c r="AQ172" s="75">
        <v>0.09</v>
      </c>
      <c r="AR172" s="75">
        <v>0.045</v>
      </c>
      <c r="AS172" s="75">
        <v>0.068</v>
      </c>
      <c r="AT172" s="74">
        <v>0.04</v>
      </c>
      <c r="AU172" s="76">
        <v>0.049</v>
      </c>
      <c r="AV172" s="76">
        <v>0.025</v>
      </c>
      <c r="AW172" s="76">
        <v>0.037</v>
      </c>
      <c r="AY172" s="77">
        <v>0.04</v>
      </c>
      <c r="AZ172" s="78">
        <v>0.098</v>
      </c>
      <c r="BA172" s="78">
        <v>0.049</v>
      </c>
      <c r="BB172" s="78">
        <v>0.074</v>
      </c>
      <c r="BC172" s="77">
        <v>0.04</v>
      </c>
      <c r="BD172" s="79">
        <v>0.058</v>
      </c>
      <c r="BE172" s="79">
        <v>0.029</v>
      </c>
      <c r="BF172" s="79">
        <v>0.044</v>
      </c>
      <c r="BH172" s="80">
        <v>0.04</v>
      </c>
      <c r="BI172" s="81">
        <v>0</v>
      </c>
      <c r="BJ172" s="81">
        <v>0.055</v>
      </c>
      <c r="BK172" s="81">
        <v>0.083</v>
      </c>
      <c r="BL172" s="80">
        <v>0.04</v>
      </c>
      <c r="BM172" s="82">
        <v>0</v>
      </c>
      <c r="BN172" s="82">
        <v>0.033</v>
      </c>
      <c r="BO172" s="82">
        <v>0.05</v>
      </c>
    </row>
    <row r="173" spans="24:67" s="6" customFormat="1" ht="11.25" customHeight="1">
      <c r="X173" s="68">
        <v>0.05</v>
      </c>
      <c r="Y173" s="69">
        <v>0.083</v>
      </c>
      <c r="Z173" s="69">
        <v>0</v>
      </c>
      <c r="AA173" s="69">
        <v>0.062</v>
      </c>
      <c r="AB173" s="68">
        <v>0.05</v>
      </c>
      <c r="AC173" s="70">
        <v>0.033</v>
      </c>
      <c r="AD173" s="70">
        <v>0</v>
      </c>
      <c r="AE173" s="70">
        <v>0.025</v>
      </c>
      <c r="AF173" s="63"/>
      <c r="AG173" s="71">
        <v>0.05</v>
      </c>
      <c r="AH173" s="72">
        <v>0.085</v>
      </c>
      <c r="AI173" s="72">
        <v>0.042</v>
      </c>
      <c r="AJ173" s="72">
        <v>0.064</v>
      </c>
      <c r="AK173" s="71">
        <v>0.05</v>
      </c>
      <c r="AL173" s="73">
        <v>0.041</v>
      </c>
      <c r="AM173" s="73">
        <v>0.021</v>
      </c>
      <c r="AN173" s="73">
        <v>0.031</v>
      </c>
      <c r="AP173" s="74">
        <v>0.05</v>
      </c>
      <c r="AQ173" s="75">
        <v>0.09</v>
      </c>
      <c r="AR173" s="75">
        <v>0.045</v>
      </c>
      <c r="AS173" s="75">
        <v>0.068</v>
      </c>
      <c r="AT173" s="74">
        <v>0.05</v>
      </c>
      <c r="AU173" s="76">
        <v>0.049</v>
      </c>
      <c r="AV173" s="76">
        <v>0.025</v>
      </c>
      <c r="AW173" s="76">
        <v>0.037</v>
      </c>
      <c r="AY173" s="77">
        <v>0.05</v>
      </c>
      <c r="AZ173" s="78">
        <v>0.098</v>
      </c>
      <c r="BA173" s="78">
        <v>0.049</v>
      </c>
      <c r="BB173" s="78">
        <v>0.074</v>
      </c>
      <c r="BC173" s="77">
        <v>0.05</v>
      </c>
      <c r="BD173" s="79">
        <v>0.058</v>
      </c>
      <c r="BE173" s="79">
        <v>0.029</v>
      </c>
      <c r="BF173" s="79">
        <v>0.044</v>
      </c>
      <c r="BH173" s="80">
        <v>0.05</v>
      </c>
      <c r="BI173" s="81">
        <v>0</v>
      </c>
      <c r="BJ173" s="81">
        <v>0.055</v>
      </c>
      <c r="BK173" s="81">
        <v>0.083</v>
      </c>
      <c r="BL173" s="80">
        <v>0.05</v>
      </c>
      <c r="BM173" s="82">
        <v>0</v>
      </c>
      <c r="BN173" s="82">
        <v>0.033</v>
      </c>
      <c r="BO173" s="82">
        <v>0.05</v>
      </c>
    </row>
    <row r="174" spans="24:67" s="6" customFormat="1" ht="11.25" customHeight="1">
      <c r="X174" s="68">
        <v>0.06</v>
      </c>
      <c r="Y174" s="69">
        <v>0.083</v>
      </c>
      <c r="Z174" s="69">
        <v>0</v>
      </c>
      <c r="AA174" s="69">
        <v>0.062</v>
      </c>
      <c r="AB174" s="68">
        <v>0.06</v>
      </c>
      <c r="AC174" s="70">
        <v>0.033</v>
      </c>
      <c r="AD174" s="70">
        <v>0</v>
      </c>
      <c r="AE174" s="70">
        <v>0.025</v>
      </c>
      <c r="AF174" s="63"/>
      <c r="AG174" s="71">
        <v>0.06</v>
      </c>
      <c r="AH174" s="72">
        <v>0.085</v>
      </c>
      <c r="AI174" s="72">
        <v>0.042</v>
      </c>
      <c r="AJ174" s="72">
        <v>0.064</v>
      </c>
      <c r="AK174" s="71">
        <v>0.06</v>
      </c>
      <c r="AL174" s="73">
        <v>0.041</v>
      </c>
      <c r="AM174" s="73">
        <v>0.021</v>
      </c>
      <c r="AN174" s="73">
        <v>0.031</v>
      </c>
      <c r="AP174" s="74">
        <v>0.06</v>
      </c>
      <c r="AQ174" s="75">
        <v>0.09</v>
      </c>
      <c r="AR174" s="75">
        <v>0.045</v>
      </c>
      <c r="AS174" s="75">
        <v>0.068</v>
      </c>
      <c r="AT174" s="74">
        <v>0.06</v>
      </c>
      <c r="AU174" s="76">
        <v>0.049</v>
      </c>
      <c r="AV174" s="76">
        <v>0.025</v>
      </c>
      <c r="AW174" s="76">
        <v>0.037</v>
      </c>
      <c r="AY174" s="77">
        <v>0.06</v>
      </c>
      <c r="AZ174" s="78">
        <v>0.098</v>
      </c>
      <c r="BA174" s="78">
        <v>0.049</v>
      </c>
      <c r="BB174" s="78">
        <v>0.074</v>
      </c>
      <c r="BC174" s="77">
        <v>0.06</v>
      </c>
      <c r="BD174" s="79">
        <v>0.058</v>
      </c>
      <c r="BE174" s="79">
        <v>0.029</v>
      </c>
      <c r="BF174" s="79">
        <v>0.044</v>
      </c>
      <c r="BH174" s="80">
        <v>0.06</v>
      </c>
      <c r="BI174" s="81">
        <v>0</v>
      </c>
      <c r="BJ174" s="81">
        <v>0.055</v>
      </c>
      <c r="BK174" s="81">
        <v>0.083</v>
      </c>
      <c r="BL174" s="80">
        <v>0.06</v>
      </c>
      <c r="BM174" s="82">
        <v>0</v>
      </c>
      <c r="BN174" s="82">
        <v>0.033</v>
      </c>
      <c r="BO174" s="82">
        <v>0.05</v>
      </c>
    </row>
    <row r="175" spans="24:67" s="6" customFormat="1" ht="11.25" customHeight="1">
      <c r="X175" s="68">
        <v>0.07</v>
      </c>
      <c r="Y175" s="69">
        <v>0.083</v>
      </c>
      <c r="Z175" s="69">
        <v>0</v>
      </c>
      <c r="AA175" s="69">
        <v>0.062</v>
      </c>
      <c r="AB175" s="68">
        <v>0.07</v>
      </c>
      <c r="AC175" s="70">
        <v>0.033</v>
      </c>
      <c r="AD175" s="70">
        <v>0</v>
      </c>
      <c r="AE175" s="70">
        <v>0.025</v>
      </c>
      <c r="AG175" s="71">
        <v>0.07</v>
      </c>
      <c r="AH175" s="72">
        <v>0.085</v>
      </c>
      <c r="AI175" s="72">
        <v>0.042</v>
      </c>
      <c r="AJ175" s="72">
        <v>0.064</v>
      </c>
      <c r="AK175" s="71">
        <v>0.07</v>
      </c>
      <c r="AL175" s="73">
        <v>0.041</v>
      </c>
      <c r="AM175" s="73">
        <v>0.021</v>
      </c>
      <c r="AN175" s="73">
        <v>0.031</v>
      </c>
      <c r="AP175" s="74">
        <v>0.07</v>
      </c>
      <c r="AQ175" s="75">
        <v>0.09</v>
      </c>
      <c r="AR175" s="75">
        <v>0.045</v>
      </c>
      <c r="AS175" s="75">
        <v>0.068</v>
      </c>
      <c r="AT175" s="74">
        <v>0.07</v>
      </c>
      <c r="AU175" s="76">
        <v>0.049</v>
      </c>
      <c r="AV175" s="76">
        <v>0.025</v>
      </c>
      <c r="AW175" s="76">
        <v>0.037</v>
      </c>
      <c r="AY175" s="77">
        <v>0.07</v>
      </c>
      <c r="AZ175" s="78">
        <v>0.098</v>
      </c>
      <c r="BA175" s="78">
        <v>0.049</v>
      </c>
      <c r="BB175" s="78">
        <v>0.074</v>
      </c>
      <c r="BC175" s="77">
        <v>0.07</v>
      </c>
      <c r="BD175" s="79">
        <v>0.058</v>
      </c>
      <c r="BE175" s="79">
        <v>0.029</v>
      </c>
      <c r="BF175" s="79">
        <v>0.044</v>
      </c>
      <c r="BH175" s="80">
        <v>0.07</v>
      </c>
      <c r="BI175" s="81">
        <v>0</v>
      </c>
      <c r="BJ175" s="81">
        <v>0.055</v>
      </c>
      <c r="BK175" s="81">
        <v>0.083</v>
      </c>
      <c r="BL175" s="80">
        <v>0.07</v>
      </c>
      <c r="BM175" s="82">
        <v>0</v>
      </c>
      <c r="BN175" s="82">
        <v>0.033</v>
      </c>
      <c r="BO175" s="82">
        <v>0.05</v>
      </c>
    </row>
    <row r="176" spans="24:67" s="6" customFormat="1" ht="11.25" customHeight="1">
      <c r="X176" s="68">
        <v>0.08</v>
      </c>
      <c r="Y176" s="69">
        <v>0.083</v>
      </c>
      <c r="Z176" s="69">
        <v>0</v>
      </c>
      <c r="AA176" s="69">
        <v>0.062</v>
      </c>
      <c r="AB176" s="68">
        <v>0.08</v>
      </c>
      <c r="AC176" s="70">
        <v>0.033</v>
      </c>
      <c r="AD176" s="70">
        <v>0</v>
      </c>
      <c r="AE176" s="70">
        <v>0.025</v>
      </c>
      <c r="AG176" s="71">
        <v>0.08</v>
      </c>
      <c r="AH176" s="72">
        <v>0.085</v>
      </c>
      <c r="AI176" s="72">
        <v>0.042</v>
      </c>
      <c r="AJ176" s="72">
        <v>0.064</v>
      </c>
      <c r="AK176" s="71">
        <v>0.08</v>
      </c>
      <c r="AL176" s="73">
        <v>0.041</v>
      </c>
      <c r="AM176" s="73">
        <v>0.021</v>
      </c>
      <c r="AN176" s="73">
        <v>0.031</v>
      </c>
      <c r="AP176" s="74">
        <v>0.08</v>
      </c>
      <c r="AQ176" s="75">
        <v>0.09</v>
      </c>
      <c r="AR176" s="75">
        <v>0.045</v>
      </c>
      <c r="AS176" s="75">
        <v>0.068</v>
      </c>
      <c r="AT176" s="74">
        <v>0.08</v>
      </c>
      <c r="AU176" s="76">
        <v>0.049</v>
      </c>
      <c r="AV176" s="76">
        <v>0.025</v>
      </c>
      <c r="AW176" s="76">
        <v>0.037</v>
      </c>
      <c r="AY176" s="77">
        <v>0.08</v>
      </c>
      <c r="AZ176" s="78">
        <v>0.098</v>
      </c>
      <c r="BA176" s="78">
        <v>0.049</v>
      </c>
      <c r="BB176" s="78">
        <v>0.074</v>
      </c>
      <c r="BC176" s="77">
        <v>0.08</v>
      </c>
      <c r="BD176" s="79">
        <v>0.058</v>
      </c>
      <c r="BE176" s="79">
        <v>0.029</v>
      </c>
      <c r="BF176" s="79">
        <v>0.044</v>
      </c>
      <c r="BH176" s="80">
        <v>0.08</v>
      </c>
      <c r="BI176" s="81">
        <v>0</v>
      </c>
      <c r="BJ176" s="81">
        <v>0.055</v>
      </c>
      <c r="BK176" s="81">
        <v>0.083</v>
      </c>
      <c r="BL176" s="80">
        <v>0.08</v>
      </c>
      <c r="BM176" s="82">
        <v>0</v>
      </c>
      <c r="BN176" s="82">
        <v>0.033</v>
      </c>
      <c r="BO176" s="82">
        <v>0.05</v>
      </c>
    </row>
    <row r="177" spans="24:67" s="6" customFormat="1" ht="11.25" customHeight="1">
      <c r="X177" s="83">
        <v>0.09</v>
      </c>
      <c r="Y177" s="69">
        <v>0.083</v>
      </c>
      <c r="Z177" s="69">
        <v>0</v>
      </c>
      <c r="AA177" s="69">
        <v>0.062</v>
      </c>
      <c r="AB177" s="83">
        <v>0.09</v>
      </c>
      <c r="AC177" s="70">
        <v>0.033</v>
      </c>
      <c r="AD177" s="70">
        <v>0</v>
      </c>
      <c r="AE177" s="70">
        <v>0.025</v>
      </c>
      <c r="AG177" s="84">
        <v>0.09</v>
      </c>
      <c r="AH177" s="72">
        <v>0.085</v>
      </c>
      <c r="AI177" s="72">
        <v>0.042</v>
      </c>
      <c r="AJ177" s="72">
        <v>0.064</v>
      </c>
      <c r="AK177" s="84">
        <v>0.09</v>
      </c>
      <c r="AL177" s="73">
        <v>0.041</v>
      </c>
      <c r="AM177" s="73">
        <v>0.021</v>
      </c>
      <c r="AN177" s="73">
        <v>0.031</v>
      </c>
      <c r="AP177" s="85">
        <v>0.09</v>
      </c>
      <c r="AQ177" s="75">
        <v>0.09</v>
      </c>
      <c r="AR177" s="75">
        <v>0.045</v>
      </c>
      <c r="AS177" s="75">
        <v>0.068</v>
      </c>
      <c r="AT177" s="85">
        <v>0.09</v>
      </c>
      <c r="AU177" s="76">
        <v>0.049</v>
      </c>
      <c r="AV177" s="76">
        <v>0.025</v>
      </c>
      <c r="AW177" s="76">
        <v>0.037</v>
      </c>
      <c r="AY177" s="86">
        <v>0.09</v>
      </c>
      <c r="AZ177" s="78">
        <v>0.098</v>
      </c>
      <c r="BA177" s="78">
        <v>0.049</v>
      </c>
      <c r="BB177" s="78">
        <v>0.074</v>
      </c>
      <c r="BC177" s="86">
        <v>0.09</v>
      </c>
      <c r="BD177" s="79">
        <v>0.058</v>
      </c>
      <c r="BE177" s="79">
        <v>0.029</v>
      </c>
      <c r="BF177" s="79">
        <v>0.044</v>
      </c>
      <c r="BH177" s="87">
        <v>0.09</v>
      </c>
      <c r="BI177" s="81">
        <v>0</v>
      </c>
      <c r="BJ177" s="81">
        <v>0.055</v>
      </c>
      <c r="BK177" s="81">
        <v>0.083</v>
      </c>
      <c r="BL177" s="87">
        <v>0.09</v>
      </c>
      <c r="BM177" s="82">
        <v>0</v>
      </c>
      <c r="BN177" s="82">
        <v>0.033</v>
      </c>
      <c r="BO177" s="82">
        <v>0.05</v>
      </c>
    </row>
    <row r="178" spans="24:67" s="6" customFormat="1" ht="11.25" customHeight="1">
      <c r="X178" s="83">
        <v>0.1</v>
      </c>
      <c r="Y178" s="69">
        <v>0.083</v>
      </c>
      <c r="Z178" s="69">
        <v>0</v>
      </c>
      <c r="AA178" s="69">
        <v>0.062</v>
      </c>
      <c r="AB178" s="83">
        <v>0.1</v>
      </c>
      <c r="AC178" s="70">
        <v>0.033</v>
      </c>
      <c r="AD178" s="70">
        <v>0</v>
      </c>
      <c r="AE178" s="70">
        <v>0.025</v>
      </c>
      <c r="AG178" s="84">
        <v>0.1</v>
      </c>
      <c r="AH178" s="72">
        <v>0.085</v>
      </c>
      <c r="AI178" s="72">
        <v>0.042</v>
      </c>
      <c r="AJ178" s="72">
        <v>0.064</v>
      </c>
      <c r="AK178" s="84">
        <v>0.1</v>
      </c>
      <c r="AL178" s="73">
        <v>0.041</v>
      </c>
      <c r="AM178" s="73">
        <v>0.021</v>
      </c>
      <c r="AN178" s="73">
        <v>0.031</v>
      </c>
      <c r="AP178" s="85">
        <v>0.1</v>
      </c>
      <c r="AQ178" s="75">
        <v>0.09</v>
      </c>
      <c r="AR178" s="75">
        <v>0.045</v>
      </c>
      <c r="AS178" s="75">
        <v>0.068</v>
      </c>
      <c r="AT178" s="85">
        <v>0.1</v>
      </c>
      <c r="AU178" s="76">
        <v>0.049</v>
      </c>
      <c r="AV178" s="76">
        <v>0.025</v>
      </c>
      <c r="AW178" s="76">
        <v>0.037</v>
      </c>
      <c r="AY178" s="86">
        <v>0.1</v>
      </c>
      <c r="AZ178" s="78">
        <v>0.098</v>
      </c>
      <c r="BA178" s="78">
        <v>0.049</v>
      </c>
      <c r="BB178" s="78">
        <v>0.074</v>
      </c>
      <c r="BC178" s="86">
        <v>0.1</v>
      </c>
      <c r="BD178" s="79">
        <v>0.058</v>
      </c>
      <c r="BE178" s="79">
        <v>0.029</v>
      </c>
      <c r="BF178" s="79">
        <v>0.044</v>
      </c>
      <c r="BH178" s="87">
        <v>0.1</v>
      </c>
      <c r="BI178" s="81">
        <v>0</v>
      </c>
      <c r="BJ178" s="81">
        <v>0.055</v>
      </c>
      <c r="BK178" s="81">
        <v>0.083</v>
      </c>
      <c r="BL178" s="87">
        <v>0.1</v>
      </c>
      <c r="BM178" s="82">
        <v>0</v>
      </c>
      <c r="BN178" s="82">
        <v>0.033</v>
      </c>
      <c r="BO178" s="82">
        <v>0.05</v>
      </c>
    </row>
    <row r="179" spans="24:67" s="6" customFormat="1" ht="11.25" customHeight="1">
      <c r="X179" s="83">
        <v>0.11</v>
      </c>
      <c r="Y179" s="69">
        <v>0.083</v>
      </c>
      <c r="Z179" s="69">
        <v>0</v>
      </c>
      <c r="AA179" s="69">
        <v>0.062</v>
      </c>
      <c r="AB179" s="83">
        <v>0.11</v>
      </c>
      <c r="AC179" s="70">
        <v>0.033</v>
      </c>
      <c r="AD179" s="70">
        <v>0</v>
      </c>
      <c r="AE179" s="70">
        <v>0.025</v>
      </c>
      <c r="AG179" s="84">
        <v>0.11</v>
      </c>
      <c r="AH179" s="72">
        <v>0.085</v>
      </c>
      <c r="AI179" s="72">
        <v>0.042</v>
      </c>
      <c r="AJ179" s="72">
        <v>0.064</v>
      </c>
      <c r="AK179" s="84">
        <v>0.11</v>
      </c>
      <c r="AL179" s="73">
        <v>0.041</v>
      </c>
      <c r="AM179" s="73">
        <v>0.021</v>
      </c>
      <c r="AN179" s="73">
        <v>0.031</v>
      </c>
      <c r="AP179" s="85">
        <v>0.11</v>
      </c>
      <c r="AQ179" s="75">
        <v>0.09</v>
      </c>
      <c r="AR179" s="75">
        <v>0.045</v>
      </c>
      <c r="AS179" s="75">
        <v>0.068</v>
      </c>
      <c r="AT179" s="85">
        <v>0.11</v>
      </c>
      <c r="AU179" s="76">
        <v>0.049</v>
      </c>
      <c r="AV179" s="76">
        <v>0.025</v>
      </c>
      <c r="AW179" s="76">
        <v>0.037</v>
      </c>
      <c r="AY179" s="86">
        <v>0.11</v>
      </c>
      <c r="AZ179" s="78">
        <v>0.098</v>
      </c>
      <c r="BA179" s="78">
        <v>0.049</v>
      </c>
      <c r="BB179" s="78">
        <v>0.074</v>
      </c>
      <c r="BC179" s="86">
        <v>0.11</v>
      </c>
      <c r="BD179" s="79">
        <v>0.058</v>
      </c>
      <c r="BE179" s="79">
        <v>0.029</v>
      </c>
      <c r="BF179" s="79">
        <v>0.044</v>
      </c>
      <c r="BH179" s="87">
        <v>0.11</v>
      </c>
      <c r="BI179" s="81">
        <v>0</v>
      </c>
      <c r="BJ179" s="81">
        <v>0.055</v>
      </c>
      <c r="BK179" s="81">
        <v>0.083</v>
      </c>
      <c r="BL179" s="87">
        <v>0.11</v>
      </c>
      <c r="BM179" s="82">
        <v>0</v>
      </c>
      <c r="BN179" s="82">
        <v>0.033</v>
      </c>
      <c r="BO179" s="82">
        <v>0.05</v>
      </c>
    </row>
    <row r="180" spans="24:67" s="6" customFormat="1" ht="11.25" customHeight="1">
      <c r="X180" s="83">
        <v>0.12</v>
      </c>
      <c r="Y180" s="69">
        <v>0.083</v>
      </c>
      <c r="Z180" s="69">
        <v>0</v>
      </c>
      <c r="AA180" s="69">
        <v>0.062</v>
      </c>
      <c r="AB180" s="83">
        <v>0.12</v>
      </c>
      <c r="AC180" s="70">
        <v>0.033</v>
      </c>
      <c r="AD180" s="70">
        <v>0</v>
      </c>
      <c r="AE180" s="70">
        <v>0.025</v>
      </c>
      <c r="AG180" s="84">
        <v>0.12</v>
      </c>
      <c r="AH180" s="72">
        <v>0.085</v>
      </c>
      <c r="AI180" s="72">
        <v>0.042</v>
      </c>
      <c r="AJ180" s="72">
        <v>0.064</v>
      </c>
      <c r="AK180" s="84">
        <v>0.12</v>
      </c>
      <c r="AL180" s="73">
        <v>0.041</v>
      </c>
      <c r="AM180" s="73">
        <v>0.021</v>
      </c>
      <c r="AN180" s="73">
        <v>0.031</v>
      </c>
      <c r="AP180" s="85">
        <v>0.12</v>
      </c>
      <c r="AQ180" s="75">
        <v>0.09</v>
      </c>
      <c r="AR180" s="75">
        <v>0.045</v>
      </c>
      <c r="AS180" s="75">
        <v>0.068</v>
      </c>
      <c r="AT180" s="85">
        <v>0.12</v>
      </c>
      <c r="AU180" s="76">
        <v>0.049</v>
      </c>
      <c r="AV180" s="76">
        <v>0.025</v>
      </c>
      <c r="AW180" s="76">
        <v>0.037</v>
      </c>
      <c r="AY180" s="86">
        <v>0.12</v>
      </c>
      <c r="AZ180" s="78">
        <v>0.098</v>
      </c>
      <c r="BA180" s="78">
        <v>0.049</v>
      </c>
      <c r="BB180" s="78">
        <v>0.074</v>
      </c>
      <c r="BC180" s="86">
        <v>0.12</v>
      </c>
      <c r="BD180" s="79">
        <v>0.058</v>
      </c>
      <c r="BE180" s="79">
        <v>0.029</v>
      </c>
      <c r="BF180" s="79">
        <v>0.044</v>
      </c>
      <c r="BH180" s="87">
        <v>0.12</v>
      </c>
      <c r="BI180" s="81">
        <v>0</v>
      </c>
      <c r="BJ180" s="81">
        <v>0.055</v>
      </c>
      <c r="BK180" s="81">
        <v>0.083</v>
      </c>
      <c r="BL180" s="87">
        <v>0.12</v>
      </c>
      <c r="BM180" s="82">
        <v>0</v>
      </c>
      <c r="BN180" s="82">
        <v>0.033</v>
      </c>
      <c r="BO180" s="82">
        <v>0.05</v>
      </c>
    </row>
    <row r="181" spans="24:67" s="6" customFormat="1" ht="11.25" customHeight="1">
      <c r="X181" s="83">
        <v>0.13</v>
      </c>
      <c r="Y181" s="69">
        <v>0.083</v>
      </c>
      <c r="Z181" s="69">
        <v>0</v>
      </c>
      <c r="AA181" s="69">
        <v>0.062</v>
      </c>
      <c r="AB181" s="83">
        <v>0.13</v>
      </c>
      <c r="AC181" s="70">
        <v>0.033</v>
      </c>
      <c r="AD181" s="70">
        <v>0</v>
      </c>
      <c r="AE181" s="70">
        <v>0.025</v>
      </c>
      <c r="AG181" s="84">
        <v>0.13</v>
      </c>
      <c r="AH181" s="72">
        <v>0.085</v>
      </c>
      <c r="AI181" s="72">
        <v>0.042</v>
      </c>
      <c r="AJ181" s="72">
        <v>0.064</v>
      </c>
      <c r="AK181" s="84">
        <v>0.13</v>
      </c>
      <c r="AL181" s="73">
        <v>0.041</v>
      </c>
      <c r="AM181" s="73">
        <v>0.021</v>
      </c>
      <c r="AN181" s="73">
        <v>0.031</v>
      </c>
      <c r="AP181" s="85">
        <v>0.13</v>
      </c>
      <c r="AQ181" s="75">
        <v>0.09</v>
      </c>
      <c r="AR181" s="75">
        <v>0.045</v>
      </c>
      <c r="AS181" s="75">
        <v>0.068</v>
      </c>
      <c r="AT181" s="85">
        <v>0.13</v>
      </c>
      <c r="AU181" s="76">
        <v>0.049</v>
      </c>
      <c r="AV181" s="76">
        <v>0.025</v>
      </c>
      <c r="AW181" s="76">
        <v>0.037</v>
      </c>
      <c r="AY181" s="86">
        <v>0.13</v>
      </c>
      <c r="AZ181" s="78">
        <v>0.098</v>
      </c>
      <c r="BA181" s="78">
        <v>0.049</v>
      </c>
      <c r="BB181" s="78">
        <v>0.074</v>
      </c>
      <c r="BC181" s="86">
        <v>0.13</v>
      </c>
      <c r="BD181" s="79">
        <v>0.058</v>
      </c>
      <c r="BE181" s="79">
        <v>0.029</v>
      </c>
      <c r="BF181" s="79">
        <v>0.044</v>
      </c>
      <c r="BH181" s="87">
        <v>0.13</v>
      </c>
      <c r="BI181" s="81">
        <v>0</v>
      </c>
      <c r="BJ181" s="81">
        <v>0.055</v>
      </c>
      <c r="BK181" s="81">
        <v>0.083</v>
      </c>
      <c r="BL181" s="87">
        <v>0.13</v>
      </c>
      <c r="BM181" s="82">
        <v>0</v>
      </c>
      <c r="BN181" s="82">
        <v>0.033</v>
      </c>
      <c r="BO181" s="82">
        <v>0.05</v>
      </c>
    </row>
    <row r="182" spans="24:67" s="6" customFormat="1" ht="11.25" customHeight="1">
      <c r="X182" s="83">
        <v>0.14</v>
      </c>
      <c r="Y182" s="69">
        <v>0.083</v>
      </c>
      <c r="Z182" s="69">
        <v>0</v>
      </c>
      <c r="AA182" s="69">
        <v>0.062</v>
      </c>
      <c r="AB182" s="83">
        <v>0.14</v>
      </c>
      <c r="AC182" s="70">
        <v>0.033</v>
      </c>
      <c r="AD182" s="70">
        <v>0</v>
      </c>
      <c r="AE182" s="70">
        <v>0.025</v>
      </c>
      <c r="AG182" s="84">
        <v>0.14</v>
      </c>
      <c r="AH182" s="72">
        <v>0.085</v>
      </c>
      <c r="AI182" s="72">
        <v>0.042</v>
      </c>
      <c r="AJ182" s="72">
        <v>0.064</v>
      </c>
      <c r="AK182" s="84">
        <v>0.14</v>
      </c>
      <c r="AL182" s="73">
        <v>0.041</v>
      </c>
      <c r="AM182" s="73">
        <v>0.021</v>
      </c>
      <c r="AN182" s="73">
        <v>0.031</v>
      </c>
      <c r="AP182" s="85">
        <v>0.14</v>
      </c>
      <c r="AQ182" s="75">
        <v>0.09</v>
      </c>
      <c r="AR182" s="75">
        <v>0.045</v>
      </c>
      <c r="AS182" s="75">
        <v>0.068</v>
      </c>
      <c r="AT182" s="85">
        <v>0.14</v>
      </c>
      <c r="AU182" s="76">
        <v>0.049</v>
      </c>
      <c r="AV182" s="76">
        <v>0.025</v>
      </c>
      <c r="AW182" s="76">
        <v>0.037</v>
      </c>
      <c r="AY182" s="86">
        <v>0.14</v>
      </c>
      <c r="AZ182" s="78">
        <v>0.098</v>
      </c>
      <c r="BA182" s="78">
        <v>0.049</v>
      </c>
      <c r="BB182" s="78">
        <v>0.074</v>
      </c>
      <c r="BC182" s="86">
        <v>0.14</v>
      </c>
      <c r="BD182" s="79">
        <v>0.058</v>
      </c>
      <c r="BE182" s="79">
        <v>0.029</v>
      </c>
      <c r="BF182" s="79">
        <v>0.044</v>
      </c>
      <c r="BH182" s="87">
        <v>0.14</v>
      </c>
      <c r="BI182" s="81">
        <v>0</v>
      </c>
      <c r="BJ182" s="81">
        <v>0.055</v>
      </c>
      <c r="BK182" s="81">
        <v>0.083</v>
      </c>
      <c r="BL182" s="87">
        <v>0.14</v>
      </c>
      <c r="BM182" s="82">
        <v>0</v>
      </c>
      <c r="BN182" s="82">
        <v>0.033</v>
      </c>
      <c r="BO182" s="82">
        <v>0.05</v>
      </c>
    </row>
    <row r="183" spans="24:67" s="6" customFormat="1" ht="11.25" customHeight="1">
      <c r="X183" s="83">
        <v>0.15</v>
      </c>
      <c r="Y183" s="69">
        <v>0.083</v>
      </c>
      <c r="Z183" s="69">
        <v>0</v>
      </c>
      <c r="AA183" s="69">
        <v>0.062</v>
      </c>
      <c r="AB183" s="83">
        <v>0.15</v>
      </c>
      <c r="AC183" s="70">
        <v>0.033</v>
      </c>
      <c r="AD183" s="70">
        <v>0</v>
      </c>
      <c r="AE183" s="70">
        <v>0.025</v>
      </c>
      <c r="AG183" s="84">
        <v>0.15</v>
      </c>
      <c r="AH183" s="72">
        <v>0.085</v>
      </c>
      <c r="AI183" s="72">
        <v>0.042</v>
      </c>
      <c r="AJ183" s="72">
        <v>0.064</v>
      </c>
      <c r="AK183" s="84">
        <v>0.15</v>
      </c>
      <c r="AL183" s="73">
        <v>0.041</v>
      </c>
      <c r="AM183" s="73">
        <v>0.021</v>
      </c>
      <c r="AN183" s="73">
        <v>0.031</v>
      </c>
      <c r="AP183" s="85">
        <v>0.15</v>
      </c>
      <c r="AQ183" s="75">
        <v>0.09</v>
      </c>
      <c r="AR183" s="75">
        <v>0.045</v>
      </c>
      <c r="AS183" s="75">
        <v>0.068</v>
      </c>
      <c r="AT183" s="85">
        <v>0.15</v>
      </c>
      <c r="AU183" s="76">
        <v>0.049</v>
      </c>
      <c r="AV183" s="76">
        <v>0.025</v>
      </c>
      <c r="AW183" s="76">
        <v>0.037</v>
      </c>
      <c r="AY183" s="86">
        <v>0.15</v>
      </c>
      <c r="AZ183" s="78">
        <v>0.098</v>
      </c>
      <c r="BA183" s="78">
        <v>0.049</v>
      </c>
      <c r="BB183" s="78">
        <v>0.074</v>
      </c>
      <c r="BC183" s="86">
        <v>0.15</v>
      </c>
      <c r="BD183" s="79">
        <v>0.058</v>
      </c>
      <c r="BE183" s="79">
        <v>0.029</v>
      </c>
      <c r="BF183" s="79">
        <v>0.044</v>
      </c>
      <c r="BH183" s="87">
        <v>0.15</v>
      </c>
      <c r="BI183" s="81">
        <v>0</v>
      </c>
      <c r="BJ183" s="81">
        <v>0.055</v>
      </c>
      <c r="BK183" s="81">
        <v>0.083</v>
      </c>
      <c r="BL183" s="87">
        <v>0.15</v>
      </c>
      <c r="BM183" s="82">
        <v>0</v>
      </c>
      <c r="BN183" s="82">
        <v>0.033</v>
      </c>
      <c r="BO183" s="82">
        <v>0.05</v>
      </c>
    </row>
    <row r="184" spans="24:67" s="6" customFormat="1" ht="11.25" customHeight="1">
      <c r="X184" s="83">
        <v>0.16</v>
      </c>
      <c r="Y184" s="69">
        <v>0.083</v>
      </c>
      <c r="Z184" s="69">
        <v>0</v>
      </c>
      <c r="AA184" s="69">
        <v>0.062</v>
      </c>
      <c r="AB184" s="83">
        <v>0.16</v>
      </c>
      <c r="AC184" s="70">
        <v>0.033</v>
      </c>
      <c r="AD184" s="70">
        <v>0</v>
      </c>
      <c r="AE184" s="70">
        <v>0.025</v>
      </c>
      <c r="AG184" s="84">
        <v>0.16</v>
      </c>
      <c r="AH184" s="72">
        <v>0.085</v>
      </c>
      <c r="AI184" s="72">
        <v>0.042</v>
      </c>
      <c r="AJ184" s="72">
        <v>0.064</v>
      </c>
      <c r="AK184" s="84">
        <v>0.16</v>
      </c>
      <c r="AL184" s="73">
        <v>0.041</v>
      </c>
      <c r="AM184" s="73">
        <v>0.021</v>
      </c>
      <c r="AN184" s="73">
        <v>0.031</v>
      </c>
      <c r="AP184" s="85">
        <v>0.16</v>
      </c>
      <c r="AQ184" s="75">
        <v>0.09</v>
      </c>
      <c r="AR184" s="75">
        <v>0.045</v>
      </c>
      <c r="AS184" s="75">
        <v>0.068</v>
      </c>
      <c r="AT184" s="85">
        <v>0.16</v>
      </c>
      <c r="AU184" s="76">
        <v>0.049</v>
      </c>
      <c r="AV184" s="76">
        <v>0.025</v>
      </c>
      <c r="AW184" s="76">
        <v>0.037</v>
      </c>
      <c r="AY184" s="86">
        <v>0.16</v>
      </c>
      <c r="AZ184" s="78">
        <v>0.098</v>
      </c>
      <c r="BA184" s="78">
        <v>0.049</v>
      </c>
      <c r="BB184" s="78">
        <v>0.074</v>
      </c>
      <c r="BC184" s="86">
        <v>0.16</v>
      </c>
      <c r="BD184" s="79">
        <v>0.058</v>
      </c>
      <c r="BE184" s="79">
        <v>0.029</v>
      </c>
      <c r="BF184" s="79">
        <v>0.044</v>
      </c>
      <c r="BH184" s="87">
        <v>0.16</v>
      </c>
      <c r="BI184" s="81">
        <v>0</v>
      </c>
      <c r="BJ184" s="81">
        <v>0.055</v>
      </c>
      <c r="BK184" s="81">
        <v>0.083</v>
      </c>
      <c r="BL184" s="87">
        <v>0.16</v>
      </c>
      <c r="BM184" s="82">
        <v>0</v>
      </c>
      <c r="BN184" s="82">
        <v>0.033</v>
      </c>
      <c r="BO184" s="82">
        <v>0.05</v>
      </c>
    </row>
    <row r="185" spans="24:67" s="6" customFormat="1" ht="11.25" customHeight="1">
      <c r="X185" s="83">
        <v>0.17</v>
      </c>
      <c r="Y185" s="69">
        <v>0.083</v>
      </c>
      <c r="Z185" s="69">
        <v>0</v>
      </c>
      <c r="AA185" s="69">
        <v>0.062</v>
      </c>
      <c r="AB185" s="83">
        <v>0.17</v>
      </c>
      <c r="AC185" s="70">
        <v>0.033</v>
      </c>
      <c r="AD185" s="70">
        <v>0</v>
      </c>
      <c r="AE185" s="70">
        <v>0.025</v>
      </c>
      <c r="AG185" s="84">
        <v>0.17</v>
      </c>
      <c r="AH185" s="72">
        <v>0.085</v>
      </c>
      <c r="AI185" s="72">
        <v>0.042</v>
      </c>
      <c r="AJ185" s="72">
        <v>0.064</v>
      </c>
      <c r="AK185" s="84">
        <v>0.17</v>
      </c>
      <c r="AL185" s="73">
        <v>0.041</v>
      </c>
      <c r="AM185" s="73">
        <v>0.021</v>
      </c>
      <c r="AN185" s="73">
        <v>0.031</v>
      </c>
      <c r="AP185" s="85">
        <v>0.17</v>
      </c>
      <c r="AQ185" s="75">
        <v>0.09</v>
      </c>
      <c r="AR185" s="75">
        <v>0.045</v>
      </c>
      <c r="AS185" s="75">
        <v>0.068</v>
      </c>
      <c r="AT185" s="85">
        <v>0.17</v>
      </c>
      <c r="AU185" s="76">
        <v>0.049</v>
      </c>
      <c r="AV185" s="76">
        <v>0.025</v>
      </c>
      <c r="AW185" s="76">
        <v>0.037</v>
      </c>
      <c r="AY185" s="86">
        <v>0.17</v>
      </c>
      <c r="AZ185" s="78">
        <v>0.098</v>
      </c>
      <c r="BA185" s="78">
        <v>0.049</v>
      </c>
      <c r="BB185" s="78">
        <v>0.074</v>
      </c>
      <c r="BC185" s="86">
        <v>0.17</v>
      </c>
      <c r="BD185" s="79">
        <v>0.058</v>
      </c>
      <c r="BE185" s="79">
        <v>0.029</v>
      </c>
      <c r="BF185" s="79">
        <v>0.044</v>
      </c>
      <c r="BH185" s="87">
        <v>0.17</v>
      </c>
      <c r="BI185" s="81">
        <v>0</v>
      </c>
      <c r="BJ185" s="81">
        <v>0.055</v>
      </c>
      <c r="BK185" s="81">
        <v>0.083</v>
      </c>
      <c r="BL185" s="87">
        <v>0.17</v>
      </c>
      <c r="BM185" s="82">
        <v>0</v>
      </c>
      <c r="BN185" s="82">
        <v>0.033</v>
      </c>
      <c r="BO185" s="82">
        <v>0.05</v>
      </c>
    </row>
    <row r="186" spans="24:67" s="6" customFormat="1" ht="11.25" customHeight="1">
      <c r="X186" s="83">
        <v>0.18</v>
      </c>
      <c r="Y186" s="69">
        <v>0.083</v>
      </c>
      <c r="Z186" s="69">
        <v>0</v>
      </c>
      <c r="AA186" s="69">
        <v>0.062</v>
      </c>
      <c r="AB186" s="83">
        <v>0.18</v>
      </c>
      <c r="AC186" s="70">
        <v>0.033</v>
      </c>
      <c r="AD186" s="70">
        <v>0</v>
      </c>
      <c r="AE186" s="70">
        <v>0.025</v>
      </c>
      <c r="AG186" s="84">
        <v>0.18</v>
      </c>
      <c r="AH186" s="72">
        <v>0.085</v>
      </c>
      <c r="AI186" s="72">
        <v>0.042</v>
      </c>
      <c r="AJ186" s="72">
        <v>0.064</v>
      </c>
      <c r="AK186" s="84">
        <v>0.18</v>
      </c>
      <c r="AL186" s="73">
        <v>0.041</v>
      </c>
      <c r="AM186" s="73">
        <v>0.021</v>
      </c>
      <c r="AN186" s="73">
        <v>0.031</v>
      </c>
      <c r="AP186" s="85">
        <v>0.18</v>
      </c>
      <c r="AQ186" s="75">
        <v>0.09</v>
      </c>
      <c r="AR186" s="75">
        <v>0.045</v>
      </c>
      <c r="AS186" s="75">
        <v>0.068</v>
      </c>
      <c r="AT186" s="85">
        <v>0.18</v>
      </c>
      <c r="AU186" s="76">
        <v>0.049</v>
      </c>
      <c r="AV186" s="76">
        <v>0.025</v>
      </c>
      <c r="AW186" s="76">
        <v>0.037</v>
      </c>
      <c r="AY186" s="86">
        <v>0.18</v>
      </c>
      <c r="AZ186" s="78">
        <v>0.098</v>
      </c>
      <c r="BA186" s="78">
        <v>0.049</v>
      </c>
      <c r="BB186" s="78">
        <v>0.074</v>
      </c>
      <c r="BC186" s="86">
        <v>0.18</v>
      </c>
      <c r="BD186" s="79">
        <v>0.058</v>
      </c>
      <c r="BE186" s="79">
        <v>0.029</v>
      </c>
      <c r="BF186" s="79">
        <v>0.044</v>
      </c>
      <c r="BH186" s="87">
        <v>0.18</v>
      </c>
      <c r="BI186" s="81">
        <v>0</v>
      </c>
      <c r="BJ186" s="81">
        <v>0.055</v>
      </c>
      <c r="BK186" s="81">
        <v>0.083</v>
      </c>
      <c r="BL186" s="87">
        <v>0.18</v>
      </c>
      <c r="BM186" s="82">
        <v>0</v>
      </c>
      <c r="BN186" s="82">
        <v>0.033</v>
      </c>
      <c r="BO186" s="82">
        <v>0.05</v>
      </c>
    </row>
    <row r="187" spans="24:67" s="6" customFormat="1" ht="11.25" customHeight="1">
      <c r="X187" s="83">
        <v>0.19</v>
      </c>
      <c r="Y187" s="69">
        <v>0.083</v>
      </c>
      <c r="Z187" s="69">
        <v>0</v>
      </c>
      <c r="AA187" s="69">
        <v>0.062</v>
      </c>
      <c r="AB187" s="83">
        <v>0.19</v>
      </c>
      <c r="AC187" s="70">
        <v>0.033</v>
      </c>
      <c r="AD187" s="70">
        <v>0</v>
      </c>
      <c r="AE187" s="70">
        <v>0.025</v>
      </c>
      <c r="AG187" s="84">
        <v>0.19</v>
      </c>
      <c r="AH187" s="72">
        <v>0.085</v>
      </c>
      <c r="AI187" s="72">
        <v>0.042</v>
      </c>
      <c r="AJ187" s="72">
        <v>0.064</v>
      </c>
      <c r="AK187" s="84">
        <v>0.19</v>
      </c>
      <c r="AL187" s="73">
        <v>0.041</v>
      </c>
      <c r="AM187" s="73">
        <v>0.021</v>
      </c>
      <c r="AN187" s="73">
        <v>0.031</v>
      </c>
      <c r="AP187" s="85">
        <v>0.19</v>
      </c>
      <c r="AQ187" s="75">
        <v>0.09</v>
      </c>
      <c r="AR187" s="75">
        <v>0.045</v>
      </c>
      <c r="AS187" s="75">
        <v>0.068</v>
      </c>
      <c r="AT187" s="85">
        <v>0.19</v>
      </c>
      <c r="AU187" s="76">
        <v>0.049</v>
      </c>
      <c r="AV187" s="76">
        <v>0.025</v>
      </c>
      <c r="AW187" s="76">
        <v>0.037</v>
      </c>
      <c r="AY187" s="86">
        <v>0.19</v>
      </c>
      <c r="AZ187" s="78">
        <v>0.098</v>
      </c>
      <c r="BA187" s="78">
        <v>0.049</v>
      </c>
      <c r="BB187" s="78">
        <v>0.074</v>
      </c>
      <c r="BC187" s="86">
        <v>0.19</v>
      </c>
      <c r="BD187" s="79">
        <v>0.058</v>
      </c>
      <c r="BE187" s="79">
        <v>0.029</v>
      </c>
      <c r="BF187" s="79">
        <v>0.044</v>
      </c>
      <c r="BH187" s="87">
        <v>0.19</v>
      </c>
      <c r="BI187" s="81">
        <v>0</v>
      </c>
      <c r="BJ187" s="81">
        <v>0.055</v>
      </c>
      <c r="BK187" s="81">
        <v>0.083</v>
      </c>
      <c r="BL187" s="87">
        <v>0.19</v>
      </c>
      <c r="BM187" s="82">
        <v>0</v>
      </c>
      <c r="BN187" s="82">
        <v>0.033</v>
      </c>
      <c r="BO187" s="82">
        <v>0.05</v>
      </c>
    </row>
    <row r="188" spans="24:67" s="6" customFormat="1" ht="11.25" customHeight="1">
      <c r="X188" s="83">
        <v>0.2</v>
      </c>
      <c r="Y188" s="69">
        <v>0.083</v>
      </c>
      <c r="Z188" s="69">
        <v>0</v>
      </c>
      <c r="AA188" s="69">
        <v>0.062</v>
      </c>
      <c r="AB188" s="83">
        <v>0.2</v>
      </c>
      <c r="AC188" s="70">
        <v>0.033</v>
      </c>
      <c r="AD188" s="70">
        <v>0</v>
      </c>
      <c r="AE188" s="70">
        <v>0.025</v>
      </c>
      <c r="AG188" s="84">
        <v>0.2</v>
      </c>
      <c r="AH188" s="72">
        <v>0.085</v>
      </c>
      <c r="AI188" s="72">
        <v>0.042</v>
      </c>
      <c r="AJ188" s="72">
        <v>0.064</v>
      </c>
      <c r="AK188" s="84">
        <v>0.2</v>
      </c>
      <c r="AL188" s="73">
        <v>0.041</v>
      </c>
      <c r="AM188" s="73">
        <v>0.021</v>
      </c>
      <c r="AN188" s="73">
        <v>0.031</v>
      </c>
      <c r="AP188" s="85">
        <v>0.2</v>
      </c>
      <c r="AQ188" s="75">
        <v>0.09</v>
      </c>
      <c r="AR188" s="75">
        <v>0.045</v>
      </c>
      <c r="AS188" s="75">
        <v>0.068</v>
      </c>
      <c r="AT188" s="85">
        <v>0.2</v>
      </c>
      <c r="AU188" s="76">
        <v>0.049</v>
      </c>
      <c r="AV188" s="76">
        <v>0.025</v>
      </c>
      <c r="AW188" s="76">
        <v>0.037</v>
      </c>
      <c r="AY188" s="86">
        <v>0.2</v>
      </c>
      <c r="AZ188" s="78">
        <v>0.098</v>
      </c>
      <c r="BA188" s="78">
        <v>0.049</v>
      </c>
      <c r="BB188" s="78">
        <v>0.074</v>
      </c>
      <c r="BC188" s="86">
        <v>0.2</v>
      </c>
      <c r="BD188" s="79">
        <v>0.058</v>
      </c>
      <c r="BE188" s="79">
        <v>0.029</v>
      </c>
      <c r="BF188" s="79">
        <v>0.044</v>
      </c>
      <c r="BH188" s="87">
        <v>0.2</v>
      </c>
      <c r="BI188" s="81">
        <v>0</v>
      </c>
      <c r="BJ188" s="81">
        <v>0.055</v>
      </c>
      <c r="BK188" s="81">
        <v>0.083</v>
      </c>
      <c r="BL188" s="87">
        <v>0.2</v>
      </c>
      <c r="BM188" s="82">
        <v>0</v>
      </c>
      <c r="BN188" s="82">
        <v>0.033</v>
      </c>
      <c r="BO188" s="82">
        <v>0.05</v>
      </c>
    </row>
    <row r="189" spans="24:67" s="6" customFormat="1" ht="11.25" customHeight="1">
      <c r="X189" s="83">
        <v>0.21</v>
      </c>
      <c r="Y189" s="69">
        <v>0.083</v>
      </c>
      <c r="Z189" s="69">
        <v>0</v>
      </c>
      <c r="AA189" s="69">
        <v>0.062</v>
      </c>
      <c r="AB189" s="83">
        <v>0.21</v>
      </c>
      <c r="AC189" s="70">
        <v>0.033</v>
      </c>
      <c r="AD189" s="70">
        <v>0</v>
      </c>
      <c r="AE189" s="70">
        <v>0.025</v>
      </c>
      <c r="AG189" s="84">
        <v>0.21</v>
      </c>
      <c r="AH189" s="72">
        <v>0.085</v>
      </c>
      <c r="AI189" s="72">
        <v>0.042</v>
      </c>
      <c r="AJ189" s="72">
        <v>0.064</v>
      </c>
      <c r="AK189" s="84">
        <v>0.21</v>
      </c>
      <c r="AL189" s="73">
        <v>0.041</v>
      </c>
      <c r="AM189" s="73">
        <v>0.021</v>
      </c>
      <c r="AN189" s="73">
        <v>0.031</v>
      </c>
      <c r="AP189" s="85">
        <v>0.21</v>
      </c>
      <c r="AQ189" s="75">
        <v>0.09</v>
      </c>
      <c r="AR189" s="75">
        <v>0.045</v>
      </c>
      <c r="AS189" s="75">
        <v>0.068</v>
      </c>
      <c r="AT189" s="85">
        <v>0.21</v>
      </c>
      <c r="AU189" s="76">
        <v>0.049</v>
      </c>
      <c r="AV189" s="76">
        <v>0.025</v>
      </c>
      <c r="AW189" s="76">
        <v>0.037</v>
      </c>
      <c r="AY189" s="86">
        <v>0.21</v>
      </c>
      <c r="AZ189" s="78">
        <v>0.098</v>
      </c>
      <c r="BA189" s="78">
        <v>0.049</v>
      </c>
      <c r="BB189" s="78">
        <v>0.074</v>
      </c>
      <c r="BC189" s="86">
        <v>0.21</v>
      </c>
      <c r="BD189" s="79">
        <v>0.058</v>
      </c>
      <c r="BE189" s="79">
        <v>0.029</v>
      </c>
      <c r="BF189" s="79">
        <v>0.044</v>
      </c>
      <c r="BH189" s="87">
        <v>0.21</v>
      </c>
      <c r="BI189" s="81">
        <v>0</v>
      </c>
      <c r="BJ189" s="81">
        <v>0.055</v>
      </c>
      <c r="BK189" s="81">
        <v>0.083</v>
      </c>
      <c r="BL189" s="87">
        <v>0.21</v>
      </c>
      <c r="BM189" s="82">
        <v>0</v>
      </c>
      <c r="BN189" s="82">
        <v>0.033</v>
      </c>
      <c r="BO189" s="82">
        <v>0.05</v>
      </c>
    </row>
    <row r="190" spans="24:67" s="6" customFormat="1" ht="11.25" customHeight="1">
      <c r="X190" s="83">
        <v>0.22</v>
      </c>
      <c r="Y190" s="69">
        <v>0.083</v>
      </c>
      <c r="Z190" s="69">
        <v>0</v>
      </c>
      <c r="AA190" s="69">
        <v>0.062</v>
      </c>
      <c r="AB190" s="83">
        <v>0.22</v>
      </c>
      <c r="AC190" s="70">
        <v>0.033</v>
      </c>
      <c r="AD190" s="70">
        <v>0</v>
      </c>
      <c r="AE190" s="70">
        <v>0.025</v>
      </c>
      <c r="AG190" s="84">
        <v>0.22</v>
      </c>
      <c r="AH190" s="72">
        <v>0.085</v>
      </c>
      <c r="AI190" s="72">
        <v>0.042</v>
      </c>
      <c r="AJ190" s="72">
        <v>0.064</v>
      </c>
      <c r="AK190" s="84">
        <v>0.22</v>
      </c>
      <c r="AL190" s="73">
        <v>0.041</v>
      </c>
      <c r="AM190" s="73">
        <v>0.021</v>
      </c>
      <c r="AN190" s="73">
        <v>0.031</v>
      </c>
      <c r="AP190" s="85">
        <v>0.22</v>
      </c>
      <c r="AQ190" s="75">
        <v>0.09</v>
      </c>
      <c r="AR190" s="75">
        <v>0.045</v>
      </c>
      <c r="AS190" s="75">
        <v>0.068</v>
      </c>
      <c r="AT190" s="85">
        <v>0.22</v>
      </c>
      <c r="AU190" s="76">
        <v>0.049</v>
      </c>
      <c r="AV190" s="76">
        <v>0.025</v>
      </c>
      <c r="AW190" s="76">
        <v>0.037</v>
      </c>
      <c r="AY190" s="86">
        <v>0.22</v>
      </c>
      <c r="AZ190" s="78">
        <v>0.098</v>
      </c>
      <c r="BA190" s="78">
        <v>0.049</v>
      </c>
      <c r="BB190" s="78">
        <v>0.074</v>
      </c>
      <c r="BC190" s="86">
        <v>0.22</v>
      </c>
      <c r="BD190" s="79">
        <v>0.058</v>
      </c>
      <c r="BE190" s="79">
        <v>0.029</v>
      </c>
      <c r="BF190" s="79">
        <v>0.044</v>
      </c>
      <c r="BH190" s="87">
        <v>0.22</v>
      </c>
      <c r="BI190" s="81">
        <v>0</v>
      </c>
      <c r="BJ190" s="81">
        <v>0.055</v>
      </c>
      <c r="BK190" s="81">
        <v>0.083</v>
      </c>
      <c r="BL190" s="87">
        <v>0.22</v>
      </c>
      <c r="BM190" s="82">
        <v>0</v>
      </c>
      <c r="BN190" s="82">
        <v>0.033</v>
      </c>
      <c r="BO190" s="82">
        <v>0.05</v>
      </c>
    </row>
    <row r="191" spans="24:67" s="6" customFormat="1" ht="11.25" customHeight="1">
      <c r="X191" s="83">
        <v>0.23</v>
      </c>
      <c r="Y191" s="69">
        <v>0.083</v>
      </c>
      <c r="Z191" s="69">
        <v>0</v>
      </c>
      <c r="AA191" s="69">
        <v>0.062</v>
      </c>
      <c r="AB191" s="83">
        <v>0.23</v>
      </c>
      <c r="AC191" s="70">
        <v>0.033</v>
      </c>
      <c r="AD191" s="70">
        <v>0</v>
      </c>
      <c r="AE191" s="70">
        <v>0.025</v>
      </c>
      <c r="AG191" s="84">
        <v>0.23</v>
      </c>
      <c r="AH191" s="72">
        <v>0.085</v>
      </c>
      <c r="AI191" s="72">
        <v>0.042</v>
      </c>
      <c r="AJ191" s="72">
        <v>0.064</v>
      </c>
      <c r="AK191" s="84">
        <v>0.23</v>
      </c>
      <c r="AL191" s="73">
        <v>0.041</v>
      </c>
      <c r="AM191" s="73">
        <v>0.021</v>
      </c>
      <c r="AN191" s="73">
        <v>0.031</v>
      </c>
      <c r="AP191" s="85">
        <v>0.23</v>
      </c>
      <c r="AQ191" s="75">
        <v>0.09</v>
      </c>
      <c r="AR191" s="75">
        <v>0.045</v>
      </c>
      <c r="AS191" s="75">
        <v>0.068</v>
      </c>
      <c r="AT191" s="85">
        <v>0.23</v>
      </c>
      <c r="AU191" s="76">
        <v>0.049</v>
      </c>
      <c r="AV191" s="76">
        <v>0.025</v>
      </c>
      <c r="AW191" s="76">
        <v>0.037</v>
      </c>
      <c r="AY191" s="86">
        <v>0.23</v>
      </c>
      <c r="AZ191" s="78">
        <v>0.098</v>
      </c>
      <c r="BA191" s="78">
        <v>0.049</v>
      </c>
      <c r="BB191" s="78">
        <v>0.074</v>
      </c>
      <c r="BC191" s="86">
        <v>0.23</v>
      </c>
      <c r="BD191" s="79">
        <v>0.058</v>
      </c>
      <c r="BE191" s="79">
        <v>0.029</v>
      </c>
      <c r="BF191" s="79">
        <v>0.044</v>
      </c>
      <c r="BH191" s="87">
        <v>0.23</v>
      </c>
      <c r="BI191" s="81">
        <v>0</v>
      </c>
      <c r="BJ191" s="81">
        <v>0.055</v>
      </c>
      <c r="BK191" s="81">
        <v>0.083</v>
      </c>
      <c r="BL191" s="87">
        <v>0.23</v>
      </c>
      <c r="BM191" s="82">
        <v>0</v>
      </c>
      <c r="BN191" s="82">
        <v>0.033</v>
      </c>
      <c r="BO191" s="82">
        <v>0.05</v>
      </c>
    </row>
    <row r="192" spans="24:67" s="6" customFormat="1" ht="11.25" customHeight="1">
      <c r="X192" s="83">
        <v>0.24</v>
      </c>
      <c r="Y192" s="69">
        <v>0.083</v>
      </c>
      <c r="Z192" s="69">
        <v>0</v>
      </c>
      <c r="AA192" s="69">
        <v>0.062</v>
      </c>
      <c r="AB192" s="83">
        <v>0.24</v>
      </c>
      <c r="AC192" s="70">
        <v>0.033</v>
      </c>
      <c r="AD192" s="70">
        <v>0</v>
      </c>
      <c r="AE192" s="70">
        <v>0.025</v>
      </c>
      <c r="AG192" s="84">
        <v>0.24</v>
      </c>
      <c r="AH192" s="72">
        <v>0.085</v>
      </c>
      <c r="AI192" s="72">
        <v>0.042</v>
      </c>
      <c r="AJ192" s="72">
        <v>0.064</v>
      </c>
      <c r="AK192" s="84">
        <v>0.24</v>
      </c>
      <c r="AL192" s="73">
        <v>0.041</v>
      </c>
      <c r="AM192" s="73">
        <v>0.021</v>
      </c>
      <c r="AN192" s="73">
        <v>0.031</v>
      </c>
      <c r="AP192" s="85">
        <v>0.24</v>
      </c>
      <c r="AQ192" s="75">
        <v>0.09</v>
      </c>
      <c r="AR192" s="75">
        <v>0.045</v>
      </c>
      <c r="AS192" s="75">
        <v>0.068</v>
      </c>
      <c r="AT192" s="85">
        <v>0.24</v>
      </c>
      <c r="AU192" s="76">
        <v>0.049</v>
      </c>
      <c r="AV192" s="76">
        <v>0.025</v>
      </c>
      <c r="AW192" s="76">
        <v>0.037</v>
      </c>
      <c r="AY192" s="86">
        <v>0.24</v>
      </c>
      <c r="AZ192" s="78">
        <v>0.098</v>
      </c>
      <c r="BA192" s="78">
        <v>0.049</v>
      </c>
      <c r="BB192" s="78">
        <v>0.074</v>
      </c>
      <c r="BC192" s="86">
        <v>0.24</v>
      </c>
      <c r="BD192" s="79">
        <v>0.058</v>
      </c>
      <c r="BE192" s="79">
        <v>0.029</v>
      </c>
      <c r="BF192" s="79">
        <v>0.044</v>
      </c>
      <c r="BH192" s="87">
        <v>0.24</v>
      </c>
      <c r="BI192" s="81">
        <v>0</v>
      </c>
      <c r="BJ192" s="81">
        <v>0.055</v>
      </c>
      <c r="BK192" s="81">
        <v>0.083</v>
      </c>
      <c r="BL192" s="87">
        <v>0.24</v>
      </c>
      <c r="BM192" s="82">
        <v>0</v>
      </c>
      <c r="BN192" s="82">
        <v>0.033</v>
      </c>
      <c r="BO192" s="82">
        <v>0.05</v>
      </c>
    </row>
    <row r="193" spans="24:67" s="6" customFormat="1" ht="11.25" customHeight="1">
      <c r="X193" s="83">
        <v>0.25</v>
      </c>
      <c r="Y193" s="69">
        <v>0.083</v>
      </c>
      <c r="Z193" s="69">
        <v>0</v>
      </c>
      <c r="AA193" s="69">
        <v>0.062</v>
      </c>
      <c r="AB193" s="83">
        <v>0.25</v>
      </c>
      <c r="AC193" s="70">
        <v>0.033</v>
      </c>
      <c r="AD193" s="70">
        <v>0</v>
      </c>
      <c r="AE193" s="70">
        <v>0.025</v>
      </c>
      <c r="AG193" s="84">
        <v>0.25</v>
      </c>
      <c r="AH193" s="72">
        <v>0.085</v>
      </c>
      <c r="AI193" s="72">
        <v>0.042</v>
      </c>
      <c r="AJ193" s="72">
        <v>0.064</v>
      </c>
      <c r="AK193" s="84">
        <v>0.25</v>
      </c>
      <c r="AL193" s="73">
        <v>0.041</v>
      </c>
      <c r="AM193" s="73">
        <v>0.021</v>
      </c>
      <c r="AN193" s="73">
        <v>0.031</v>
      </c>
      <c r="AP193" s="85">
        <v>0.25</v>
      </c>
      <c r="AQ193" s="75">
        <v>0.09</v>
      </c>
      <c r="AR193" s="75">
        <v>0.045</v>
      </c>
      <c r="AS193" s="75">
        <v>0.068</v>
      </c>
      <c r="AT193" s="85">
        <v>0.25</v>
      </c>
      <c r="AU193" s="76">
        <v>0.049</v>
      </c>
      <c r="AV193" s="76">
        <v>0.025</v>
      </c>
      <c r="AW193" s="76">
        <v>0.037</v>
      </c>
      <c r="AY193" s="86">
        <v>0.25</v>
      </c>
      <c r="AZ193" s="78">
        <v>0.098</v>
      </c>
      <c r="BA193" s="78">
        <v>0.049</v>
      </c>
      <c r="BB193" s="78">
        <v>0.074</v>
      </c>
      <c r="BC193" s="86">
        <v>0.25</v>
      </c>
      <c r="BD193" s="79">
        <v>0.058</v>
      </c>
      <c r="BE193" s="79">
        <v>0.029</v>
      </c>
      <c r="BF193" s="79">
        <v>0.044</v>
      </c>
      <c r="BH193" s="87">
        <v>0.25</v>
      </c>
      <c r="BI193" s="81">
        <v>0</v>
      </c>
      <c r="BJ193" s="81">
        <v>0.055</v>
      </c>
      <c r="BK193" s="81">
        <v>0.083</v>
      </c>
      <c r="BL193" s="87">
        <v>0.25</v>
      </c>
      <c r="BM193" s="82">
        <v>0</v>
      </c>
      <c r="BN193" s="82">
        <v>0.033</v>
      </c>
      <c r="BO193" s="82">
        <v>0.05</v>
      </c>
    </row>
    <row r="194" spans="24:67" s="6" customFormat="1" ht="11.25" customHeight="1">
      <c r="X194" s="83">
        <v>0.26</v>
      </c>
      <c r="Y194" s="69">
        <v>0.083</v>
      </c>
      <c r="Z194" s="69">
        <v>0</v>
      </c>
      <c r="AA194" s="69">
        <v>0.062</v>
      </c>
      <c r="AB194" s="83">
        <v>0.26</v>
      </c>
      <c r="AC194" s="70">
        <v>0.033</v>
      </c>
      <c r="AD194" s="70">
        <v>0</v>
      </c>
      <c r="AE194" s="70">
        <v>0.025</v>
      </c>
      <c r="AG194" s="84">
        <v>0.26</v>
      </c>
      <c r="AH194" s="72">
        <v>0.085</v>
      </c>
      <c r="AI194" s="72">
        <v>0.042</v>
      </c>
      <c r="AJ194" s="72">
        <v>0.064</v>
      </c>
      <c r="AK194" s="84">
        <v>0.26</v>
      </c>
      <c r="AL194" s="73">
        <v>0.041</v>
      </c>
      <c r="AM194" s="73">
        <v>0.021</v>
      </c>
      <c r="AN194" s="73">
        <v>0.031</v>
      </c>
      <c r="AP194" s="85">
        <v>0.26</v>
      </c>
      <c r="AQ194" s="75">
        <v>0.09</v>
      </c>
      <c r="AR194" s="75">
        <v>0.045</v>
      </c>
      <c r="AS194" s="75">
        <v>0.068</v>
      </c>
      <c r="AT194" s="85">
        <v>0.26</v>
      </c>
      <c r="AU194" s="76">
        <v>0.049</v>
      </c>
      <c r="AV194" s="76">
        <v>0.025</v>
      </c>
      <c r="AW194" s="76">
        <v>0.037</v>
      </c>
      <c r="AY194" s="86">
        <v>0.26</v>
      </c>
      <c r="AZ194" s="78">
        <v>0.098</v>
      </c>
      <c r="BA194" s="78">
        <v>0.049</v>
      </c>
      <c r="BB194" s="78">
        <v>0.074</v>
      </c>
      <c r="BC194" s="86">
        <v>0.26</v>
      </c>
      <c r="BD194" s="79">
        <v>0.058</v>
      </c>
      <c r="BE194" s="79">
        <v>0.029</v>
      </c>
      <c r="BF194" s="79">
        <v>0.044</v>
      </c>
      <c r="BH194" s="87">
        <v>0.26</v>
      </c>
      <c r="BI194" s="81">
        <v>0</v>
      </c>
      <c r="BJ194" s="81">
        <v>0.055</v>
      </c>
      <c r="BK194" s="81">
        <v>0.083</v>
      </c>
      <c r="BL194" s="87">
        <v>0.26</v>
      </c>
      <c r="BM194" s="82">
        <v>0</v>
      </c>
      <c r="BN194" s="82">
        <v>0.033</v>
      </c>
      <c r="BO194" s="82">
        <v>0.05</v>
      </c>
    </row>
    <row r="195" spans="24:67" s="6" customFormat="1" ht="11.25" customHeight="1">
      <c r="X195" s="83">
        <v>0.27</v>
      </c>
      <c r="Y195" s="69">
        <v>0.083</v>
      </c>
      <c r="Z195" s="69">
        <v>0</v>
      </c>
      <c r="AA195" s="69">
        <v>0.062</v>
      </c>
      <c r="AB195" s="83">
        <v>0.27</v>
      </c>
      <c r="AC195" s="70">
        <v>0.033</v>
      </c>
      <c r="AD195" s="70">
        <v>0</v>
      </c>
      <c r="AE195" s="70">
        <v>0.025</v>
      </c>
      <c r="AG195" s="84">
        <v>0.27</v>
      </c>
      <c r="AH195" s="72">
        <v>0.085</v>
      </c>
      <c r="AI195" s="72">
        <v>0.042</v>
      </c>
      <c r="AJ195" s="72">
        <v>0.064</v>
      </c>
      <c r="AK195" s="84">
        <v>0.27</v>
      </c>
      <c r="AL195" s="73">
        <v>0.041</v>
      </c>
      <c r="AM195" s="73">
        <v>0.021</v>
      </c>
      <c r="AN195" s="73">
        <v>0.031</v>
      </c>
      <c r="AP195" s="85">
        <v>0.27</v>
      </c>
      <c r="AQ195" s="75">
        <v>0.09</v>
      </c>
      <c r="AR195" s="75">
        <v>0.045</v>
      </c>
      <c r="AS195" s="75">
        <v>0.068</v>
      </c>
      <c r="AT195" s="85">
        <v>0.27</v>
      </c>
      <c r="AU195" s="76">
        <v>0.049</v>
      </c>
      <c r="AV195" s="76">
        <v>0.025</v>
      </c>
      <c r="AW195" s="76">
        <v>0.037</v>
      </c>
      <c r="AY195" s="86">
        <v>0.27</v>
      </c>
      <c r="AZ195" s="78">
        <v>0.098</v>
      </c>
      <c r="BA195" s="78">
        <v>0.049</v>
      </c>
      <c r="BB195" s="78">
        <v>0.074</v>
      </c>
      <c r="BC195" s="86">
        <v>0.27</v>
      </c>
      <c r="BD195" s="79">
        <v>0.058</v>
      </c>
      <c r="BE195" s="79">
        <v>0.029</v>
      </c>
      <c r="BF195" s="79">
        <v>0.044</v>
      </c>
      <c r="BH195" s="87">
        <v>0.27</v>
      </c>
      <c r="BI195" s="81">
        <v>0</v>
      </c>
      <c r="BJ195" s="81">
        <v>0.055</v>
      </c>
      <c r="BK195" s="81">
        <v>0.083</v>
      </c>
      <c r="BL195" s="87">
        <v>0.27</v>
      </c>
      <c r="BM195" s="82">
        <v>0</v>
      </c>
      <c r="BN195" s="82">
        <v>0.033</v>
      </c>
      <c r="BO195" s="82">
        <v>0.05</v>
      </c>
    </row>
    <row r="196" spans="24:67" s="6" customFormat="1" ht="11.25" customHeight="1">
      <c r="X196" s="83">
        <v>0.28</v>
      </c>
      <c r="Y196" s="69">
        <v>0.083</v>
      </c>
      <c r="Z196" s="69">
        <v>0</v>
      </c>
      <c r="AA196" s="69">
        <v>0.062</v>
      </c>
      <c r="AB196" s="83">
        <v>0.28</v>
      </c>
      <c r="AC196" s="70">
        <v>0.033</v>
      </c>
      <c r="AD196" s="70">
        <v>0</v>
      </c>
      <c r="AE196" s="70">
        <v>0.025</v>
      </c>
      <c r="AG196" s="84">
        <v>0.28</v>
      </c>
      <c r="AH196" s="72">
        <v>0.085</v>
      </c>
      <c r="AI196" s="72">
        <v>0.042</v>
      </c>
      <c r="AJ196" s="72">
        <v>0.064</v>
      </c>
      <c r="AK196" s="84">
        <v>0.28</v>
      </c>
      <c r="AL196" s="73">
        <v>0.041</v>
      </c>
      <c r="AM196" s="73">
        <v>0.021</v>
      </c>
      <c r="AN196" s="73">
        <v>0.031</v>
      </c>
      <c r="AP196" s="85">
        <v>0.28</v>
      </c>
      <c r="AQ196" s="75">
        <v>0.09</v>
      </c>
      <c r="AR196" s="75">
        <v>0.045</v>
      </c>
      <c r="AS196" s="75">
        <v>0.068</v>
      </c>
      <c r="AT196" s="85">
        <v>0.28</v>
      </c>
      <c r="AU196" s="76">
        <v>0.049</v>
      </c>
      <c r="AV196" s="76">
        <v>0.025</v>
      </c>
      <c r="AW196" s="76">
        <v>0.037</v>
      </c>
      <c r="AY196" s="86">
        <v>0.28</v>
      </c>
      <c r="AZ196" s="78">
        <v>0.098</v>
      </c>
      <c r="BA196" s="78">
        <v>0.049</v>
      </c>
      <c r="BB196" s="78">
        <v>0.074</v>
      </c>
      <c r="BC196" s="86">
        <v>0.28</v>
      </c>
      <c r="BD196" s="79">
        <v>0.058</v>
      </c>
      <c r="BE196" s="79">
        <v>0.029</v>
      </c>
      <c r="BF196" s="79">
        <v>0.044</v>
      </c>
      <c r="BH196" s="87">
        <v>0.28</v>
      </c>
      <c r="BI196" s="81">
        <v>0</v>
      </c>
      <c r="BJ196" s="81">
        <v>0.055</v>
      </c>
      <c r="BK196" s="81">
        <v>0.083</v>
      </c>
      <c r="BL196" s="87">
        <v>0.28</v>
      </c>
      <c r="BM196" s="82">
        <v>0</v>
      </c>
      <c r="BN196" s="82">
        <v>0.033</v>
      </c>
      <c r="BO196" s="82">
        <v>0.05</v>
      </c>
    </row>
    <row r="197" spans="24:67" s="6" customFormat="1" ht="11.25" customHeight="1">
      <c r="X197" s="83">
        <v>0.29</v>
      </c>
      <c r="Y197" s="69">
        <v>0.083</v>
      </c>
      <c r="Z197" s="69">
        <v>0</v>
      </c>
      <c r="AA197" s="69">
        <v>0.062</v>
      </c>
      <c r="AB197" s="83">
        <v>0.29</v>
      </c>
      <c r="AC197" s="70">
        <v>0.033</v>
      </c>
      <c r="AD197" s="70">
        <v>0</v>
      </c>
      <c r="AE197" s="70">
        <v>0.025</v>
      </c>
      <c r="AG197" s="84">
        <v>0.29</v>
      </c>
      <c r="AH197" s="72">
        <v>0.085</v>
      </c>
      <c r="AI197" s="72">
        <v>0.042</v>
      </c>
      <c r="AJ197" s="72">
        <v>0.064</v>
      </c>
      <c r="AK197" s="84">
        <v>0.29</v>
      </c>
      <c r="AL197" s="73">
        <v>0.041</v>
      </c>
      <c r="AM197" s="73">
        <v>0.021</v>
      </c>
      <c r="AN197" s="73">
        <v>0.031</v>
      </c>
      <c r="AP197" s="85">
        <v>0.29</v>
      </c>
      <c r="AQ197" s="75">
        <v>0.09</v>
      </c>
      <c r="AR197" s="75">
        <v>0.045</v>
      </c>
      <c r="AS197" s="75">
        <v>0.068</v>
      </c>
      <c r="AT197" s="85">
        <v>0.29</v>
      </c>
      <c r="AU197" s="76">
        <v>0.049</v>
      </c>
      <c r="AV197" s="76">
        <v>0.025</v>
      </c>
      <c r="AW197" s="76">
        <v>0.037</v>
      </c>
      <c r="AY197" s="86">
        <v>0.29</v>
      </c>
      <c r="AZ197" s="78">
        <v>0.098</v>
      </c>
      <c r="BA197" s="78">
        <v>0.049</v>
      </c>
      <c r="BB197" s="78">
        <v>0.074</v>
      </c>
      <c r="BC197" s="86">
        <v>0.29</v>
      </c>
      <c r="BD197" s="79">
        <v>0.058</v>
      </c>
      <c r="BE197" s="79">
        <v>0.029</v>
      </c>
      <c r="BF197" s="79">
        <v>0.044</v>
      </c>
      <c r="BH197" s="87">
        <v>0.29</v>
      </c>
      <c r="BI197" s="81">
        <v>0</v>
      </c>
      <c r="BJ197" s="81">
        <v>0.055</v>
      </c>
      <c r="BK197" s="81">
        <v>0.083</v>
      </c>
      <c r="BL197" s="87">
        <v>0.29</v>
      </c>
      <c r="BM197" s="82">
        <v>0</v>
      </c>
      <c r="BN197" s="82">
        <v>0.033</v>
      </c>
      <c r="BO197" s="82">
        <v>0.05</v>
      </c>
    </row>
    <row r="198" spans="24:67" s="6" customFormat="1" ht="11.25" customHeight="1">
      <c r="X198" s="83">
        <v>0.3</v>
      </c>
      <c r="Y198" s="69">
        <v>0.083</v>
      </c>
      <c r="Z198" s="69">
        <v>0</v>
      </c>
      <c r="AA198" s="69">
        <v>0.062</v>
      </c>
      <c r="AB198" s="83">
        <v>0.3</v>
      </c>
      <c r="AC198" s="70">
        <v>0.033</v>
      </c>
      <c r="AD198" s="70">
        <v>0</v>
      </c>
      <c r="AE198" s="70">
        <v>0.025</v>
      </c>
      <c r="AG198" s="84">
        <v>0.3</v>
      </c>
      <c r="AH198" s="72">
        <v>0.085</v>
      </c>
      <c r="AI198" s="72">
        <v>0.042</v>
      </c>
      <c r="AJ198" s="72">
        <v>0.064</v>
      </c>
      <c r="AK198" s="84">
        <v>0.3</v>
      </c>
      <c r="AL198" s="73">
        <v>0.041</v>
      </c>
      <c r="AM198" s="73">
        <v>0.021</v>
      </c>
      <c r="AN198" s="73">
        <v>0.031</v>
      </c>
      <c r="AP198" s="85">
        <v>0.3</v>
      </c>
      <c r="AQ198" s="75">
        <v>0.09</v>
      </c>
      <c r="AR198" s="75">
        <v>0.045</v>
      </c>
      <c r="AS198" s="75">
        <v>0.068</v>
      </c>
      <c r="AT198" s="85">
        <v>0.3</v>
      </c>
      <c r="AU198" s="76">
        <v>0.049</v>
      </c>
      <c r="AV198" s="76">
        <v>0.025</v>
      </c>
      <c r="AW198" s="76">
        <v>0.037</v>
      </c>
      <c r="AY198" s="86">
        <v>0.3</v>
      </c>
      <c r="AZ198" s="78">
        <v>0.098</v>
      </c>
      <c r="BA198" s="78">
        <v>0.049</v>
      </c>
      <c r="BB198" s="78">
        <v>0.074</v>
      </c>
      <c r="BC198" s="86">
        <v>0.3</v>
      </c>
      <c r="BD198" s="79">
        <v>0.058</v>
      </c>
      <c r="BE198" s="79">
        <v>0.029</v>
      </c>
      <c r="BF198" s="79">
        <v>0.044</v>
      </c>
      <c r="BH198" s="87">
        <v>0.3</v>
      </c>
      <c r="BI198" s="81">
        <v>0</v>
      </c>
      <c r="BJ198" s="81">
        <v>0.055</v>
      </c>
      <c r="BK198" s="81">
        <v>0.083</v>
      </c>
      <c r="BL198" s="87">
        <v>0.3</v>
      </c>
      <c r="BM198" s="82">
        <v>0</v>
      </c>
      <c r="BN198" s="82">
        <v>0.033</v>
      </c>
      <c r="BO198" s="82">
        <v>0.05</v>
      </c>
    </row>
    <row r="199" spans="24:67" s="6" customFormat="1" ht="11.25" customHeight="1">
      <c r="X199" s="83">
        <v>0.31</v>
      </c>
      <c r="Y199" s="69">
        <v>0.083</v>
      </c>
      <c r="Z199" s="69">
        <v>0</v>
      </c>
      <c r="AA199" s="69">
        <v>0.062</v>
      </c>
      <c r="AB199" s="83">
        <v>0.31</v>
      </c>
      <c r="AC199" s="70">
        <v>0.033</v>
      </c>
      <c r="AD199" s="70">
        <v>0</v>
      </c>
      <c r="AE199" s="70">
        <v>0.025</v>
      </c>
      <c r="AG199" s="84">
        <v>0.31</v>
      </c>
      <c r="AH199" s="72">
        <v>0.085</v>
      </c>
      <c r="AI199" s="72">
        <v>0.042</v>
      </c>
      <c r="AJ199" s="72">
        <v>0.064</v>
      </c>
      <c r="AK199" s="84">
        <v>0.31</v>
      </c>
      <c r="AL199" s="73">
        <v>0.041</v>
      </c>
      <c r="AM199" s="73">
        <v>0.021</v>
      </c>
      <c r="AN199" s="73">
        <v>0.031</v>
      </c>
      <c r="AP199" s="85">
        <v>0.31</v>
      </c>
      <c r="AQ199" s="75">
        <v>0.09</v>
      </c>
      <c r="AR199" s="75">
        <v>0.045</v>
      </c>
      <c r="AS199" s="75">
        <v>0.068</v>
      </c>
      <c r="AT199" s="85">
        <v>0.31</v>
      </c>
      <c r="AU199" s="76">
        <v>0.049</v>
      </c>
      <c r="AV199" s="76">
        <v>0.025</v>
      </c>
      <c r="AW199" s="76">
        <v>0.037</v>
      </c>
      <c r="AY199" s="86">
        <v>0.31</v>
      </c>
      <c r="AZ199" s="78">
        <v>0.098</v>
      </c>
      <c r="BA199" s="78">
        <v>0.049</v>
      </c>
      <c r="BB199" s="78">
        <v>0.074</v>
      </c>
      <c r="BC199" s="86">
        <v>0.31</v>
      </c>
      <c r="BD199" s="79">
        <v>0.058</v>
      </c>
      <c r="BE199" s="79">
        <v>0.029</v>
      </c>
      <c r="BF199" s="79">
        <v>0.044</v>
      </c>
      <c r="BH199" s="87">
        <v>0.31</v>
      </c>
      <c r="BI199" s="81">
        <v>0</v>
      </c>
      <c r="BJ199" s="81">
        <v>0.055</v>
      </c>
      <c r="BK199" s="81">
        <v>0.083</v>
      </c>
      <c r="BL199" s="87">
        <v>0.31</v>
      </c>
      <c r="BM199" s="82">
        <v>0</v>
      </c>
      <c r="BN199" s="82">
        <v>0.033</v>
      </c>
      <c r="BO199" s="82">
        <v>0.05</v>
      </c>
    </row>
    <row r="200" spans="24:67" s="6" customFormat="1" ht="11.25" customHeight="1">
      <c r="X200" s="83">
        <v>0.32</v>
      </c>
      <c r="Y200" s="69">
        <v>0.083</v>
      </c>
      <c r="Z200" s="69">
        <v>0</v>
      </c>
      <c r="AA200" s="69">
        <v>0.062</v>
      </c>
      <c r="AB200" s="83">
        <v>0.32</v>
      </c>
      <c r="AC200" s="70">
        <v>0.033</v>
      </c>
      <c r="AD200" s="70">
        <v>0</v>
      </c>
      <c r="AE200" s="70">
        <v>0.025</v>
      </c>
      <c r="AG200" s="84">
        <v>0.32</v>
      </c>
      <c r="AH200" s="72">
        <v>0.085</v>
      </c>
      <c r="AI200" s="72">
        <v>0.042</v>
      </c>
      <c r="AJ200" s="72">
        <v>0.064</v>
      </c>
      <c r="AK200" s="84">
        <v>0.32</v>
      </c>
      <c r="AL200" s="73">
        <v>0.041</v>
      </c>
      <c r="AM200" s="73">
        <v>0.021</v>
      </c>
      <c r="AN200" s="73">
        <v>0.031</v>
      </c>
      <c r="AP200" s="85">
        <v>0.32</v>
      </c>
      <c r="AQ200" s="75">
        <v>0.09</v>
      </c>
      <c r="AR200" s="75">
        <v>0.045</v>
      </c>
      <c r="AS200" s="75">
        <v>0.068</v>
      </c>
      <c r="AT200" s="85">
        <v>0.32</v>
      </c>
      <c r="AU200" s="76">
        <v>0.049</v>
      </c>
      <c r="AV200" s="76">
        <v>0.025</v>
      </c>
      <c r="AW200" s="76">
        <v>0.037</v>
      </c>
      <c r="AY200" s="86">
        <v>0.32</v>
      </c>
      <c r="AZ200" s="78">
        <v>0.098</v>
      </c>
      <c r="BA200" s="78">
        <v>0.049</v>
      </c>
      <c r="BB200" s="78">
        <v>0.074</v>
      </c>
      <c r="BC200" s="86">
        <v>0.32</v>
      </c>
      <c r="BD200" s="79">
        <v>0.058</v>
      </c>
      <c r="BE200" s="79">
        <v>0.029</v>
      </c>
      <c r="BF200" s="79">
        <v>0.044</v>
      </c>
      <c r="BH200" s="87">
        <v>0.32</v>
      </c>
      <c r="BI200" s="81">
        <v>0</v>
      </c>
      <c r="BJ200" s="81">
        <v>0.055</v>
      </c>
      <c r="BK200" s="81">
        <v>0.083</v>
      </c>
      <c r="BL200" s="87">
        <v>0.32</v>
      </c>
      <c r="BM200" s="82">
        <v>0</v>
      </c>
      <c r="BN200" s="82">
        <v>0.033</v>
      </c>
      <c r="BO200" s="82">
        <v>0.05</v>
      </c>
    </row>
    <row r="201" spans="24:67" s="6" customFormat="1" ht="11.25" customHeight="1">
      <c r="X201" s="83">
        <v>0.33</v>
      </c>
      <c r="Y201" s="69">
        <v>0.083</v>
      </c>
      <c r="Z201" s="69">
        <v>0</v>
      </c>
      <c r="AA201" s="69">
        <v>0.062</v>
      </c>
      <c r="AB201" s="83">
        <v>0.33</v>
      </c>
      <c r="AC201" s="70">
        <v>0.033</v>
      </c>
      <c r="AD201" s="70">
        <v>0</v>
      </c>
      <c r="AE201" s="70">
        <v>0.025</v>
      </c>
      <c r="AG201" s="84">
        <v>0.33</v>
      </c>
      <c r="AH201" s="72">
        <v>0.085</v>
      </c>
      <c r="AI201" s="72">
        <v>0.042</v>
      </c>
      <c r="AJ201" s="72">
        <v>0.064</v>
      </c>
      <c r="AK201" s="84">
        <v>0.33</v>
      </c>
      <c r="AL201" s="73">
        <v>0.041</v>
      </c>
      <c r="AM201" s="73">
        <v>0.021</v>
      </c>
      <c r="AN201" s="73">
        <v>0.031</v>
      </c>
      <c r="AP201" s="85">
        <v>0.33</v>
      </c>
      <c r="AQ201" s="75">
        <v>0.09</v>
      </c>
      <c r="AR201" s="75">
        <v>0.045</v>
      </c>
      <c r="AS201" s="75">
        <v>0.068</v>
      </c>
      <c r="AT201" s="85">
        <v>0.33</v>
      </c>
      <c r="AU201" s="76">
        <v>0.049</v>
      </c>
      <c r="AV201" s="76">
        <v>0.025</v>
      </c>
      <c r="AW201" s="76">
        <v>0.037</v>
      </c>
      <c r="AY201" s="86">
        <v>0.33</v>
      </c>
      <c r="AZ201" s="78">
        <v>0.098</v>
      </c>
      <c r="BA201" s="78">
        <v>0.049</v>
      </c>
      <c r="BB201" s="78">
        <v>0.074</v>
      </c>
      <c r="BC201" s="86">
        <v>0.33</v>
      </c>
      <c r="BD201" s="79">
        <v>0.058</v>
      </c>
      <c r="BE201" s="79">
        <v>0.029</v>
      </c>
      <c r="BF201" s="79">
        <v>0.044</v>
      </c>
      <c r="BH201" s="87">
        <v>0.33</v>
      </c>
      <c r="BI201" s="81">
        <v>0</v>
      </c>
      <c r="BJ201" s="81">
        <v>0.055</v>
      </c>
      <c r="BK201" s="81">
        <v>0.083</v>
      </c>
      <c r="BL201" s="87">
        <v>0.33</v>
      </c>
      <c r="BM201" s="82">
        <v>0</v>
      </c>
      <c r="BN201" s="82">
        <v>0.033</v>
      </c>
      <c r="BO201" s="82">
        <v>0.05</v>
      </c>
    </row>
    <row r="202" spans="24:67" s="6" customFormat="1" ht="11.25" customHeight="1">
      <c r="X202" s="83">
        <v>0.34</v>
      </c>
      <c r="Y202" s="69">
        <v>0.083</v>
      </c>
      <c r="Z202" s="69">
        <v>0</v>
      </c>
      <c r="AA202" s="69">
        <v>0.062</v>
      </c>
      <c r="AB202" s="83">
        <v>0.34</v>
      </c>
      <c r="AC202" s="70">
        <v>0.033</v>
      </c>
      <c r="AD202" s="70">
        <v>0</v>
      </c>
      <c r="AE202" s="70">
        <v>0.025</v>
      </c>
      <c r="AG202" s="84">
        <v>0.34</v>
      </c>
      <c r="AH202" s="72">
        <v>0.085</v>
      </c>
      <c r="AI202" s="72">
        <v>0.042</v>
      </c>
      <c r="AJ202" s="72">
        <v>0.064</v>
      </c>
      <c r="AK202" s="84">
        <v>0.34</v>
      </c>
      <c r="AL202" s="73">
        <v>0.041</v>
      </c>
      <c r="AM202" s="73">
        <v>0.021</v>
      </c>
      <c r="AN202" s="73">
        <v>0.031</v>
      </c>
      <c r="AP202" s="85">
        <v>0.34</v>
      </c>
      <c r="AQ202" s="75">
        <v>0.09</v>
      </c>
      <c r="AR202" s="75">
        <v>0.045</v>
      </c>
      <c r="AS202" s="75">
        <v>0.068</v>
      </c>
      <c r="AT202" s="85">
        <v>0.34</v>
      </c>
      <c r="AU202" s="76">
        <v>0.049</v>
      </c>
      <c r="AV202" s="76">
        <v>0.025</v>
      </c>
      <c r="AW202" s="76">
        <v>0.037</v>
      </c>
      <c r="AY202" s="86">
        <v>0.34</v>
      </c>
      <c r="AZ202" s="78">
        <v>0.098</v>
      </c>
      <c r="BA202" s="78">
        <v>0.049</v>
      </c>
      <c r="BB202" s="78">
        <v>0.074</v>
      </c>
      <c r="BC202" s="86">
        <v>0.34</v>
      </c>
      <c r="BD202" s="79">
        <v>0.058</v>
      </c>
      <c r="BE202" s="79">
        <v>0.029</v>
      </c>
      <c r="BF202" s="79">
        <v>0.044</v>
      </c>
      <c r="BH202" s="87">
        <v>0.34</v>
      </c>
      <c r="BI202" s="81">
        <v>0</v>
      </c>
      <c r="BJ202" s="81">
        <v>0.055</v>
      </c>
      <c r="BK202" s="81">
        <v>0.083</v>
      </c>
      <c r="BL202" s="87">
        <v>0.34</v>
      </c>
      <c r="BM202" s="82">
        <v>0</v>
      </c>
      <c r="BN202" s="82">
        <v>0.033</v>
      </c>
      <c r="BO202" s="82">
        <v>0.05</v>
      </c>
    </row>
    <row r="203" spans="24:67" s="6" customFormat="1" ht="11.25" customHeight="1">
      <c r="X203" s="83">
        <v>0.35</v>
      </c>
      <c r="Y203" s="69">
        <v>0.083</v>
      </c>
      <c r="Z203" s="69">
        <v>0</v>
      </c>
      <c r="AA203" s="69">
        <v>0.062</v>
      </c>
      <c r="AB203" s="83">
        <v>0.35</v>
      </c>
      <c r="AC203" s="70">
        <v>0.033</v>
      </c>
      <c r="AD203" s="70">
        <v>0</v>
      </c>
      <c r="AE203" s="70">
        <v>0.025</v>
      </c>
      <c r="AG203" s="84">
        <v>0.35</v>
      </c>
      <c r="AH203" s="72">
        <v>0.085</v>
      </c>
      <c r="AI203" s="72">
        <v>0.042</v>
      </c>
      <c r="AJ203" s="72">
        <v>0.064</v>
      </c>
      <c r="AK203" s="84">
        <v>0.35</v>
      </c>
      <c r="AL203" s="73">
        <v>0.041</v>
      </c>
      <c r="AM203" s="73">
        <v>0.021</v>
      </c>
      <c r="AN203" s="73">
        <v>0.031</v>
      </c>
      <c r="AP203" s="85">
        <v>0.35</v>
      </c>
      <c r="AQ203" s="75">
        <v>0.09</v>
      </c>
      <c r="AR203" s="75">
        <v>0.045</v>
      </c>
      <c r="AS203" s="75">
        <v>0.068</v>
      </c>
      <c r="AT203" s="85">
        <v>0.35</v>
      </c>
      <c r="AU203" s="76">
        <v>0.049</v>
      </c>
      <c r="AV203" s="76">
        <v>0.025</v>
      </c>
      <c r="AW203" s="76">
        <v>0.037</v>
      </c>
      <c r="AY203" s="86">
        <v>0.35</v>
      </c>
      <c r="AZ203" s="78">
        <v>0.098</v>
      </c>
      <c r="BA203" s="78">
        <v>0.049</v>
      </c>
      <c r="BB203" s="78">
        <v>0.074</v>
      </c>
      <c r="BC203" s="86">
        <v>0.35</v>
      </c>
      <c r="BD203" s="79">
        <v>0.058</v>
      </c>
      <c r="BE203" s="79">
        <v>0.029</v>
      </c>
      <c r="BF203" s="79">
        <v>0.044</v>
      </c>
      <c r="BH203" s="87">
        <v>0.35</v>
      </c>
      <c r="BI203" s="81">
        <v>0</v>
      </c>
      <c r="BJ203" s="81">
        <v>0.055</v>
      </c>
      <c r="BK203" s="81">
        <v>0.083</v>
      </c>
      <c r="BL203" s="87">
        <v>0.35</v>
      </c>
      <c r="BM203" s="82">
        <v>0</v>
      </c>
      <c r="BN203" s="82">
        <v>0.033</v>
      </c>
      <c r="BO203" s="82">
        <v>0.05</v>
      </c>
    </row>
    <row r="204" spans="24:67" s="6" customFormat="1" ht="11.25" customHeight="1">
      <c r="X204" s="83">
        <v>0.36</v>
      </c>
      <c r="Y204" s="69">
        <v>0.083</v>
      </c>
      <c r="Z204" s="69">
        <v>0</v>
      </c>
      <c r="AA204" s="69">
        <v>0.062</v>
      </c>
      <c r="AB204" s="83">
        <v>0.36</v>
      </c>
      <c r="AC204" s="70">
        <v>0.033</v>
      </c>
      <c r="AD204" s="70">
        <v>0</v>
      </c>
      <c r="AE204" s="70">
        <v>0.025</v>
      </c>
      <c r="AG204" s="84">
        <v>0.36</v>
      </c>
      <c r="AH204" s="72">
        <v>0.085</v>
      </c>
      <c r="AI204" s="72">
        <v>0.042</v>
      </c>
      <c r="AJ204" s="72">
        <v>0.064</v>
      </c>
      <c r="AK204" s="84">
        <v>0.36</v>
      </c>
      <c r="AL204" s="73">
        <v>0.041</v>
      </c>
      <c r="AM204" s="73">
        <v>0.021</v>
      </c>
      <c r="AN204" s="73">
        <v>0.031</v>
      </c>
      <c r="AP204" s="85">
        <v>0.36</v>
      </c>
      <c r="AQ204" s="75">
        <v>0.09</v>
      </c>
      <c r="AR204" s="75">
        <v>0.045</v>
      </c>
      <c r="AS204" s="75">
        <v>0.068</v>
      </c>
      <c r="AT204" s="85">
        <v>0.36</v>
      </c>
      <c r="AU204" s="76">
        <v>0.049</v>
      </c>
      <c r="AV204" s="76">
        <v>0.025</v>
      </c>
      <c r="AW204" s="76">
        <v>0.037</v>
      </c>
      <c r="AY204" s="86">
        <v>0.36</v>
      </c>
      <c r="AZ204" s="78">
        <v>0.098</v>
      </c>
      <c r="BA204" s="78">
        <v>0.049</v>
      </c>
      <c r="BB204" s="78">
        <v>0.074</v>
      </c>
      <c r="BC204" s="86">
        <v>0.36</v>
      </c>
      <c r="BD204" s="79">
        <v>0.058</v>
      </c>
      <c r="BE204" s="79">
        <v>0.029</v>
      </c>
      <c r="BF204" s="79">
        <v>0.044</v>
      </c>
      <c r="BH204" s="87">
        <v>0.36</v>
      </c>
      <c r="BI204" s="81">
        <v>0</v>
      </c>
      <c r="BJ204" s="81">
        <v>0.055</v>
      </c>
      <c r="BK204" s="81">
        <v>0.083</v>
      </c>
      <c r="BL204" s="87">
        <v>0.36</v>
      </c>
      <c r="BM204" s="82">
        <v>0</v>
      </c>
      <c r="BN204" s="82">
        <v>0.033</v>
      </c>
      <c r="BO204" s="82">
        <v>0.05</v>
      </c>
    </row>
    <row r="205" spans="24:67" s="6" customFormat="1" ht="11.25" customHeight="1">
      <c r="X205" s="83">
        <v>0.37</v>
      </c>
      <c r="Y205" s="69">
        <v>0.083</v>
      </c>
      <c r="Z205" s="69">
        <v>0</v>
      </c>
      <c r="AA205" s="69">
        <v>0.062</v>
      </c>
      <c r="AB205" s="83">
        <v>0.37</v>
      </c>
      <c r="AC205" s="70">
        <v>0.033</v>
      </c>
      <c r="AD205" s="70">
        <v>0</v>
      </c>
      <c r="AE205" s="70">
        <v>0.025</v>
      </c>
      <c r="AG205" s="84">
        <v>0.37</v>
      </c>
      <c r="AH205" s="72">
        <v>0.085</v>
      </c>
      <c r="AI205" s="72">
        <v>0.042</v>
      </c>
      <c r="AJ205" s="72">
        <v>0.064</v>
      </c>
      <c r="AK205" s="84">
        <v>0.37</v>
      </c>
      <c r="AL205" s="73">
        <v>0.041</v>
      </c>
      <c r="AM205" s="73">
        <v>0.021</v>
      </c>
      <c r="AN205" s="73">
        <v>0.031</v>
      </c>
      <c r="AP205" s="85">
        <v>0.37</v>
      </c>
      <c r="AQ205" s="75">
        <v>0.09</v>
      </c>
      <c r="AR205" s="75">
        <v>0.045</v>
      </c>
      <c r="AS205" s="75">
        <v>0.068</v>
      </c>
      <c r="AT205" s="85">
        <v>0.37</v>
      </c>
      <c r="AU205" s="76">
        <v>0.049</v>
      </c>
      <c r="AV205" s="76">
        <v>0.025</v>
      </c>
      <c r="AW205" s="76">
        <v>0.037</v>
      </c>
      <c r="AY205" s="86">
        <v>0.37</v>
      </c>
      <c r="AZ205" s="78">
        <v>0.098</v>
      </c>
      <c r="BA205" s="78">
        <v>0.049</v>
      </c>
      <c r="BB205" s="78">
        <v>0.074</v>
      </c>
      <c r="BC205" s="86">
        <v>0.37</v>
      </c>
      <c r="BD205" s="79">
        <v>0.058</v>
      </c>
      <c r="BE205" s="79">
        <v>0.029</v>
      </c>
      <c r="BF205" s="79">
        <v>0.044</v>
      </c>
      <c r="BH205" s="87">
        <v>0.37</v>
      </c>
      <c r="BI205" s="81">
        <v>0</v>
      </c>
      <c r="BJ205" s="81">
        <v>0.055</v>
      </c>
      <c r="BK205" s="81">
        <v>0.083</v>
      </c>
      <c r="BL205" s="87">
        <v>0.37</v>
      </c>
      <c r="BM205" s="82">
        <v>0</v>
      </c>
      <c r="BN205" s="82">
        <v>0.033</v>
      </c>
      <c r="BO205" s="82">
        <v>0.05</v>
      </c>
    </row>
    <row r="206" spans="24:67" s="6" customFormat="1" ht="11.25" customHeight="1">
      <c r="X206" s="83">
        <v>0.38</v>
      </c>
      <c r="Y206" s="69">
        <v>0.083</v>
      </c>
      <c r="Z206" s="69">
        <v>0</v>
      </c>
      <c r="AA206" s="69">
        <v>0.062</v>
      </c>
      <c r="AB206" s="83">
        <v>0.38</v>
      </c>
      <c r="AC206" s="70">
        <v>0.033</v>
      </c>
      <c r="AD206" s="70">
        <v>0</v>
      </c>
      <c r="AE206" s="70">
        <v>0.025</v>
      </c>
      <c r="AG206" s="84">
        <v>0.38</v>
      </c>
      <c r="AH206" s="72">
        <v>0.085</v>
      </c>
      <c r="AI206" s="72">
        <v>0.042</v>
      </c>
      <c r="AJ206" s="72">
        <v>0.064</v>
      </c>
      <c r="AK206" s="84">
        <v>0.38</v>
      </c>
      <c r="AL206" s="73">
        <v>0.041</v>
      </c>
      <c r="AM206" s="73">
        <v>0.021</v>
      </c>
      <c r="AN206" s="73">
        <v>0.031</v>
      </c>
      <c r="AP206" s="85">
        <v>0.38</v>
      </c>
      <c r="AQ206" s="75">
        <v>0.09</v>
      </c>
      <c r="AR206" s="75">
        <v>0.045</v>
      </c>
      <c r="AS206" s="75">
        <v>0.068</v>
      </c>
      <c r="AT206" s="85">
        <v>0.38</v>
      </c>
      <c r="AU206" s="76">
        <v>0.049</v>
      </c>
      <c r="AV206" s="76">
        <v>0.025</v>
      </c>
      <c r="AW206" s="76">
        <v>0.037</v>
      </c>
      <c r="AY206" s="86">
        <v>0.38</v>
      </c>
      <c r="AZ206" s="78">
        <v>0.098</v>
      </c>
      <c r="BA206" s="78">
        <v>0.049</v>
      </c>
      <c r="BB206" s="78">
        <v>0.074</v>
      </c>
      <c r="BC206" s="86">
        <v>0.38</v>
      </c>
      <c r="BD206" s="79">
        <v>0.058</v>
      </c>
      <c r="BE206" s="79">
        <v>0.029</v>
      </c>
      <c r="BF206" s="79">
        <v>0.044</v>
      </c>
      <c r="BH206" s="87">
        <v>0.38</v>
      </c>
      <c r="BI206" s="81">
        <v>0</v>
      </c>
      <c r="BJ206" s="81">
        <v>0.055</v>
      </c>
      <c r="BK206" s="81">
        <v>0.083</v>
      </c>
      <c r="BL206" s="87">
        <v>0.38</v>
      </c>
      <c r="BM206" s="82">
        <v>0</v>
      </c>
      <c r="BN206" s="82">
        <v>0.033</v>
      </c>
      <c r="BO206" s="82">
        <v>0.05</v>
      </c>
    </row>
    <row r="207" spans="24:67" s="6" customFormat="1" ht="11.25" customHeight="1">
      <c r="X207" s="83">
        <v>0.39</v>
      </c>
      <c r="Y207" s="69">
        <v>0.083</v>
      </c>
      <c r="Z207" s="69">
        <v>0</v>
      </c>
      <c r="AA207" s="69">
        <v>0.062</v>
      </c>
      <c r="AB207" s="83">
        <v>0.39</v>
      </c>
      <c r="AC207" s="70">
        <v>0.033</v>
      </c>
      <c r="AD207" s="70">
        <v>0</v>
      </c>
      <c r="AE207" s="70">
        <v>0.025</v>
      </c>
      <c r="AG207" s="84">
        <v>0.39</v>
      </c>
      <c r="AH207" s="72">
        <v>0.085</v>
      </c>
      <c r="AI207" s="72">
        <v>0.042</v>
      </c>
      <c r="AJ207" s="72">
        <v>0.064</v>
      </c>
      <c r="AK207" s="84">
        <v>0.39</v>
      </c>
      <c r="AL207" s="73">
        <v>0.041</v>
      </c>
      <c r="AM207" s="73">
        <v>0.021</v>
      </c>
      <c r="AN207" s="73">
        <v>0.031</v>
      </c>
      <c r="AP207" s="85">
        <v>0.39</v>
      </c>
      <c r="AQ207" s="75">
        <v>0.09</v>
      </c>
      <c r="AR207" s="75">
        <v>0.045</v>
      </c>
      <c r="AS207" s="75">
        <v>0.068</v>
      </c>
      <c r="AT207" s="85">
        <v>0.39</v>
      </c>
      <c r="AU207" s="76">
        <v>0.049</v>
      </c>
      <c r="AV207" s="76">
        <v>0.025</v>
      </c>
      <c r="AW207" s="76">
        <v>0.037</v>
      </c>
      <c r="AY207" s="86">
        <v>0.39</v>
      </c>
      <c r="AZ207" s="78">
        <v>0.098</v>
      </c>
      <c r="BA207" s="78">
        <v>0.049</v>
      </c>
      <c r="BB207" s="78">
        <v>0.074</v>
      </c>
      <c r="BC207" s="86">
        <v>0.39</v>
      </c>
      <c r="BD207" s="79">
        <v>0.058</v>
      </c>
      <c r="BE207" s="79">
        <v>0.029</v>
      </c>
      <c r="BF207" s="79">
        <v>0.044</v>
      </c>
      <c r="BH207" s="87">
        <v>0.39</v>
      </c>
      <c r="BI207" s="81">
        <v>0</v>
      </c>
      <c r="BJ207" s="81">
        <v>0.055</v>
      </c>
      <c r="BK207" s="81">
        <v>0.083</v>
      </c>
      <c r="BL207" s="87">
        <v>0.39</v>
      </c>
      <c r="BM207" s="82">
        <v>0</v>
      </c>
      <c r="BN207" s="82">
        <v>0.033</v>
      </c>
      <c r="BO207" s="82">
        <v>0.05</v>
      </c>
    </row>
    <row r="208" spans="24:67" s="6" customFormat="1" ht="11.25" customHeight="1">
      <c r="X208" s="83">
        <v>0.4</v>
      </c>
      <c r="Y208" s="69">
        <v>0.083</v>
      </c>
      <c r="Z208" s="69">
        <v>0</v>
      </c>
      <c r="AA208" s="69">
        <v>0.062</v>
      </c>
      <c r="AB208" s="83">
        <v>0.4</v>
      </c>
      <c r="AC208" s="70">
        <v>0.033</v>
      </c>
      <c r="AD208" s="70">
        <v>0</v>
      </c>
      <c r="AE208" s="70">
        <v>0.025</v>
      </c>
      <c r="AG208" s="84">
        <v>0.4</v>
      </c>
      <c r="AH208" s="72">
        <v>0.085</v>
      </c>
      <c r="AI208" s="72">
        <v>0.042</v>
      </c>
      <c r="AJ208" s="72">
        <v>0.064</v>
      </c>
      <c r="AK208" s="84">
        <v>0.4</v>
      </c>
      <c r="AL208" s="73">
        <v>0.041</v>
      </c>
      <c r="AM208" s="73">
        <v>0.021</v>
      </c>
      <c r="AN208" s="73">
        <v>0.031</v>
      </c>
      <c r="AP208" s="85">
        <v>0.4</v>
      </c>
      <c r="AQ208" s="75">
        <v>0.09</v>
      </c>
      <c r="AR208" s="75">
        <v>0.045</v>
      </c>
      <c r="AS208" s="75">
        <v>0.068</v>
      </c>
      <c r="AT208" s="85">
        <v>0.4</v>
      </c>
      <c r="AU208" s="76">
        <v>0.049</v>
      </c>
      <c r="AV208" s="76">
        <v>0.025</v>
      </c>
      <c r="AW208" s="76">
        <v>0.037</v>
      </c>
      <c r="AY208" s="86">
        <v>0.4</v>
      </c>
      <c r="AZ208" s="78">
        <v>0.098</v>
      </c>
      <c r="BA208" s="78">
        <v>0.049</v>
      </c>
      <c r="BB208" s="78">
        <v>0.074</v>
      </c>
      <c r="BC208" s="86">
        <v>0.4</v>
      </c>
      <c r="BD208" s="79">
        <v>0.058</v>
      </c>
      <c r="BE208" s="79">
        <v>0.029</v>
      </c>
      <c r="BF208" s="79">
        <v>0.044</v>
      </c>
      <c r="BH208" s="87">
        <v>0.4</v>
      </c>
      <c r="BI208" s="81">
        <v>0</v>
      </c>
      <c r="BJ208" s="81">
        <v>0.055</v>
      </c>
      <c r="BK208" s="81">
        <v>0.083</v>
      </c>
      <c r="BL208" s="87">
        <v>0.4</v>
      </c>
      <c r="BM208" s="82">
        <v>0</v>
      </c>
      <c r="BN208" s="82">
        <v>0.033</v>
      </c>
      <c r="BO208" s="82">
        <v>0.05</v>
      </c>
    </row>
    <row r="209" spans="24:67" s="6" customFormat="1" ht="11.25" customHeight="1">
      <c r="X209" s="83">
        <v>0.41</v>
      </c>
      <c r="Y209" s="69">
        <v>0.083</v>
      </c>
      <c r="Z209" s="69">
        <v>0</v>
      </c>
      <c r="AA209" s="69">
        <v>0.062</v>
      </c>
      <c r="AB209" s="83">
        <v>0.41</v>
      </c>
      <c r="AC209" s="70">
        <v>0.033</v>
      </c>
      <c r="AD209" s="70">
        <v>0</v>
      </c>
      <c r="AE209" s="70">
        <v>0.025</v>
      </c>
      <c r="AG209" s="84">
        <v>0.41</v>
      </c>
      <c r="AH209" s="72">
        <v>0.085</v>
      </c>
      <c r="AI209" s="72">
        <v>0.042</v>
      </c>
      <c r="AJ209" s="72">
        <v>0.064</v>
      </c>
      <c r="AK209" s="84">
        <v>0.41</v>
      </c>
      <c r="AL209" s="73">
        <v>0.041</v>
      </c>
      <c r="AM209" s="73">
        <v>0.021</v>
      </c>
      <c r="AN209" s="73">
        <v>0.031</v>
      </c>
      <c r="AP209" s="85">
        <v>0.41</v>
      </c>
      <c r="AQ209" s="75">
        <v>0.09</v>
      </c>
      <c r="AR209" s="75">
        <v>0.045</v>
      </c>
      <c r="AS209" s="75">
        <v>0.068</v>
      </c>
      <c r="AT209" s="85">
        <v>0.41</v>
      </c>
      <c r="AU209" s="76">
        <v>0.049</v>
      </c>
      <c r="AV209" s="76">
        <v>0.025</v>
      </c>
      <c r="AW209" s="76">
        <v>0.037</v>
      </c>
      <c r="AY209" s="86">
        <v>0.41</v>
      </c>
      <c r="AZ209" s="78">
        <v>0.098</v>
      </c>
      <c r="BA209" s="78">
        <v>0.049</v>
      </c>
      <c r="BB209" s="78">
        <v>0.074</v>
      </c>
      <c r="BC209" s="86">
        <v>0.41</v>
      </c>
      <c r="BD209" s="79">
        <v>0.058</v>
      </c>
      <c r="BE209" s="79">
        <v>0.029</v>
      </c>
      <c r="BF209" s="79">
        <v>0.044</v>
      </c>
      <c r="BH209" s="87">
        <v>0.41</v>
      </c>
      <c r="BI209" s="81">
        <v>0</v>
      </c>
      <c r="BJ209" s="81">
        <v>0.055</v>
      </c>
      <c r="BK209" s="81">
        <v>0.083</v>
      </c>
      <c r="BL209" s="87">
        <v>0.41</v>
      </c>
      <c r="BM209" s="82">
        <v>0</v>
      </c>
      <c r="BN209" s="82">
        <v>0.033</v>
      </c>
      <c r="BO209" s="82">
        <v>0.05</v>
      </c>
    </row>
    <row r="210" spans="24:67" s="6" customFormat="1" ht="11.25" customHeight="1">
      <c r="X210" s="83">
        <v>0.42</v>
      </c>
      <c r="Y210" s="69">
        <v>0.083</v>
      </c>
      <c r="Z210" s="69">
        <v>0</v>
      </c>
      <c r="AA210" s="69">
        <v>0.062</v>
      </c>
      <c r="AB210" s="83">
        <v>0.42</v>
      </c>
      <c r="AC210" s="70">
        <v>0.033</v>
      </c>
      <c r="AD210" s="70">
        <v>0</v>
      </c>
      <c r="AE210" s="70">
        <v>0.025</v>
      </c>
      <c r="AG210" s="84">
        <v>0.42</v>
      </c>
      <c r="AH210" s="72">
        <v>0.085</v>
      </c>
      <c r="AI210" s="72">
        <v>0.042</v>
      </c>
      <c r="AJ210" s="72">
        <v>0.064</v>
      </c>
      <c r="AK210" s="84">
        <v>0.42</v>
      </c>
      <c r="AL210" s="73">
        <v>0.041</v>
      </c>
      <c r="AM210" s="73">
        <v>0.021</v>
      </c>
      <c r="AN210" s="73">
        <v>0.031</v>
      </c>
      <c r="AP210" s="85">
        <v>0.42</v>
      </c>
      <c r="AQ210" s="75">
        <v>0.09</v>
      </c>
      <c r="AR210" s="75">
        <v>0.045</v>
      </c>
      <c r="AS210" s="75">
        <v>0.068</v>
      </c>
      <c r="AT210" s="85">
        <v>0.42</v>
      </c>
      <c r="AU210" s="76">
        <v>0.049</v>
      </c>
      <c r="AV210" s="76">
        <v>0.025</v>
      </c>
      <c r="AW210" s="76">
        <v>0.037</v>
      </c>
      <c r="AY210" s="86">
        <v>0.42</v>
      </c>
      <c r="AZ210" s="78">
        <v>0.098</v>
      </c>
      <c r="BA210" s="78">
        <v>0.049</v>
      </c>
      <c r="BB210" s="78">
        <v>0.074</v>
      </c>
      <c r="BC210" s="86">
        <v>0.42</v>
      </c>
      <c r="BD210" s="79">
        <v>0.058</v>
      </c>
      <c r="BE210" s="79">
        <v>0.029</v>
      </c>
      <c r="BF210" s="79">
        <v>0.044</v>
      </c>
      <c r="BH210" s="87">
        <v>0.42</v>
      </c>
      <c r="BI210" s="81">
        <v>0</v>
      </c>
      <c r="BJ210" s="81">
        <v>0.055</v>
      </c>
      <c r="BK210" s="81">
        <v>0.083</v>
      </c>
      <c r="BL210" s="87">
        <v>0.42</v>
      </c>
      <c r="BM210" s="82">
        <v>0</v>
      </c>
      <c r="BN210" s="82">
        <v>0.033</v>
      </c>
      <c r="BO210" s="82">
        <v>0.05</v>
      </c>
    </row>
    <row r="211" spans="24:67" s="6" customFormat="1" ht="11.25" customHeight="1">
      <c r="X211" s="83">
        <v>0.43</v>
      </c>
      <c r="Y211" s="69">
        <v>0.083</v>
      </c>
      <c r="Z211" s="69">
        <v>0</v>
      </c>
      <c r="AA211" s="69">
        <v>0.062</v>
      </c>
      <c r="AB211" s="83">
        <v>0.43</v>
      </c>
      <c r="AC211" s="70">
        <v>0.033</v>
      </c>
      <c r="AD211" s="70">
        <v>0</v>
      </c>
      <c r="AE211" s="70">
        <v>0.025</v>
      </c>
      <c r="AG211" s="84">
        <v>0.43</v>
      </c>
      <c r="AH211" s="72">
        <v>0.085</v>
      </c>
      <c r="AI211" s="72">
        <v>0.042</v>
      </c>
      <c r="AJ211" s="72">
        <v>0.064</v>
      </c>
      <c r="AK211" s="84">
        <v>0.43</v>
      </c>
      <c r="AL211" s="73">
        <v>0.041</v>
      </c>
      <c r="AM211" s="73">
        <v>0.021</v>
      </c>
      <c r="AN211" s="73">
        <v>0.031</v>
      </c>
      <c r="AP211" s="85">
        <v>0.43</v>
      </c>
      <c r="AQ211" s="75">
        <v>0.09</v>
      </c>
      <c r="AR211" s="75">
        <v>0.045</v>
      </c>
      <c r="AS211" s="75">
        <v>0.068</v>
      </c>
      <c r="AT211" s="85">
        <v>0.43</v>
      </c>
      <c r="AU211" s="76">
        <v>0.049</v>
      </c>
      <c r="AV211" s="76">
        <v>0.025</v>
      </c>
      <c r="AW211" s="76">
        <v>0.037</v>
      </c>
      <c r="AY211" s="86">
        <v>0.43</v>
      </c>
      <c r="AZ211" s="78">
        <v>0.098</v>
      </c>
      <c r="BA211" s="78">
        <v>0.049</v>
      </c>
      <c r="BB211" s="78">
        <v>0.074</v>
      </c>
      <c r="BC211" s="86">
        <v>0.43</v>
      </c>
      <c r="BD211" s="79">
        <v>0.058</v>
      </c>
      <c r="BE211" s="79">
        <v>0.029</v>
      </c>
      <c r="BF211" s="79">
        <v>0.044</v>
      </c>
      <c r="BH211" s="87">
        <v>0.43</v>
      </c>
      <c r="BI211" s="81">
        <v>0</v>
      </c>
      <c r="BJ211" s="81">
        <v>0.055</v>
      </c>
      <c r="BK211" s="81">
        <v>0.083</v>
      </c>
      <c r="BL211" s="87">
        <v>0.43</v>
      </c>
      <c r="BM211" s="82">
        <v>0</v>
      </c>
      <c r="BN211" s="82">
        <v>0.033</v>
      </c>
      <c r="BO211" s="82">
        <v>0.05</v>
      </c>
    </row>
    <row r="212" spans="24:67" s="6" customFormat="1" ht="11.25" customHeight="1">
      <c r="X212" s="83">
        <v>0.44</v>
      </c>
      <c r="Y212" s="69">
        <v>0.083</v>
      </c>
      <c r="Z212" s="69">
        <v>0</v>
      </c>
      <c r="AA212" s="69">
        <v>0.062</v>
      </c>
      <c r="AB212" s="83">
        <v>0.44</v>
      </c>
      <c r="AC212" s="70">
        <v>0.033</v>
      </c>
      <c r="AD212" s="70">
        <v>0</v>
      </c>
      <c r="AE212" s="70">
        <v>0.025</v>
      </c>
      <c r="AG212" s="84">
        <v>0.44</v>
      </c>
      <c r="AH212" s="72">
        <v>0.085</v>
      </c>
      <c r="AI212" s="72">
        <v>0.042</v>
      </c>
      <c r="AJ212" s="72">
        <v>0.064</v>
      </c>
      <c r="AK212" s="84">
        <v>0.44</v>
      </c>
      <c r="AL212" s="73">
        <v>0.041</v>
      </c>
      <c r="AM212" s="73">
        <v>0.021</v>
      </c>
      <c r="AN212" s="73">
        <v>0.031</v>
      </c>
      <c r="AP212" s="85">
        <v>0.44</v>
      </c>
      <c r="AQ212" s="75">
        <v>0.09</v>
      </c>
      <c r="AR212" s="75">
        <v>0.045</v>
      </c>
      <c r="AS212" s="75">
        <v>0.068</v>
      </c>
      <c r="AT212" s="85">
        <v>0.44</v>
      </c>
      <c r="AU212" s="76">
        <v>0.049</v>
      </c>
      <c r="AV212" s="76">
        <v>0.025</v>
      </c>
      <c r="AW212" s="76">
        <v>0.037</v>
      </c>
      <c r="AY212" s="86">
        <v>0.44</v>
      </c>
      <c r="AZ212" s="78">
        <v>0.098</v>
      </c>
      <c r="BA212" s="78">
        <v>0.049</v>
      </c>
      <c r="BB212" s="78">
        <v>0.074</v>
      </c>
      <c r="BC212" s="86">
        <v>0.44</v>
      </c>
      <c r="BD212" s="79">
        <v>0.058</v>
      </c>
      <c r="BE212" s="79">
        <v>0.029</v>
      </c>
      <c r="BF212" s="79">
        <v>0.044</v>
      </c>
      <c r="BH212" s="87">
        <v>0.44</v>
      </c>
      <c r="BI212" s="81">
        <v>0</v>
      </c>
      <c r="BJ212" s="81">
        <v>0.055</v>
      </c>
      <c r="BK212" s="81">
        <v>0.083</v>
      </c>
      <c r="BL212" s="87">
        <v>0.44</v>
      </c>
      <c r="BM212" s="82">
        <v>0</v>
      </c>
      <c r="BN212" s="82">
        <v>0.033</v>
      </c>
      <c r="BO212" s="82">
        <v>0.05</v>
      </c>
    </row>
    <row r="213" spans="24:67" s="6" customFormat="1" ht="11.25" customHeight="1">
      <c r="X213" s="83">
        <v>0.45</v>
      </c>
      <c r="Y213" s="69">
        <v>0.083</v>
      </c>
      <c r="Z213" s="69">
        <v>0</v>
      </c>
      <c r="AA213" s="69">
        <v>0.062</v>
      </c>
      <c r="AB213" s="83">
        <v>0.45</v>
      </c>
      <c r="AC213" s="70">
        <v>0.033</v>
      </c>
      <c r="AD213" s="70">
        <v>0</v>
      </c>
      <c r="AE213" s="70">
        <v>0.025</v>
      </c>
      <c r="AG213" s="84">
        <v>0.45</v>
      </c>
      <c r="AH213" s="72">
        <v>0.085</v>
      </c>
      <c r="AI213" s="72">
        <v>0.042</v>
      </c>
      <c r="AJ213" s="72">
        <v>0.064</v>
      </c>
      <c r="AK213" s="84">
        <v>0.45</v>
      </c>
      <c r="AL213" s="73">
        <v>0.041</v>
      </c>
      <c r="AM213" s="73">
        <v>0.021</v>
      </c>
      <c r="AN213" s="73">
        <v>0.031</v>
      </c>
      <c r="AP213" s="85">
        <v>0.45</v>
      </c>
      <c r="AQ213" s="75">
        <v>0.09</v>
      </c>
      <c r="AR213" s="75">
        <v>0.045</v>
      </c>
      <c r="AS213" s="75">
        <v>0.068</v>
      </c>
      <c r="AT213" s="85">
        <v>0.45</v>
      </c>
      <c r="AU213" s="76">
        <v>0.049</v>
      </c>
      <c r="AV213" s="76">
        <v>0.025</v>
      </c>
      <c r="AW213" s="76">
        <v>0.037</v>
      </c>
      <c r="AY213" s="86">
        <v>0.45</v>
      </c>
      <c r="AZ213" s="78">
        <v>0.098</v>
      </c>
      <c r="BA213" s="78">
        <v>0.049</v>
      </c>
      <c r="BB213" s="78">
        <v>0.074</v>
      </c>
      <c r="BC213" s="86">
        <v>0.45</v>
      </c>
      <c r="BD213" s="79">
        <v>0.058</v>
      </c>
      <c r="BE213" s="79">
        <v>0.029</v>
      </c>
      <c r="BF213" s="79">
        <v>0.044</v>
      </c>
      <c r="BH213" s="87">
        <v>0.45</v>
      </c>
      <c r="BI213" s="81">
        <v>0</v>
      </c>
      <c r="BJ213" s="81">
        <v>0.055</v>
      </c>
      <c r="BK213" s="81">
        <v>0.083</v>
      </c>
      <c r="BL213" s="87">
        <v>0.45</v>
      </c>
      <c r="BM213" s="82">
        <v>0</v>
      </c>
      <c r="BN213" s="82">
        <v>0.033</v>
      </c>
      <c r="BO213" s="82">
        <v>0.05</v>
      </c>
    </row>
    <row r="214" spans="24:67" s="6" customFormat="1" ht="11.25" customHeight="1">
      <c r="X214" s="83">
        <v>0.46</v>
      </c>
      <c r="Y214" s="69">
        <v>0.083</v>
      </c>
      <c r="Z214" s="69">
        <v>0</v>
      </c>
      <c r="AA214" s="69">
        <v>0.062</v>
      </c>
      <c r="AB214" s="83">
        <v>0.46</v>
      </c>
      <c r="AC214" s="70">
        <v>0.033</v>
      </c>
      <c r="AD214" s="70">
        <v>0</v>
      </c>
      <c r="AE214" s="70">
        <v>0.025</v>
      </c>
      <c r="AG214" s="84">
        <v>0.46</v>
      </c>
      <c r="AH214" s="72">
        <v>0.085</v>
      </c>
      <c r="AI214" s="72">
        <v>0.042</v>
      </c>
      <c r="AJ214" s="72">
        <v>0.064</v>
      </c>
      <c r="AK214" s="84">
        <v>0.46</v>
      </c>
      <c r="AL214" s="73">
        <v>0.041</v>
      </c>
      <c r="AM214" s="73">
        <v>0.021</v>
      </c>
      <c r="AN214" s="73">
        <v>0.031</v>
      </c>
      <c r="AP214" s="85">
        <v>0.46</v>
      </c>
      <c r="AQ214" s="75">
        <v>0.09</v>
      </c>
      <c r="AR214" s="75">
        <v>0.045</v>
      </c>
      <c r="AS214" s="75">
        <v>0.068</v>
      </c>
      <c r="AT214" s="85">
        <v>0.46</v>
      </c>
      <c r="AU214" s="76">
        <v>0.049</v>
      </c>
      <c r="AV214" s="76">
        <v>0.025</v>
      </c>
      <c r="AW214" s="76">
        <v>0.037</v>
      </c>
      <c r="AY214" s="86">
        <v>0.46</v>
      </c>
      <c r="AZ214" s="78">
        <v>0.098</v>
      </c>
      <c r="BA214" s="78">
        <v>0.049</v>
      </c>
      <c r="BB214" s="78">
        <v>0.074</v>
      </c>
      <c r="BC214" s="86">
        <v>0.46</v>
      </c>
      <c r="BD214" s="79">
        <v>0.058</v>
      </c>
      <c r="BE214" s="79">
        <v>0.029</v>
      </c>
      <c r="BF214" s="79">
        <v>0.044</v>
      </c>
      <c r="BH214" s="87">
        <v>0.46</v>
      </c>
      <c r="BI214" s="81">
        <v>0</v>
      </c>
      <c r="BJ214" s="81">
        <v>0.055</v>
      </c>
      <c r="BK214" s="81">
        <v>0.083</v>
      </c>
      <c r="BL214" s="87">
        <v>0.46</v>
      </c>
      <c r="BM214" s="82">
        <v>0</v>
      </c>
      <c r="BN214" s="82">
        <v>0.033</v>
      </c>
      <c r="BO214" s="82">
        <v>0.05</v>
      </c>
    </row>
    <row r="215" spans="24:67" s="6" customFormat="1" ht="11.25" customHeight="1">
      <c r="X215" s="83">
        <v>0.47</v>
      </c>
      <c r="Y215" s="69">
        <v>0.083</v>
      </c>
      <c r="Z215" s="69">
        <v>0</v>
      </c>
      <c r="AA215" s="69">
        <v>0.062</v>
      </c>
      <c r="AB215" s="83">
        <v>0.47</v>
      </c>
      <c r="AC215" s="70">
        <v>0.033</v>
      </c>
      <c r="AD215" s="70">
        <v>0</v>
      </c>
      <c r="AE215" s="70">
        <v>0.025</v>
      </c>
      <c r="AG215" s="84">
        <v>0.47</v>
      </c>
      <c r="AH215" s="72">
        <v>0.085</v>
      </c>
      <c r="AI215" s="72">
        <v>0.042</v>
      </c>
      <c r="AJ215" s="72">
        <v>0.064</v>
      </c>
      <c r="AK215" s="84">
        <v>0.47</v>
      </c>
      <c r="AL215" s="73">
        <v>0.041</v>
      </c>
      <c r="AM215" s="73">
        <v>0.021</v>
      </c>
      <c r="AN215" s="73">
        <v>0.031</v>
      </c>
      <c r="AP215" s="85">
        <v>0.47</v>
      </c>
      <c r="AQ215" s="75">
        <v>0.09</v>
      </c>
      <c r="AR215" s="75">
        <v>0.045</v>
      </c>
      <c r="AS215" s="75">
        <v>0.068</v>
      </c>
      <c r="AT215" s="85">
        <v>0.47</v>
      </c>
      <c r="AU215" s="76">
        <v>0.049</v>
      </c>
      <c r="AV215" s="76">
        <v>0.025</v>
      </c>
      <c r="AW215" s="76">
        <v>0.037</v>
      </c>
      <c r="AY215" s="86">
        <v>0.47</v>
      </c>
      <c r="AZ215" s="78">
        <v>0.098</v>
      </c>
      <c r="BA215" s="78">
        <v>0.049</v>
      </c>
      <c r="BB215" s="78">
        <v>0.074</v>
      </c>
      <c r="BC215" s="86">
        <v>0.47</v>
      </c>
      <c r="BD215" s="79">
        <v>0.058</v>
      </c>
      <c r="BE215" s="79">
        <v>0.029</v>
      </c>
      <c r="BF215" s="79">
        <v>0.044</v>
      </c>
      <c r="BH215" s="87">
        <v>0.47</v>
      </c>
      <c r="BI215" s="81">
        <v>0</v>
      </c>
      <c r="BJ215" s="81">
        <v>0.055</v>
      </c>
      <c r="BK215" s="81">
        <v>0.083</v>
      </c>
      <c r="BL215" s="87">
        <v>0.47</v>
      </c>
      <c r="BM215" s="82">
        <v>0</v>
      </c>
      <c r="BN215" s="82">
        <v>0.033</v>
      </c>
      <c r="BO215" s="82">
        <v>0.05</v>
      </c>
    </row>
    <row r="216" spans="24:67" s="6" customFormat="1" ht="11.25" customHeight="1">
      <c r="X216" s="83">
        <v>0.48</v>
      </c>
      <c r="Y216" s="69">
        <v>0.083</v>
      </c>
      <c r="Z216" s="69">
        <v>0</v>
      </c>
      <c r="AA216" s="69">
        <v>0.062</v>
      </c>
      <c r="AB216" s="83">
        <v>0.48</v>
      </c>
      <c r="AC216" s="70">
        <v>0.033</v>
      </c>
      <c r="AD216" s="70">
        <v>0</v>
      </c>
      <c r="AE216" s="70">
        <v>0.025</v>
      </c>
      <c r="AG216" s="84">
        <v>0.48</v>
      </c>
      <c r="AH216" s="72">
        <v>0.085</v>
      </c>
      <c r="AI216" s="72">
        <v>0.042</v>
      </c>
      <c r="AJ216" s="72">
        <v>0.064</v>
      </c>
      <c r="AK216" s="84">
        <v>0.48</v>
      </c>
      <c r="AL216" s="73">
        <v>0.041</v>
      </c>
      <c r="AM216" s="73">
        <v>0.021</v>
      </c>
      <c r="AN216" s="73">
        <v>0.031</v>
      </c>
      <c r="AP216" s="85">
        <v>0.48</v>
      </c>
      <c r="AQ216" s="75">
        <v>0.09</v>
      </c>
      <c r="AR216" s="75">
        <v>0.045</v>
      </c>
      <c r="AS216" s="75">
        <v>0.068</v>
      </c>
      <c r="AT216" s="85">
        <v>0.48</v>
      </c>
      <c r="AU216" s="76">
        <v>0.049</v>
      </c>
      <c r="AV216" s="76">
        <v>0.025</v>
      </c>
      <c r="AW216" s="76">
        <v>0.037</v>
      </c>
      <c r="AY216" s="86">
        <v>0.48</v>
      </c>
      <c r="AZ216" s="78">
        <v>0.098</v>
      </c>
      <c r="BA216" s="78">
        <v>0.049</v>
      </c>
      <c r="BB216" s="78">
        <v>0.074</v>
      </c>
      <c r="BC216" s="86">
        <v>0.48</v>
      </c>
      <c r="BD216" s="79">
        <v>0.058</v>
      </c>
      <c r="BE216" s="79">
        <v>0.029</v>
      </c>
      <c r="BF216" s="79">
        <v>0.044</v>
      </c>
      <c r="BH216" s="87">
        <v>0.48</v>
      </c>
      <c r="BI216" s="81">
        <v>0</v>
      </c>
      <c r="BJ216" s="81">
        <v>0.055</v>
      </c>
      <c r="BK216" s="81">
        <v>0.083</v>
      </c>
      <c r="BL216" s="87">
        <v>0.48</v>
      </c>
      <c r="BM216" s="82">
        <v>0</v>
      </c>
      <c r="BN216" s="82">
        <v>0.033</v>
      </c>
      <c r="BO216" s="82">
        <v>0.05</v>
      </c>
    </row>
    <row r="217" spans="24:67" s="6" customFormat="1" ht="11.25" customHeight="1">
      <c r="X217" s="83">
        <v>0.49</v>
      </c>
      <c r="Y217" s="69">
        <v>0.083</v>
      </c>
      <c r="Z217" s="69">
        <v>0</v>
      </c>
      <c r="AA217" s="69">
        <v>0.062</v>
      </c>
      <c r="AB217" s="83">
        <v>0.49</v>
      </c>
      <c r="AC217" s="70">
        <v>0.033</v>
      </c>
      <c r="AD217" s="70">
        <v>0</v>
      </c>
      <c r="AE217" s="70">
        <v>0.025</v>
      </c>
      <c r="AG217" s="84">
        <v>0.49</v>
      </c>
      <c r="AH217" s="72">
        <v>0.085</v>
      </c>
      <c r="AI217" s="72">
        <v>0.042</v>
      </c>
      <c r="AJ217" s="72">
        <v>0.064</v>
      </c>
      <c r="AK217" s="84">
        <v>0.49</v>
      </c>
      <c r="AL217" s="73">
        <v>0.041</v>
      </c>
      <c r="AM217" s="73">
        <v>0.021</v>
      </c>
      <c r="AN217" s="73">
        <v>0.031</v>
      </c>
      <c r="AP217" s="85">
        <v>0.49</v>
      </c>
      <c r="AQ217" s="75">
        <v>0.09</v>
      </c>
      <c r="AR217" s="75">
        <v>0.045</v>
      </c>
      <c r="AS217" s="75">
        <v>0.068</v>
      </c>
      <c r="AT217" s="85">
        <v>0.49</v>
      </c>
      <c r="AU217" s="76">
        <v>0.049</v>
      </c>
      <c r="AV217" s="76">
        <v>0.025</v>
      </c>
      <c r="AW217" s="76">
        <v>0.037</v>
      </c>
      <c r="AY217" s="86">
        <v>0.49</v>
      </c>
      <c r="AZ217" s="78">
        <v>0.098</v>
      </c>
      <c r="BA217" s="78">
        <v>0.049</v>
      </c>
      <c r="BB217" s="78">
        <v>0.074</v>
      </c>
      <c r="BC217" s="86">
        <v>0.49</v>
      </c>
      <c r="BD217" s="79">
        <v>0.058</v>
      </c>
      <c r="BE217" s="79">
        <v>0.029</v>
      </c>
      <c r="BF217" s="79">
        <v>0.044</v>
      </c>
      <c r="BH217" s="87">
        <v>0.49</v>
      </c>
      <c r="BI217" s="81">
        <v>0</v>
      </c>
      <c r="BJ217" s="81">
        <v>0.055</v>
      </c>
      <c r="BK217" s="81">
        <v>0.083</v>
      </c>
      <c r="BL217" s="87">
        <v>0.49</v>
      </c>
      <c r="BM217" s="82">
        <v>0</v>
      </c>
      <c r="BN217" s="82">
        <v>0.033</v>
      </c>
      <c r="BO217" s="82">
        <v>0.05</v>
      </c>
    </row>
    <row r="218" spans="24:67" s="6" customFormat="1" ht="11.25" customHeight="1">
      <c r="X218" s="88">
        <v>0.5</v>
      </c>
      <c r="Y218" s="89">
        <v>0.083</v>
      </c>
      <c r="Z218" s="89">
        <v>0</v>
      </c>
      <c r="AA218" s="89">
        <v>0.062</v>
      </c>
      <c r="AB218" s="83">
        <v>0.5</v>
      </c>
      <c r="AC218" s="70">
        <v>0.033</v>
      </c>
      <c r="AD218" s="70">
        <v>0</v>
      </c>
      <c r="AE218" s="70">
        <v>0.025</v>
      </c>
      <c r="AG218" s="90">
        <v>0.5</v>
      </c>
      <c r="AH218" s="91">
        <v>0.085</v>
      </c>
      <c r="AI218" s="91">
        <v>0.042</v>
      </c>
      <c r="AJ218" s="91">
        <v>0.064</v>
      </c>
      <c r="AK218" s="84">
        <v>0.5</v>
      </c>
      <c r="AL218" s="73">
        <v>0.041</v>
      </c>
      <c r="AM218" s="73">
        <v>0.021</v>
      </c>
      <c r="AN218" s="73">
        <v>0.031</v>
      </c>
      <c r="AP218" s="92">
        <v>0.5</v>
      </c>
      <c r="AQ218" s="93">
        <v>0.09</v>
      </c>
      <c r="AR218" s="93">
        <v>0.045</v>
      </c>
      <c r="AS218" s="93">
        <v>0.068</v>
      </c>
      <c r="AT218" s="85">
        <v>0.5</v>
      </c>
      <c r="AU218" s="76">
        <v>0.049</v>
      </c>
      <c r="AV218" s="76">
        <v>0.025</v>
      </c>
      <c r="AW218" s="76">
        <v>0.037</v>
      </c>
      <c r="AY218" s="94">
        <v>0.5</v>
      </c>
      <c r="AZ218" s="95">
        <v>0.098</v>
      </c>
      <c r="BA218" s="95">
        <v>0.049</v>
      </c>
      <c r="BB218" s="95">
        <v>0.074</v>
      </c>
      <c r="BC218" s="94">
        <v>0.5</v>
      </c>
      <c r="BD218" s="79">
        <v>0.058</v>
      </c>
      <c r="BE218" s="79">
        <v>0.029</v>
      </c>
      <c r="BF218" s="79">
        <v>0.044</v>
      </c>
      <c r="BH218" s="96">
        <v>0.5</v>
      </c>
      <c r="BI218" s="97">
        <v>0</v>
      </c>
      <c r="BJ218" s="97">
        <v>0.055</v>
      </c>
      <c r="BK218" s="97">
        <v>0.083</v>
      </c>
      <c r="BL218" s="96">
        <v>0.5</v>
      </c>
      <c r="BM218" s="82">
        <v>0</v>
      </c>
      <c r="BN218" s="82">
        <v>0.033</v>
      </c>
      <c r="BO218" s="82">
        <v>0.05</v>
      </c>
    </row>
    <row r="219" spans="24:67" s="6" customFormat="1" ht="11.25" customHeight="1">
      <c r="X219" s="83">
        <v>0.51</v>
      </c>
      <c r="Y219" s="69">
        <f>0.083-((0.083-0.063)/0.1)*(X219-$X$218)</f>
        <v>0.081</v>
      </c>
      <c r="Z219" s="69">
        <v>0</v>
      </c>
      <c r="AA219" s="69">
        <f>0.062-((0.062-0.047)/0.1)*(X219-$X$218)</f>
        <v>0.0605</v>
      </c>
      <c r="AB219" s="83">
        <v>0.51</v>
      </c>
      <c r="AC219" s="70">
        <v>0.033</v>
      </c>
      <c r="AD219" s="70">
        <v>0</v>
      </c>
      <c r="AE219" s="70">
        <v>0.025</v>
      </c>
      <c r="AG219" s="84">
        <v>0.51</v>
      </c>
      <c r="AH219" s="72">
        <f>$AH$218-(($AH$218-$AH$228)/0.1)*(AG219-$AG$218)</f>
        <v>0.0834</v>
      </c>
      <c r="AI219" s="72">
        <f>$AI$218-(($AI$218-$AI$228)/0.1)*(AG219-$AG$218)</f>
        <v>0.0413</v>
      </c>
      <c r="AJ219" s="72">
        <f>$AJ$218-(($AJ$218-$AJ$228)/0.1)*(AG219-$AG$218)</f>
        <v>0.0628</v>
      </c>
      <c r="AK219" s="84">
        <v>0.51</v>
      </c>
      <c r="AL219" s="73">
        <v>0.041</v>
      </c>
      <c r="AM219" s="73">
        <v>0.021</v>
      </c>
      <c r="AN219" s="73">
        <v>0.031</v>
      </c>
      <c r="AP219" s="85">
        <v>0.51</v>
      </c>
      <c r="AQ219" s="75">
        <f aca="true" t="shared" si="0" ref="AQ219:AQ227">$AQ$218-(($AQ$218-$AQ$228)/0.1)*(AP219-$AP$218)</f>
        <v>0.08879999999999999</v>
      </c>
      <c r="AR219" s="75">
        <f>$AR$218-(($AR$218-$AR$228)/0.1)*(AP219-$AP$218)</f>
        <v>0.044399999999999995</v>
      </c>
      <c r="AS219" s="75">
        <f>$AS$218-(($AS$218-$AS$228)/0.1)*(AP219-$AP$218)</f>
        <v>0.0671</v>
      </c>
      <c r="AT219" s="85">
        <v>0.51</v>
      </c>
      <c r="AU219" s="76">
        <v>0.049</v>
      </c>
      <c r="AV219" s="76">
        <v>0.025</v>
      </c>
      <c r="AW219" s="76">
        <v>0.037</v>
      </c>
      <c r="AY219" s="86">
        <v>0.51</v>
      </c>
      <c r="AZ219" s="78">
        <f>$AZ$218-(($AZ$218-$AZ$228)/0.1)*(AY219-$AY$218)</f>
        <v>0.09720000000000001</v>
      </c>
      <c r="BA219" s="78">
        <f>$BA$218-(($BA$218-$BA$228)/0.1)*(AY219-$AY$218)</f>
        <v>0.048600000000000004</v>
      </c>
      <c r="BB219" s="78">
        <f>$BB$218-(($BB$218-$BB$228)/0.1)*(AY219-$AY$218)</f>
        <v>0.07339999999999999</v>
      </c>
      <c r="BC219" s="86">
        <v>0.51</v>
      </c>
      <c r="BD219" s="79">
        <v>0.058</v>
      </c>
      <c r="BE219" s="79">
        <v>0.029</v>
      </c>
      <c r="BF219" s="79">
        <v>0.044</v>
      </c>
      <c r="BH219" s="87">
        <v>0.51</v>
      </c>
      <c r="BI219" s="81">
        <v>0</v>
      </c>
      <c r="BJ219" s="81">
        <f>$BJ$218-(($BJ$218-$BJ$228)/0.1)*(BH219-$BH$218)</f>
        <v>0.0548</v>
      </c>
      <c r="BK219" s="81">
        <f>$BK$218-(($BK$218-$BK$228)/0.1)*(BH219-$BH$218)</f>
        <v>0.08270000000000001</v>
      </c>
      <c r="BL219" s="87">
        <v>0.51</v>
      </c>
      <c r="BM219" s="82">
        <v>0</v>
      </c>
      <c r="BN219" s="82">
        <v>0.033</v>
      </c>
      <c r="BO219" s="82">
        <v>0.05</v>
      </c>
    </row>
    <row r="220" spans="24:67" s="6" customFormat="1" ht="11.25" customHeight="1">
      <c r="X220" s="83">
        <v>0.52</v>
      </c>
      <c r="Y220" s="69">
        <f aca="true" t="shared" si="1" ref="Y220:Y227">0.083-((0.083-0.063)/0.1)*(X220-$X$218)</f>
        <v>0.079</v>
      </c>
      <c r="Z220" s="69">
        <v>0</v>
      </c>
      <c r="AA220" s="69">
        <f aca="true" t="shared" si="2" ref="AA220:AA227">0.062-((0.062-0.047)/0.1)*(X220-$X$218)</f>
        <v>0.059</v>
      </c>
      <c r="AB220" s="83">
        <v>0.52</v>
      </c>
      <c r="AC220" s="70">
        <v>0.033</v>
      </c>
      <c r="AD220" s="70">
        <v>0</v>
      </c>
      <c r="AE220" s="70">
        <v>0.025</v>
      </c>
      <c r="AG220" s="84">
        <v>0.52</v>
      </c>
      <c r="AH220" s="72">
        <f aca="true" t="shared" si="3" ref="AH220:AH227">$AH$218-(($AH$218-$AH$228)/0.1)*(AG220-$AG$218)</f>
        <v>0.0818</v>
      </c>
      <c r="AI220" s="72">
        <f aca="true" t="shared" si="4" ref="AI220:AI227">$AI$218-(($AI$218-$AI$228)/0.1)*(AG220-$AG$218)</f>
        <v>0.040600000000000004</v>
      </c>
      <c r="AJ220" s="72">
        <f aca="true" t="shared" si="5" ref="AJ220:AJ227">$AJ$218-(($AJ$218-$AJ$228)/0.1)*(AG220-$AG$218)</f>
        <v>0.0616</v>
      </c>
      <c r="AK220" s="84">
        <v>0.52</v>
      </c>
      <c r="AL220" s="73">
        <v>0.041</v>
      </c>
      <c r="AM220" s="73">
        <v>0.021</v>
      </c>
      <c r="AN220" s="73">
        <v>0.031</v>
      </c>
      <c r="AP220" s="85">
        <v>0.52</v>
      </c>
      <c r="AQ220" s="75">
        <f t="shared" si="0"/>
        <v>0.0876</v>
      </c>
      <c r="AR220" s="75">
        <f aca="true" t="shared" si="6" ref="AR220:AR227">$AR$218-(($AR$218-$AR$228)/0.1)*(AP220-$AP$218)</f>
        <v>0.0438</v>
      </c>
      <c r="AS220" s="75">
        <f aca="true" t="shared" si="7" ref="AS220:AS227">$AS$218-(($AS$218-$AS$228)/0.1)*(AP220-$AP$218)</f>
        <v>0.0662</v>
      </c>
      <c r="AT220" s="85">
        <v>0.52</v>
      </c>
      <c r="AU220" s="76">
        <v>0.049</v>
      </c>
      <c r="AV220" s="76">
        <v>0.025</v>
      </c>
      <c r="AW220" s="76">
        <v>0.037</v>
      </c>
      <c r="AY220" s="86">
        <v>0.52</v>
      </c>
      <c r="AZ220" s="78">
        <f aca="true" t="shared" si="8" ref="AZ220:AZ227">$AZ$218-(($AZ$218-$AZ$228)/0.1)*(AY220-$AY$218)</f>
        <v>0.0964</v>
      </c>
      <c r="BA220" s="78">
        <f aca="true" t="shared" si="9" ref="BA220:BA227">$BA$218-(($BA$218-$BA$228)/0.1)*(AY220-$AY$218)</f>
        <v>0.0482</v>
      </c>
      <c r="BB220" s="78">
        <f aca="true" t="shared" si="10" ref="BB220:BB227">$BB$218-(($BB$218-$BB$228)/0.1)*(AY220-$AY$218)</f>
        <v>0.0728</v>
      </c>
      <c r="BC220" s="86">
        <v>0.52</v>
      </c>
      <c r="BD220" s="79">
        <v>0.058</v>
      </c>
      <c r="BE220" s="79">
        <v>0.029</v>
      </c>
      <c r="BF220" s="79">
        <v>0.044</v>
      </c>
      <c r="BH220" s="87">
        <v>0.52</v>
      </c>
      <c r="BI220" s="81">
        <v>0</v>
      </c>
      <c r="BJ220" s="81">
        <f aca="true" t="shared" si="11" ref="BJ220:BJ227">$BJ$218-(($BJ$218-$BJ$228)/0.1)*(BH220-$BH$218)</f>
        <v>0.0546</v>
      </c>
      <c r="BK220" s="81">
        <f aca="true" t="shared" si="12" ref="BK220:BK227">$BK$218-(($BK$218-$BK$228)/0.1)*(BH220-$BH$218)</f>
        <v>0.0824</v>
      </c>
      <c r="BL220" s="87">
        <v>0.52</v>
      </c>
      <c r="BM220" s="82">
        <v>0</v>
      </c>
      <c r="BN220" s="82">
        <v>0.033</v>
      </c>
      <c r="BO220" s="82">
        <v>0.05</v>
      </c>
    </row>
    <row r="221" spans="24:67" s="6" customFormat="1" ht="11.25" customHeight="1">
      <c r="X221" s="83">
        <v>0.53</v>
      </c>
      <c r="Y221" s="69">
        <f t="shared" si="1"/>
        <v>0.077</v>
      </c>
      <c r="Z221" s="69">
        <v>0</v>
      </c>
      <c r="AA221" s="69">
        <f t="shared" si="2"/>
        <v>0.057499999999999996</v>
      </c>
      <c r="AB221" s="83">
        <v>0.53</v>
      </c>
      <c r="AC221" s="70">
        <v>0.033</v>
      </c>
      <c r="AD221" s="70">
        <v>0</v>
      </c>
      <c r="AE221" s="70">
        <v>0.025</v>
      </c>
      <c r="AG221" s="84">
        <v>0.53</v>
      </c>
      <c r="AH221" s="72">
        <f t="shared" si="3"/>
        <v>0.08020000000000001</v>
      </c>
      <c r="AI221" s="72">
        <f t="shared" si="4"/>
        <v>0.0399</v>
      </c>
      <c r="AJ221" s="72">
        <f t="shared" si="5"/>
        <v>0.060399999999999995</v>
      </c>
      <c r="AK221" s="84">
        <v>0.53</v>
      </c>
      <c r="AL221" s="73">
        <v>0.041</v>
      </c>
      <c r="AM221" s="73">
        <v>0.021</v>
      </c>
      <c r="AN221" s="73">
        <v>0.031</v>
      </c>
      <c r="AP221" s="85">
        <v>0.53</v>
      </c>
      <c r="AQ221" s="75">
        <f t="shared" si="0"/>
        <v>0.08639999999999999</v>
      </c>
      <c r="AR221" s="75">
        <f t="shared" si="6"/>
        <v>0.043199999999999995</v>
      </c>
      <c r="AS221" s="75">
        <f t="shared" si="7"/>
        <v>0.0653</v>
      </c>
      <c r="AT221" s="85">
        <v>0.53</v>
      </c>
      <c r="AU221" s="76">
        <v>0.049</v>
      </c>
      <c r="AV221" s="76">
        <v>0.025</v>
      </c>
      <c r="AW221" s="76">
        <v>0.037</v>
      </c>
      <c r="AY221" s="86">
        <v>0.53</v>
      </c>
      <c r="AZ221" s="78">
        <f t="shared" si="8"/>
        <v>0.0956</v>
      </c>
      <c r="BA221" s="78">
        <f t="shared" si="9"/>
        <v>0.0478</v>
      </c>
      <c r="BB221" s="78">
        <f t="shared" si="10"/>
        <v>0.0722</v>
      </c>
      <c r="BC221" s="86">
        <v>0.53</v>
      </c>
      <c r="BD221" s="79">
        <v>0.058</v>
      </c>
      <c r="BE221" s="79">
        <v>0.029</v>
      </c>
      <c r="BF221" s="79">
        <v>0.044</v>
      </c>
      <c r="BH221" s="87">
        <v>0.53</v>
      </c>
      <c r="BI221" s="81">
        <v>0</v>
      </c>
      <c r="BJ221" s="81">
        <f t="shared" si="11"/>
        <v>0.0544</v>
      </c>
      <c r="BK221" s="81">
        <f t="shared" si="12"/>
        <v>0.0821</v>
      </c>
      <c r="BL221" s="87">
        <v>0.53</v>
      </c>
      <c r="BM221" s="82">
        <v>0</v>
      </c>
      <c r="BN221" s="82">
        <v>0.033</v>
      </c>
      <c r="BO221" s="82">
        <v>0.05</v>
      </c>
    </row>
    <row r="222" spans="24:67" s="6" customFormat="1" ht="11.25" customHeight="1">
      <c r="X222" s="83">
        <v>0.54</v>
      </c>
      <c r="Y222" s="69">
        <f t="shared" si="1"/>
        <v>0.075</v>
      </c>
      <c r="Z222" s="69">
        <v>0</v>
      </c>
      <c r="AA222" s="69">
        <f t="shared" si="2"/>
        <v>0.055999999999999994</v>
      </c>
      <c r="AB222" s="83">
        <v>0.54</v>
      </c>
      <c r="AC222" s="70">
        <v>0.033</v>
      </c>
      <c r="AD222" s="70">
        <v>0</v>
      </c>
      <c r="AE222" s="70">
        <v>0.025</v>
      </c>
      <c r="AG222" s="84">
        <v>0.54</v>
      </c>
      <c r="AH222" s="72">
        <f t="shared" si="3"/>
        <v>0.0786</v>
      </c>
      <c r="AI222" s="72">
        <f t="shared" si="4"/>
        <v>0.0392</v>
      </c>
      <c r="AJ222" s="72">
        <f t="shared" si="5"/>
        <v>0.059199999999999996</v>
      </c>
      <c r="AK222" s="84">
        <v>0.54</v>
      </c>
      <c r="AL222" s="73">
        <v>0.041</v>
      </c>
      <c r="AM222" s="73">
        <v>0.021</v>
      </c>
      <c r="AN222" s="73">
        <v>0.031</v>
      </c>
      <c r="AP222" s="85">
        <v>0.54</v>
      </c>
      <c r="AQ222" s="75">
        <f t="shared" si="0"/>
        <v>0.0852</v>
      </c>
      <c r="AR222" s="75">
        <f t="shared" si="6"/>
        <v>0.0426</v>
      </c>
      <c r="AS222" s="75">
        <f t="shared" si="7"/>
        <v>0.0644</v>
      </c>
      <c r="AT222" s="85">
        <v>0.54</v>
      </c>
      <c r="AU222" s="76">
        <v>0.049</v>
      </c>
      <c r="AV222" s="76">
        <v>0.025</v>
      </c>
      <c r="AW222" s="76">
        <v>0.037</v>
      </c>
      <c r="AY222" s="86">
        <v>0.54</v>
      </c>
      <c r="AZ222" s="78">
        <f t="shared" si="8"/>
        <v>0.0948</v>
      </c>
      <c r="BA222" s="78">
        <f t="shared" si="9"/>
        <v>0.0474</v>
      </c>
      <c r="BB222" s="78">
        <f t="shared" si="10"/>
        <v>0.0716</v>
      </c>
      <c r="BC222" s="86">
        <v>0.54</v>
      </c>
      <c r="BD222" s="79">
        <v>0.058</v>
      </c>
      <c r="BE222" s="79">
        <v>0.029</v>
      </c>
      <c r="BF222" s="79">
        <v>0.044</v>
      </c>
      <c r="BH222" s="87">
        <v>0.54</v>
      </c>
      <c r="BI222" s="81">
        <v>0</v>
      </c>
      <c r="BJ222" s="81">
        <f t="shared" si="11"/>
        <v>0.0542</v>
      </c>
      <c r="BK222" s="81">
        <f t="shared" si="12"/>
        <v>0.0818</v>
      </c>
      <c r="BL222" s="87">
        <v>0.54</v>
      </c>
      <c r="BM222" s="82">
        <v>0</v>
      </c>
      <c r="BN222" s="82">
        <v>0.033</v>
      </c>
      <c r="BO222" s="82">
        <v>0.05</v>
      </c>
    </row>
    <row r="223" spans="24:67" s="6" customFormat="1" ht="11.25" customHeight="1">
      <c r="X223" s="83">
        <v>0.55</v>
      </c>
      <c r="Y223" s="69">
        <f t="shared" si="1"/>
        <v>0.073</v>
      </c>
      <c r="Z223" s="69">
        <v>0</v>
      </c>
      <c r="AA223" s="69">
        <f t="shared" si="2"/>
        <v>0.05449999999999999</v>
      </c>
      <c r="AB223" s="83">
        <v>0.55</v>
      </c>
      <c r="AC223" s="70">
        <v>0.033</v>
      </c>
      <c r="AD223" s="70">
        <v>0</v>
      </c>
      <c r="AE223" s="70">
        <v>0.025</v>
      </c>
      <c r="AG223" s="84">
        <v>0.55</v>
      </c>
      <c r="AH223" s="72">
        <f t="shared" si="3"/>
        <v>0.077</v>
      </c>
      <c r="AI223" s="72">
        <f t="shared" si="4"/>
        <v>0.0385</v>
      </c>
      <c r="AJ223" s="72">
        <f t="shared" si="5"/>
        <v>0.057999999999999996</v>
      </c>
      <c r="AK223" s="84">
        <v>0.55</v>
      </c>
      <c r="AL223" s="73">
        <v>0.041</v>
      </c>
      <c r="AM223" s="73">
        <v>0.021</v>
      </c>
      <c r="AN223" s="73">
        <v>0.031</v>
      </c>
      <c r="AP223" s="85">
        <v>0.55</v>
      </c>
      <c r="AQ223" s="75">
        <f t="shared" si="0"/>
        <v>0.08399999999999999</v>
      </c>
      <c r="AR223" s="75">
        <f t="shared" si="6"/>
        <v>0.041999999999999996</v>
      </c>
      <c r="AS223" s="75">
        <f t="shared" si="7"/>
        <v>0.0635</v>
      </c>
      <c r="AT223" s="85">
        <v>0.55</v>
      </c>
      <c r="AU223" s="76">
        <v>0.049</v>
      </c>
      <c r="AV223" s="76">
        <v>0.025</v>
      </c>
      <c r="AW223" s="76">
        <v>0.037</v>
      </c>
      <c r="AY223" s="86">
        <v>0.55</v>
      </c>
      <c r="AZ223" s="78">
        <f t="shared" si="8"/>
        <v>0.094</v>
      </c>
      <c r="BA223" s="78">
        <f t="shared" si="9"/>
        <v>0.047</v>
      </c>
      <c r="BB223" s="78">
        <f t="shared" si="10"/>
        <v>0.071</v>
      </c>
      <c r="BC223" s="86">
        <v>0.55</v>
      </c>
      <c r="BD223" s="79">
        <v>0.058</v>
      </c>
      <c r="BE223" s="79">
        <v>0.029</v>
      </c>
      <c r="BF223" s="79">
        <v>0.044</v>
      </c>
      <c r="BH223" s="87">
        <v>0.55</v>
      </c>
      <c r="BI223" s="81">
        <v>0</v>
      </c>
      <c r="BJ223" s="81">
        <f t="shared" si="11"/>
        <v>0.054</v>
      </c>
      <c r="BK223" s="81">
        <f t="shared" si="12"/>
        <v>0.0815</v>
      </c>
      <c r="BL223" s="87">
        <v>0.55</v>
      </c>
      <c r="BM223" s="82">
        <v>0</v>
      </c>
      <c r="BN223" s="82">
        <v>0.033</v>
      </c>
      <c r="BO223" s="82">
        <v>0.05</v>
      </c>
    </row>
    <row r="224" spans="24:67" s="6" customFormat="1" ht="11.25" customHeight="1">
      <c r="X224" s="83">
        <v>0.56</v>
      </c>
      <c r="Y224" s="69">
        <f t="shared" si="1"/>
        <v>0.071</v>
      </c>
      <c r="Z224" s="69">
        <v>0</v>
      </c>
      <c r="AA224" s="69">
        <f t="shared" si="2"/>
        <v>0.05299999999999999</v>
      </c>
      <c r="AB224" s="83">
        <v>0.56</v>
      </c>
      <c r="AC224" s="70">
        <v>0.033</v>
      </c>
      <c r="AD224" s="70">
        <v>0</v>
      </c>
      <c r="AE224" s="70">
        <v>0.025</v>
      </c>
      <c r="AG224" s="84">
        <v>0.56</v>
      </c>
      <c r="AH224" s="72">
        <f t="shared" si="3"/>
        <v>0.0754</v>
      </c>
      <c r="AI224" s="72">
        <f t="shared" si="4"/>
        <v>0.0378</v>
      </c>
      <c r="AJ224" s="72">
        <f t="shared" si="5"/>
        <v>0.05679999999999999</v>
      </c>
      <c r="AK224" s="84">
        <v>0.56</v>
      </c>
      <c r="AL224" s="73">
        <v>0.041</v>
      </c>
      <c r="AM224" s="73">
        <v>0.021</v>
      </c>
      <c r="AN224" s="73">
        <v>0.031</v>
      </c>
      <c r="AP224" s="85">
        <v>0.56</v>
      </c>
      <c r="AQ224" s="75">
        <f t="shared" si="0"/>
        <v>0.0828</v>
      </c>
      <c r="AR224" s="75">
        <f t="shared" si="6"/>
        <v>0.0414</v>
      </c>
      <c r="AS224" s="75">
        <f t="shared" si="7"/>
        <v>0.06259999999999999</v>
      </c>
      <c r="AT224" s="85">
        <v>0.56</v>
      </c>
      <c r="AU224" s="76">
        <v>0.049</v>
      </c>
      <c r="AV224" s="76">
        <v>0.025</v>
      </c>
      <c r="AW224" s="76">
        <v>0.037</v>
      </c>
      <c r="AY224" s="86">
        <v>0.56</v>
      </c>
      <c r="AZ224" s="78">
        <f t="shared" si="8"/>
        <v>0.09319999999999999</v>
      </c>
      <c r="BA224" s="78">
        <f t="shared" si="9"/>
        <v>0.046599999999999996</v>
      </c>
      <c r="BB224" s="78">
        <f t="shared" si="10"/>
        <v>0.0704</v>
      </c>
      <c r="BC224" s="86">
        <v>0.56</v>
      </c>
      <c r="BD224" s="79">
        <v>0.058</v>
      </c>
      <c r="BE224" s="79">
        <v>0.029</v>
      </c>
      <c r="BF224" s="79">
        <v>0.044</v>
      </c>
      <c r="BH224" s="87">
        <v>0.56</v>
      </c>
      <c r="BI224" s="81">
        <v>0</v>
      </c>
      <c r="BJ224" s="81">
        <f t="shared" si="11"/>
        <v>0.0538</v>
      </c>
      <c r="BK224" s="81">
        <f t="shared" si="12"/>
        <v>0.0812</v>
      </c>
      <c r="BL224" s="87">
        <v>0.56</v>
      </c>
      <c r="BM224" s="82">
        <v>0</v>
      </c>
      <c r="BN224" s="82">
        <v>0.033</v>
      </c>
      <c r="BO224" s="82">
        <v>0.05</v>
      </c>
    </row>
    <row r="225" spans="24:67" s="6" customFormat="1" ht="11.25" customHeight="1">
      <c r="X225" s="83">
        <v>0.57</v>
      </c>
      <c r="Y225" s="69">
        <f t="shared" si="1"/>
        <v>0.069</v>
      </c>
      <c r="Z225" s="69">
        <v>0</v>
      </c>
      <c r="AA225" s="69">
        <f t="shared" si="2"/>
        <v>0.051500000000000004</v>
      </c>
      <c r="AB225" s="83">
        <v>0.57</v>
      </c>
      <c r="AC225" s="70">
        <v>0.033</v>
      </c>
      <c r="AD225" s="70">
        <v>0</v>
      </c>
      <c r="AE225" s="70">
        <v>0.025</v>
      </c>
      <c r="AG225" s="84">
        <v>0.57</v>
      </c>
      <c r="AH225" s="72">
        <f t="shared" si="3"/>
        <v>0.07380000000000002</v>
      </c>
      <c r="AI225" s="72">
        <f t="shared" si="4"/>
        <v>0.03710000000000001</v>
      </c>
      <c r="AJ225" s="72">
        <f t="shared" si="5"/>
        <v>0.055600000000000004</v>
      </c>
      <c r="AK225" s="84">
        <v>0.57</v>
      </c>
      <c r="AL225" s="73">
        <v>0.041</v>
      </c>
      <c r="AM225" s="73">
        <v>0.021</v>
      </c>
      <c r="AN225" s="73">
        <v>0.031</v>
      </c>
      <c r="AP225" s="85">
        <v>0.57</v>
      </c>
      <c r="AQ225" s="75">
        <f t="shared" si="0"/>
        <v>0.0816</v>
      </c>
      <c r="AR225" s="75">
        <f t="shared" si="6"/>
        <v>0.0408</v>
      </c>
      <c r="AS225" s="75">
        <f t="shared" si="7"/>
        <v>0.061700000000000005</v>
      </c>
      <c r="AT225" s="85">
        <v>0.57</v>
      </c>
      <c r="AU225" s="76">
        <v>0.049</v>
      </c>
      <c r="AV225" s="76">
        <v>0.025</v>
      </c>
      <c r="AW225" s="76">
        <v>0.037</v>
      </c>
      <c r="AY225" s="86">
        <v>0.57</v>
      </c>
      <c r="AZ225" s="78">
        <f t="shared" si="8"/>
        <v>0.09240000000000001</v>
      </c>
      <c r="BA225" s="78">
        <f t="shared" si="9"/>
        <v>0.046200000000000005</v>
      </c>
      <c r="BB225" s="78">
        <f t="shared" si="10"/>
        <v>0.0698</v>
      </c>
      <c r="BC225" s="86">
        <v>0.57</v>
      </c>
      <c r="BD225" s="79">
        <v>0.058</v>
      </c>
      <c r="BE225" s="79">
        <v>0.029</v>
      </c>
      <c r="BF225" s="79">
        <v>0.044</v>
      </c>
      <c r="BH225" s="87">
        <v>0.57</v>
      </c>
      <c r="BI225" s="81">
        <v>0</v>
      </c>
      <c r="BJ225" s="81">
        <f t="shared" si="11"/>
        <v>0.0536</v>
      </c>
      <c r="BK225" s="81">
        <f t="shared" si="12"/>
        <v>0.0809</v>
      </c>
      <c r="BL225" s="87">
        <v>0.57</v>
      </c>
      <c r="BM225" s="82">
        <v>0</v>
      </c>
      <c r="BN225" s="82">
        <v>0.033</v>
      </c>
      <c r="BO225" s="82">
        <v>0.05</v>
      </c>
    </row>
    <row r="226" spans="24:67" s="6" customFormat="1" ht="11.25" customHeight="1">
      <c r="X226" s="83">
        <v>0.58</v>
      </c>
      <c r="Y226" s="69">
        <f t="shared" si="1"/>
        <v>0.067</v>
      </c>
      <c r="Z226" s="69">
        <v>0</v>
      </c>
      <c r="AA226" s="69">
        <f t="shared" si="2"/>
        <v>0.05</v>
      </c>
      <c r="AB226" s="83">
        <v>0.58</v>
      </c>
      <c r="AC226" s="70">
        <v>0.033</v>
      </c>
      <c r="AD226" s="70">
        <v>0</v>
      </c>
      <c r="AE226" s="70">
        <v>0.025</v>
      </c>
      <c r="AG226" s="84">
        <v>0.58</v>
      </c>
      <c r="AH226" s="72">
        <f t="shared" si="3"/>
        <v>0.07220000000000001</v>
      </c>
      <c r="AI226" s="72">
        <f t="shared" si="4"/>
        <v>0.03640000000000001</v>
      </c>
      <c r="AJ226" s="72">
        <f t="shared" si="5"/>
        <v>0.054400000000000004</v>
      </c>
      <c r="AK226" s="84">
        <v>0.58</v>
      </c>
      <c r="AL226" s="73">
        <v>0.041</v>
      </c>
      <c r="AM226" s="73">
        <v>0.021</v>
      </c>
      <c r="AN226" s="73">
        <v>0.031</v>
      </c>
      <c r="AP226" s="85">
        <v>0.58</v>
      </c>
      <c r="AQ226" s="75">
        <f t="shared" si="0"/>
        <v>0.0804</v>
      </c>
      <c r="AR226" s="75">
        <f t="shared" si="6"/>
        <v>0.0402</v>
      </c>
      <c r="AS226" s="75">
        <f t="shared" si="7"/>
        <v>0.0608</v>
      </c>
      <c r="AT226" s="85">
        <v>0.58</v>
      </c>
      <c r="AU226" s="76">
        <v>0.049</v>
      </c>
      <c r="AV226" s="76">
        <v>0.025</v>
      </c>
      <c r="AW226" s="76">
        <v>0.037</v>
      </c>
      <c r="AY226" s="86">
        <v>0.58</v>
      </c>
      <c r="AZ226" s="78">
        <f t="shared" si="8"/>
        <v>0.0916</v>
      </c>
      <c r="BA226" s="78">
        <f t="shared" si="9"/>
        <v>0.0458</v>
      </c>
      <c r="BB226" s="78">
        <f t="shared" si="10"/>
        <v>0.06920000000000001</v>
      </c>
      <c r="BC226" s="86">
        <v>0.58</v>
      </c>
      <c r="BD226" s="79">
        <v>0.058</v>
      </c>
      <c r="BE226" s="79">
        <v>0.029</v>
      </c>
      <c r="BF226" s="79">
        <v>0.044</v>
      </c>
      <c r="BH226" s="87">
        <v>0.58</v>
      </c>
      <c r="BI226" s="81">
        <v>0</v>
      </c>
      <c r="BJ226" s="81">
        <f t="shared" si="11"/>
        <v>0.0534</v>
      </c>
      <c r="BK226" s="81">
        <f t="shared" si="12"/>
        <v>0.0806</v>
      </c>
      <c r="BL226" s="87">
        <v>0.58</v>
      </c>
      <c r="BM226" s="82">
        <v>0</v>
      </c>
      <c r="BN226" s="82">
        <v>0.033</v>
      </c>
      <c r="BO226" s="82">
        <v>0.05</v>
      </c>
    </row>
    <row r="227" spans="24:67" s="6" customFormat="1" ht="11.25" customHeight="1">
      <c r="X227" s="83">
        <v>0.59</v>
      </c>
      <c r="Y227" s="69">
        <f t="shared" si="1"/>
        <v>0.065</v>
      </c>
      <c r="Z227" s="69">
        <v>0</v>
      </c>
      <c r="AA227" s="69">
        <f t="shared" si="2"/>
        <v>0.0485</v>
      </c>
      <c r="AB227" s="83">
        <v>0.59</v>
      </c>
      <c r="AC227" s="70">
        <v>0.033</v>
      </c>
      <c r="AD227" s="70">
        <v>0</v>
      </c>
      <c r="AE227" s="70">
        <v>0.025</v>
      </c>
      <c r="AG227" s="84">
        <v>0.59</v>
      </c>
      <c r="AH227" s="72">
        <f t="shared" si="3"/>
        <v>0.07060000000000001</v>
      </c>
      <c r="AI227" s="72">
        <f t="shared" si="4"/>
        <v>0.0357</v>
      </c>
      <c r="AJ227" s="72">
        <f t="shared" si="5"/>
        <v>0.053200000000000004</v>
      </c>
      <c r="AK227" s="84">
        <v>0.59</v>
      </c>
      <c r="AL227" s="73">
        <v>0.041</v>
      </c>
      <c r="AM227" s="73">
        <v>0.021</v>
      </c>
      <c r="AN227" s="73">
        <v>0.031</v>
      </c>
      <c r="AP227" s="85">
        <v>0.59</v>
      </c>
      <c r="AQ227" s="75">
        <f t="shared" si="0"/>
        <v>0.0792</v>
      </c>
      <c r="AR227" s="75">
        <f t="shared" si="6"/>
        <v>0.0396</v>
      </c>
      <c r="AS227" s="75">
        <f t="shared" si="7"/>
        <v>0.0599</v>
      </c>
      <c r="AT227" s="85">
        <v>0.59</v>
      </c>
      <c r="AU227" s="76">
        <v>0.049</v>
      </c>
      <c r="AV227" s="76">
        <v>0.025</v>
      </c>
      <c r="AW227" s="76">
        <v>0.037</v>
      </c>
      <c r="AY227" s="86">
        <v>0.59</v>
      </c>
      <c r="AZ227" s="78">
        <f t="shared" si="8"/>
        <v>0.0908</v>
      </c>
      <c r="BA227" s="78">
        <f t="shared" si="9"/>
        <v>0.0454</v>
      </c>
      <c r="BB227" s="78">
        <f t="shared" si="10"/>
        <v>0.06860000000000001</v>
      </c>
      <c r="BC227" s="86">
        <v>0.59</v>
      </c>
      <c r="BD227" s="79">
        <v>0.058</v>
      </c>
      <c r="BE227" s="79">
        <v>0.029</v>
      </c>
      <c r="BF227" s="79">
        <v>0.044</v>
      </c>
      <c r="BH227" s="87">
        <v>0.59</v>
      </c>
      <c r="BI227" s="81">
        <v>0</v>
      </c>
      <c r="BJ227" s="81">
        <f t="shared" si="11"/>
        <v>0.0532</v>
      </c>
      <c r="BK227" s="81">
        <f t="shared" si="12"/>
        <v>0.0803</v>
      </c>
      <c r="BL227" s="87">
        <v>0.59</v>
      </c>
      <c r="BM227" s="82">
        <v>0</v>
      </c>
      <c r="BN227" s="82">
        <v>0.033</v>
      </c>
      <c r="BO227" s="82">
        <v>0.05</v>
      </c>
    </row>
    <row r="228" spans="24:67" s="6" customFormat="1" ht="11.25" customHeight="1">
      <c r="X228" s="88">
        <v>0.6</v>
      </c>
      <c r="Y228" s="89">
        <v>0.063</v>
      </c>
      <c r="Z228" s="89">
        <v>0</v>
      </c>
      <c r="AA228" s="89">
        <v>0.047</v>
      </c>
      <c r="AB228" s="83">
        <v>0.6</v>
      </c>
      <c r="AC228" s="70">
        <v>0.033</v>
      </c>
      <c r="AD228" s="70">
        <v>0</v>
      </c>
      <c r="AE228" s="70">
        <v>0.025</v>
      </c>
      <c r="AG228" s="90">
        <v>0.6</v>
      </c>
      <c r="AH228" s="91">
        <v>0.069</v>
      </c>
      <c r="AI228" s="91">
        <v>0.035</v>
      </c>
      <c r="AJ228" s="91">
        <v>0.052</v>
      </c>
      <c r="AK228" s="84">
        <v>0.6</v>
      </c>
      <c r="AL228" s="73">
        <v>0.041</v>
      </c>
      <c r="AM228" s="73">
        <v>0.021</v>
      </c>
      <c r="AN228" s="73">
        <v>0.031</v>
      </c>
      <c r="AP228" s="92">
        <v>0.6</v>
      </c>
      <c r="AQ228" s="93">
        <v>0.078</v>
      </c>
      <c r="AR228" s="93">
        <v>0.039</v>
      </c>
      <c r="AS228" s="93">
        <v>0.059</v>
      </c>
      <c r="AT228" s="85">
        <v>0.6</v>
      </c>
      <c r="AU228" s="76">
        <v>0.049</v>
      </c>
      <c r="AV228" s="76">
        <v>0.025</v>
      </c>
      <c r="AW228" s="76">
        <v>0.037</v>
      </c>
      <c r="AY228" s="94">
        <v>0.6</v>
      </c>
      <c r="AZ228" s="95">
        <v>0.09</v>
      </c>
      <c r="BA228" s="95">
        <v>0.045</v>
      </c>
      <c r="BB228" s="95">
        <v>0.068</v>
      </c>
      <c r="BC228" s="86">
        <v>0.6</v>
      </c>
      <c r="BD228" s="79">
        <v>0.058</v>
      </c>
      <c r="BE228" s="79">
        <v>0.029</v>
      </c>
      <c r="BF228" s="79">
        <v>0.044</v>
      </c>
      <c r="BH228" s="96">
        <v>0.6</v>
      </c>
      <c r="BI228" s="97">
        <v>0</v>
      </c>
      <c r="BJ228" s="97">
        <v>0.053</v>
      </c>
      <c r="BK228" s="97">
        <v>0.08</v>
      </c>
      <c r="BL228" s="87">
        <v>0.6</v>
      </c>
      <c r="BM228" s="82">
        <v>0</v>
      </c>
      <c r="BN228" s="82">
        <v>0.033</v>
      </c>
      <c r="BO228" s="82">
        <v>0.05</v>
      </c>
    </row>
    <row r="229" spans="24:67" s="6" customFormat="1" ht="11.25" customHeight="1">
      <c r="X229" s="83">
        <v>0.61</v>
      </c>
      <c r="Y229" s="69">
        <f aca="true" t="shared" si="13" ref="Y229:Y237">0.063-((0.063-0.055)/0.1)*(X229-$X$228)</f>
        <v>0.0622</v>
      </c>
      <c r="Z229" s="69">
        <v>0</v>
      </c>
      <c r="AA229" s="69">
        <f>0.047-((0.047-0.041)/0.1)*(X229-$X$228)</f>
        <v>0.0464</v>
      </c>
      <c r="AB229" s="83">
        <v>0.61</v>
      </c>
      <c r="AC229" s="70">
        <v>0.033</v>
      </c>
      <c r="AD229" s="70">
        <v>0</v>
      </c>
      <c r="AE229" s="70">
        <v>0.025</v>
      </c>
      <c r="AG229" s="84">
        <v>0.61</v>
      </c>
      <c r="AH229" s="72">
        <f aca="true" t="shared" si="14" ref="AH229:AH237">$AH$228-(($AH$228-$AH$238)/0.1)*(AG229-$AG$228)</f>
        <v>0.0683</v>
      </c>
      <c r="AI229" s="72">
        <f>$AI$228-(($AI$228-$AI$238)/0.1)*(AG229-$AG$228)</f>
        <v>0.034600000000000006</v>
      </c>
      <c r="AJ229" s="72">
        <f>$AJ$228-(($AJ$228-$AJ$238)/0.1)*(AG229-$AG$228)</f>
        <v>0.0515</v>
      </c>
      <c r="AK229" s="84">
        <v>0.61</v>
      </c>
      <c r="AL229" s="73">
        <v>0.041</v>
      </c>
      <c r="AM229" s="73">
        <v>0.021</v>
      </c>
      <c r="AN229" s="73">
        <v>0.031</v>
      </c>
      <c r="AP229" s="85">
        <v>0.61</v>
      </c>
      <c r="AQ229" s="75">
        <f>$AQ$228-(($AQ$228-$AQ$238)/0.1)*(AP229-$AP$228)</f>
        <v>0.0773</v>
      </c>
      <c r="AR229" s="75">
        <f>$AR$228-(($AR$228-$AR$238)/0.1)*(AP229-$AP$228)</f>
        <v>0.0387</v>
      </c>
      <c r="AS229" s="75">
        <f>$AS$228-(($AS$228-$AS$238)/0.1)*(AP229-$AP$228)</f>
        <v>0.058499999999999996</v>
      </c>
      <c r="AT229" s="85">
        <v>0.61</v>
      </c>
      <c r="AU229" s="76">
        <v>0.049</v>
      </c>
      <c r="AV229" s="76">
        <v>0.025</v>
      </c>
      <c r="AW229" s="76">
        <v>0.037</v>
      </c>
      <c r="AY229" s="86">
        <v>0.61</v>
      </c>
      <c r="AZ229" s="78">
        <f>$AZ$228-(($AZ$228-$AZ$238)/0.1)*(AY229-$AY$228)</f>
        <v>0.0892</v>
      </c>
      <c r="BA229" s="78">
        <f>$BA$228-(($BA$228-$BA$238)/0.1)*(AY229-$AY$228)</f>
        <v>0.0446</v>
      </c>
      <c r="BB229" s="78">
        <f>$BB$228-(($BB$228-$BB$238)/0.1)*(AY229-$AY$228)</f>
        <v>0.0674</v>
      </c>
      <c r="BC229" s="86">
        <v>0.61</v>
      </c>
      <c r="BD229" s="79">
        <v>0.058</v>
      </c>
      <c r="BE229" s="79">
        <v>0.029</v>
      </c>
      <c r="BF229" s="79">
        <v>0.044</v>
      </c>
      <c r="BH229" s="87">
        <v>0.61</v>
      </c>
      <c r="BI229" s="81">
        <v>0</v>
      </c>
      <c r="BJ229" s="81">
        <f>$BJ$228-(($BJ$228-$BJ$238)/0.1)*(BH229-$BH$228)</f>
        <v>0.052399999999999995</v>
      </c>
      <c r="BK229" s="81">
        <f>$BK$228-(($BK$228-$BK$238)/0.1)*(BH229-$BH$228)</f>
        <v>0.0792</v>
      </c>
      <c r="BL229" s="87">
        <v>0.61</v>
      </c>
      <c r="BM229" s="82">
        <v>0</v>
      </c>
      <c r="BN229" s="82">
        <v>0.033</v>
      </c>
      <c r="BO229" s="82">
        <v>0.05</v>
      </c>
    </row>
    <row r="230" spans="24:67" s="6" customFormat="1" ht="11.25" customHeight="1">
      <c r="X230" s="83">
        <v>0.62</v>
      </c>
      <c r="Y230" s="69">
        <f t="shared" si="13"/>
        <v>0.061399999999999996</v>
      </c>
      <c r="Z230" s="69">
        <v>0</v>
      </c>
      <c r="AA230" s="69">
        <f aca="true" t="shared" si="15" ref="AA230:AA237">0.047-((0.047-0.041)/0.1)*(X230-$X$228)</f>
        <v>0.0458</v>
      </c>
      <c r="AB230" s="83">
        <v>0.62</v>
      </c>
      <c r="AC230" s="70">
        <v>0.033</v>
      </c>
      <c r="AD230" s="70">
        <v>0</v>
      </c>
      <c r="AE230" s="70">
        <v>0.025</v>
      </c>
      <c r="AG230" s="84">
        <v>0.62</v>
      </c>
      <c r="AH230" s="72">
        <f t="shared" si="14"/>
        <v>0.06760000000000001</v>
      </c>
      <c r="AI230" s="72">
        <f aca="true" t="shared" si="16" ref="AI230:AI237">$AI$228-(($AI$228-$AI$238)/0.1)*(AG230-$AG$228)</f>
        <v>0.0342</v>
      </c>
      <c r="AJ230" s="72">
        <f aca="true" t="shared" si="17" ref="AJ230:AJ237">$AJ$228-(($AJ$228-$AJ$238)/0.1)*(AG230-$AG$228)</f>
        <v>0.051</v>
      </c>
      <c r="AK230" s="84">
        <v>0.62</v>
      </c>
      <c r="AL230" s="73">
        <v>0.041</v>
      </c>
      <c r="AM230" s="73">
        <v>0.021</v>
      </c>
      <c r="AN230" s="73">
        <v>0.031</v>
      </c>
      <c r="AP230" s="85">
        <v>0.62</v>
      </c>
      <c r="AQ230" s="75">
        <f aca="true" t="shared" si="18" ref="AQ230:AQ237">$AQ$228-(($AQ$228-$AQ$238)/0.1)*(AP230-$AP$228)</f>
        <v>0.0766</v>
      </c>
      <c r="AR230" s="75">
        <f aca="true" t="shared" si="19" ref="AR230:AR237">$AR$228-(($AR$228-$AR$238)/0.1)*(AP230-$AP$228)</f>
        <v>0.0384</v>
      </c>
      <c r="AS230" s="75">
        <f aca="true" t="shared" si="20" ref="AS230:AS237">$AS$228-(($AS$228-$AS$238)/0.1)*(AP230-$AP$228)</f>
        <v>0.057999999999999996</v>
      </c>
      <c r="AT230" s="85">
        <v>0.62</v>
      </c>
      <c r="AU230" s="76">
        <v>0.049</v>
      </c>
      <c r="AV230" s="76">
        <v>0.025</v>
      </c>
      <c r="AW230" s="76">
        <v>0.037</v>
      </c>
      <c r="AY230" s="86">
        <v>0.62</v>
      </c>
      <c r="AZ230" s="78">
        <f aca="true" t="shared" si="21" ref="AZ230:AZ237">$AZ$228-(($AZ$228-$AZ$238)/0.1)*(AY230-$AY$228)</f>
        <v>0.08839999999999999</v>
      </c>
      <c r="BA230" s="78">
        <f aca="true" t="shared" si="22" ref="BA230:BA237">$BA$228-(($BA$228-$BA$238)/0.1)*(AY230-$AY$228)</f>
        <v>0.044199999999999996</v>
      </c>
      <c r="BB230" s="78">
        <f aca="true" t="shared" si="23" ref="BB230:BB237">$BB$228-(($BB$228-$BB$238)/0.1)*(AY230-$AY$228)</f>
        <v>0.0668</v>
      </c>
      <c r="BC230" s="86">
        <v>0.62</v>
      </c>
      <c r="BD230" s="79">
        <v>0.058</v>
      </c>
      <c r="BE230" s="79">
        <v>0.029</v>
      </c>
      <c r="BF230" s="79">
        <v>0.044</v>
      </c>
      <c r="BH230" s="87">
        <v>0.62</v>
      </c>
      <c r="BI230" s="81">
        <v>0</v>
      </c>
      <c r="BJ230" s="81">
        <f aca="true" t="shared" si="24" ref="BJ230:BJ237">$BJ$228-(($BJ$228-$BJ$238)/0.1)*(BH230-$BH$228)</f>
        <v>0.0518</v>
      </c>
      <c r="BK230" s="81">
        <f aca="true" t="shared" si="25" ref="BK230:BK237">$BK$228-(($BK$228-$BK$238)/0.1)*(BH230-$BH$228)</f>
        <v>0.0784</v>
      </c>
      <c r="BL230" s="87">
        <v>0.62</v>
      </c>
      <c r="BM230" s="82">
        <v>0</v>
      </c>
      <c r="BN230" s="82">
        <v>0.033</v>
      </c>
      <c r="BO230" s="82">
        <v>0.05</v>
      </c>
    </row>
    <row r="231" spans="24:67" s="6" customFormat="1" ht="11.25" customHeight="1">
      <c r="X231" s="83">
        <v>0.63</v>
      </c>
      <c r="Y231" s="69">
        <f t="shared" si="13"/>
        <v>0.0606</v>
      </c>
      <c r="Z231" s="69">
        <v>0</v>
      </c>
      <c r="AA231" s="69">
        <f t="shared" si="15"/>
        <v>0.0452</v>
      </c>
      <c r="AB231" s="83">
        <v>0.63</v>
      </c>
      <c r="AC231" s="70">
        <v>0.033</v>
      </c>
      <c r="AD231" s="70">
        <v>0</v>
      </c>
      <c r="AE231" s="70">
        <v>0.025</v>
      </c>
      <c r="AG231" s="84">
        <v>0.63</v>
      </c>
      <c r="AH231" s="72">
        <f t="shared" si="14"/>
        <v>0.0669</v>
      </c>
      <c r="AI231" s="72">
        <f t="shared" si="16"/>
        <v>0.033800000000000004</v>
      </c>
      <c r="AJ231" s="72">
        <f t="shared" si="17"/>
        <v>0.050499999999999996</v>
      </c>
      <c r="AK231" s="84">
        <v>0.63</v>
      </c>
      <c r="AL231" s="73">
        <v>0.041</v>
      </c>
      <c r="AM231" s="73">
        <v>0.021</v>
      </c>
      <c r="AN231" s="73">
        <v>0.031</v>
      </c>
      <c r="AP231" s="85">
        <v>0.63</v>
      </c>
      <c r="AQ231" s="75">
        <f t="shared" si="18"/>
        <v>0.0759</v>
      </c>
      <c r="AR231" s="75">
        <f t="shared" si="19"/>
        <v>0.038099999999999995</v>
      </c>
      <c r="AS231" s="75">
        <f t="shared" si="20"/>
        <v>0.057499999999999996</v>
      </c>
      <c r="AT231" s="85">
        <v>0.63</v>
      </c>
      <c r="AU231" s="76">
        <v>0.049</v>
      </c>
      <c r="AV231" s="76">
        <v>0.025</v>
      </c>
      <c r="AW231" s="76">
        <v>0.037</v>
      </c>
      <c r="AY231" s="86">
        <v>0.63</v>
      </c>
      <c r="AZ231" s="78">
        <f t="shared" si="21"/>
        <v>0.0876</v>
      </c>
      <c r="BA231" s="78">
        <f t="shared" si="22"/>
        <v>0.0438</v>
      </c>
      <c r="BB231" s="78">
        <f t="shared" si="23"/>
        <v>0.0662</v>
      </c>
      <c r="BC231" s="86">
        <v>0.63</v>
      </c>
      <c r="BD231" s="79">
        <v>0.058</v>
      </c>
      <c r="BE231" s="79">
        <v>0.029</v>
      </c>
      <c r="BF231" s="79">
        <v>0.044</v>
      </c>
      <c r="BH231" s="87">
        <v>0.63</v>
      </c>
      <c r="BI231" s="81">
        <v>0</v>
      </c>
      <c r="BJ231" s="81">
        <f t="shared" si="24"/>
        <v>0.051199999999999996</v>
      </c>
      <c r="BK231" s="81">
        <f t="shared" si="25"/>
        <v>0.0776</v>
      </c>
      <c r="BL231" s="87">
        <v>0.63</v>
      </c>
      <c r="BM231" s="82">
        <v>0</v>
      </c>
      <c r="BN231" s="82">
        <v>0.033</v>
      </c>
      <c r="BO231" s="82">
        <v>0.05</v>
      </c>
    </row>
    <row r="232" spans="24:67" s="6" customFormat="1" ht="11.25" customHeight="1">
      <c r="X232" s="83">
        <v>0.64</v>
      </c>
      <c r="Y232" s="69">
        <f t="shared" si="13"/>
        <v>0.0598</v>
      </c>
      <c r="Z232" s="69">
        <v>0</v>
      </c>
      <c r="AA232" s="69">
        <f t="shared" si="15"/>
        <v>0.0446</v>
      </c>
      <c r="AB232" s="83">
        <v>0.64</v>
      </c>
      <c r="AC232" s="70">
        <v>0.033</v>
      </c>
      <c r="AD232" s="70">
        <v>0</v>
      </c>
      <c r="AE232" s="70">
        <v>0.025</v>
      </c>
      <c r="AG232" s="84">
        <v>0.64</v>
      </c>
      <c r="AH232" s="72">
        <f t="shared" si="14"/>
        <v>0.0662</v>
      </c>
      <c r="AI232" s="72">
        <f t="shared" si="16"/>
        <v>0.0334</v>
      </c>
      <c r="AJ232" s="72">
        <f t="shared" si="17"/>
        <v>0.049999999999999996</v>
      </c>
      <c r="AK232" s="84">
        <v>0.64</v>
      </c>
      <c r="AL232" s="73">
        <v>0.041</v>
      </c>
      <c r="AM232" s="73">
        <v>0.021</v>
      </c>
      <c r="AN232" s="73">
        <v>0.031</v>
      </c>
      <c r="AP232" s="85">
        <v>0.64</v>
      </c>
      <c r="AQ232" s="75">
        <f t="shared" si="18"/>
        <v>0.07519999999999999</v>
      </c>
      <c r="AR232" s="75">
        <f t="shared" si="19"/>
        <v>0.0378</v>
      </c>
      <c r="AS232" s="75">
        <f t="shared" si="20"/>
        <v>0.056999999999999995</v>
      </c>
      <c r="AT232" s="85">
        <v>0.64</v>
      </c>
      <c r="AU232" s="76">
        <v>0.049</v>
      </c>
      <c r="AV232" s="76">
        <v>0.025</v>
      </c>
      <c r="AW232" s="76">
        <v>0.037</v>
      </c>
      <c r="AY232" s="86">
        <v>0.64</v>
      </c>
      <c r="AZ232" s="78">
        <f t="shared" si="21"/>
        <v>0.0868</v>
      </c>
      <c r="BA232" s="78">
        <f t="shared" si="22"/>
        <v>0.0434</v>
      </c>
      <c r="BB232" s="78">
        <f t="shared" si="23"/>
        <v>0.0656</v>
      </c>
      <c r="BC232" s="86">
        <v>0.64</v>
      </c>
      <c r="BD232" s="79">
        <v>0.058</v>
      </c>
      <c r="BE232" s="79">
        <v>0.029</v>
      </c>
      <c r="BF232" s="79">
        <v>0.044</v>
      </c>
      <c r="BH232" s="87">
        <v>0.64</v>
      </c>
      <c r="BI232" s="81">
        <v>0</v>
      </c>
      <c r="BJ232" s="81">
        <f t="shared" si="24"/>
        <v>0.0506</v>
      </c>
      <c r="BK232" s="81">
        <f t="shared" si="25"/>
        <v>0.0768</v>
      </c>
      <c r="BL232" s="87">
        <v>0.64</v>
      </c>
      <c r="BM232" s="82">
        <v>0</v>
      </c>
      <c r="BN232" s="82">
        <v>0.033</v>
      </c>
      <c r="BO232" s="82">
        <v>0.05</v>
      </c>
    </row>
    <row r="233" spans="24:67" s="6" customFormat="1" ht="11.25" customHeight="1">
      <c r="X233" s="83">
        <v>0.65</v>
      </c>
      <c r="Y233" s="69">
        <f t="shared" si="13"/>
        <v>0.059</v>
      </c>
      <c r="Z233" s="69">
        <v>0</v>
      </c>
      <c r="AA233" s="69">
        <f t="shared" si="15"/>
        <v>0.044</v>
      </c>
      <c r="AB233" s="83">
        <v>0.65</v>
      </c>
      <c r="AC233" s="70">
        <v>0.033</v>
      </c>
      <c r="AD233" s="70">
        <v>0</v>
      </c>
      <c r="AE233" s="70">
        <v>0.025</v>
      </c>
      <c r="AG233" s="84">
        <v>0.65</v>
      </c>
      <c r="AH233" s="72">
        <f t="shared" si="14"/>
        <v>0.0655</v>
      </c>
      <c r="AI233" s="72">
        <f t="shared" si="16"/>
        <v>0.033</v>
      </c>
      <c r="AJ233" s="72">
        <f t="shared" si="17"/>
        <v>0.049499999999999995</v>
      </c>
      <c r="AK233" s="84">
        <v>0.65</v>
      </c>
      <c r="AL233" s="73">
        <v>0.041</v>
      </c>
      <c r="AM233" s="73">
        <v>0.021</v>
      </c>
      <c r="AN233" s="73">
        <v>0.031</v>
      </c>
      <c r="AP233" s="85">
        <v>0.65</v>
      </c>
      <c r="AQ233" s="75">
        <f t="shared" si="18"/>
        <v>0.0745</v>
      </c>
      <c r="AR233" s="75">
        <f t="shared" si="19"/>
        <v>0.0375</v>
      </c>
      <c r="AS233" s="75">
        <f t="shared" si="20"/>
        <v>0.056499999999999995</v>
      </c>
      <c r="AT233" s="85">
        <v>0.65</v>
      </c>
      <c r="AU233" s="76">
        <v>0.049</v>
      </c>
      <c r="AV233" s="76">
        <v>0.025</v>
      </c>
      <c r="AW233" s="76">
        <v>0.037</v>
      </c>
      <c r="AY233" s="86">
        <v>0.65</v>
      </c>
      <c r="AZ233" s="78">
        <f t="shared" si="21"/>
        <v>0.086</v>
      </c>
      <c r="BA233" s="78">
        <f t="shared" si="22"/>
        <v>0.043</v>
      </c>
      <c r="BB233" s="78">
        <f t="shared" si="23"/>
        <v>0.065</v>
      </c>
      <c r="BC233" s="86">
        <v>0.65</v>
      </c>
      <c r="BD233" s="79">
        <v>0.058</v>
      </c>
      <c r="BE233" s="79">
        <v>0.029</v>
      </c>
      <c r="BF233" s="79">
        <v>0.044</v>
      </c>
      <c r="BH233" s="87">
        <v>0.65</v>
      </c>
      <c r="BI233" s="81">
        <v>0</v>
      </c>
      <c r="BJ233" s="81">
        <f t="shared" si="24"/>
        <v>0.049999999999999996</v>
      </c>
      <c r="BK233" s="81">
        <f t="shared" si="25"/>
        <v>0.076</v>
      </c>
      <c r="BL233" s="87">
        <v>0.65</v>
      </c>
      <c r="BM233" s="82">
        <v>0</v>
      </c>
      <c r="BN233" s="82">
        <v>0.033</v>
      </c>
      <c r="BO233" s="82">
        <v>0.05</v>
      </c>
    </row>
    <row r="234" spans="24:67" s="6" customFormat="1" ht="11.25" customHeight="1">
      <c r="X234" s="83">
        <v>0.660000000000001</v>
      </c>
      <c r="Y234" s="69">
        <f t="shared" si="13"/>
        <v>0.05819999999999992</v>
      </c>
      <c r="Z234" s="69">
        <v>0</v>
      </c>
      <c r="AA234" s="69">
        <f t="shared" si="15"/>
        <v>0.04339999999999994</v>
      </c>
      <c r="AB234" s="83">
        <v>0.660000000000001</v>
      </c>
      <c r="AC234" s="70">
        <v>0.033</v>
      </c>
      <c r="AD234" s="70">
        <v>0</v>
      </c>
      <c r="AE234" s="70">
        <v>0.025</v>
      </c>
      <c r="AG234" s="84">
        <v>0.660000000000001</v>
      </c>
      <c r="AH234" s="72">
        <f t="shared" si="14"/>
        <v>0.06479999999999993</v>
      </c>
      <c r="AI234" s="72">
        <f t="shared" si="16"/>
        <v>0.03259999999999996</v>
      </c>
      <c r="AJ234" s="72">
        <f t="shared" si="17"/>
        <v>0.048999999999999946</v>
      </c>
      <c r="AK234" s="84">
        <v>0.660000000000001</v>
      </c>
      <c r="AL234" s="73">
        <v>0.041</v>
      </c>
      <c r="AM234" s="73">
        <v>0.021</v>
      </c>
      <c r="AN234" s="73">
        <v>0.031</v>
      </c>
      <c r="AP234" s="85">
        <v>0.660000000000001</v>
      </c>
      <c r="AQ234" s="75">
        <f t="shared" si="18"/>
        <v>0.07379999999999992</v>
      </c>
      <c r="AR234" s="75">
        <f t="shared" si="19"/>
        <v>0.03719999999999997</v>
      </c>
      <c r="AS234" s="75">
        <f t="shared" si="20"/>
        <v>0.055999999999999946</v>
      </c>
      <c r="AT234" s="85">
        <v>0.660000000000001</v>
      </c>
      <c r="AU234" s="76">
        <v>0.049</v>
      </c>
      <c r="AV234" s="76">
        <v>0.025</v>
      </c>
      <c r="AW234" s="76">
        <v>0.037</v>
      </c>
      <c r="AY234" s="86">
        <v>0.660000000000001</v>
      </c>
      <c r="AZ234" s="78">
        <f t="shared" si="21"/>
        <v>0.08519999999999991</v>
      </c>
      <c r="BA234" s="78">
        <f t="shared" si="22"/>
        <v>0.04259999999999996</v>
      </c>
      <c r="BB234" s="78">
        <f t="shared" si="23"/>
        <v>0.06439999999999994</v>
      </c>
      <c r="BC234" s="86">
        <v>0.660000000000001</v>
      </c>
      <c r="BD234" s="79">
        <v>0.058</v>
      </c>
      <c r="BE234" s="79">
        <v>0.029</v>
      </c>
      <c r="BF234" s="79">
        <v>0.044</v>
      </c>
      <c r="BH234" s="87">
        <v>0.660000000000001</v>
      </c>
      <c r="BI234" s="81">
        <v>0</v>
      </c>
      <c r="BJ234" s="81">
        <f t="shared" si="24"/>
        <v>0.04939999999999994</v>
      </c>
      <c r="BK234" s="81">
        <f t="shared" si="25"/>
        <v>0.07519999999999992</v>
      </c>
      <c r="BL234" s="87">
        <v>0.660000000000001</v>
      </c>
      <c r="BM234" s="82">
        <v>0</v>
      </c>
      <c r="BN234" s="82">
        <v>0.033</v>
      </c>
      <c r="BO234" s="82">
        <v>0.05</v>
      </c>
    </row>
    <row r="235" spans="24:67" s="6" customFormat="1" ht="11.25" customHeight="1">
      <c r="X235" s="83">
        <v>0.670000000000001</v>
      </c>
      <c r="Y235" s="69">
        <f t="shared" si="13"/>
        <v>0.057399999999999916</v>
      </c>
      <c r="Z235" s="69">
        <v>0</v>
      </c>
      <c r="AA235" s="69">
        <f t="shared" si="15"/>
        <v>0.042799999999999935</v>
      </c>
      <c r="AB235" s="83">
        <v>0.670000000000001</v>
      </c>
      <c r="AC235" s="70">
        <v>0.033</v>
      </c>
      <c r="AD235" s="70">
        <v>0</v>
      </c>
      <c r="AE235" s="70">
        <v>0.025</v>
      </c>
      <c r="AG235" s="84">
        <v>0.670000000000001</v>
      </c>
      <c r="AH235" s="72">
        <f t="shared" si="14"/>
        <v>0.06409999999999992</v>
      </c>
      <c r="AI235" s="72">
        <f t="shared" si="16"/>
        <v>0.03219999999999996</v>
      </c>
      <c r="AJ235" s="72">
        <f t="shared" si="17"/>
        <v>0.048499999999999946</v>
      </c>
      <c r="AK235" s="84">
        <v>0.670000000000001</v>
      </c>
      <c r="AL235" s="73">
        <v>0.041</v>
      </c>
      <c r="AM235" s="73">
        <v>0.021</v>
      </c>
      <c r="AN235" s="73">
        <v>0.031</v>
      </c>
      <c r="AP235" s="85">
        <v>0.670000000000001</v>
      </c>
      <c r="AQ235" s="75">
        <f t="shared" si="18"/>
        <v>0.07309999999999992</v>
      </c>
      <c r="AR235" s="75">
        <f t="shared" si="19"/>
        <v>0.03689999999999997</v>
      </c>
      <c r="AS235" s="75">
        <f t="shared" si="20"/>
        <v>0.055499999999999945</v>
      </c>
      <c r="AT235" s="85">
        <v>0.670000000000001</v>
      </c>
      <c r="AU235" s="76">
        <v>0.049</v>
      </c>
      <c r="AV235" s="76">
        <v>0.025</v>
      </c>
      <c r="AW235" s="76">
        <v>0.037</v>
      </c>
      <c r="AY235" s="86">
        <v>0.670000000000001</v>
      </c>
      <c r="AZ235" s="78">
        <f t="shared" si="21"/>
        <v>0.08439999999999992</v>
      </c>
      <c r="BA235" s="78">
        <f t="shared" si="22"/>
        <v>0.04219999999999996</v>
      </c>
      <c r="BB235" s="78">
        <f t="shared" si="23"/>
        <v>0.06379999999999994</v>
      </c>
      <c r="BC235" s="86">
        <v>0.670000000000001</v>
      </c>
      <c r="BD235" s="79">
        <v>0.058</v>
      </c>
      <c r="BE235" s="79">
        <v>0.029</v>
      </c>
      <c r="BF235" s="79">
        <v>0.044</v>
      </c>
      <c r="BH235" s="87">
        <v>0.670000000000001</v>
      </c>
      <c r="BI235" s="81">
        <v>0</v>
      </c>
      <c r="BJ235" s="81">
        <f t="shared" si="24"/>
        <v>0.048799999999999934</v>
      </c>
      <c r="BK235" s="81">
        <f t="shared" si="25"/>
        <v>0.07439999999999991</v>
      </c>
      <c r="BL235" s="87">
        <v>0.670000000000001</v>
      </c>
      <c r="BM235" s="82">
        <v>0</v>
      </c>
      <c r="BN235" s="82">
        <v>0.033</v>
      </c>
      <c r="BO235" s="82">
        <v>0.05</v>
      </c>
    </row>
    <row r="236" spans="24:67" s="6" customFormat="1" ht="11.25" customHeight="1">
      <c r="X236" s="83">
        <v>0.680000000000001</v>
      </c>
      <c r="Y236" s="69">
        <f t="shared" si="13"/>
        <v>0.056599999999999914</v>
      </c>
      <c r="Z236" s="69">
        <v>0</v>
      </c>
      <c r="AA236" s="69">
        <f t="shared" si="15"/>
        <v>0.04219999999999994</v>
      </c>
      <c r="AB236" s="83">
        <v>0.680000000000001</v>
      </c>
      <c r="AC236" s="70">
        <v>0.033</v>
      </c>
      <c r="AD236" s="70">
        <v>0</v>
      </c>
      <c r="AE236" s="70">
        <v>0.025</v>
      </c>
      <c r="AG236" s="84">
        <v>0.680000000000001</v>
      </c>
      <c r="AH236" s="72">
        <f t="shared" si="14"/>
        <v>0.06339999999999993</v>
      </c>
      <c r="AI236" s="72">
        <f t="shared" si="16"/>
        <v>0.03179999999999996</v>
      </c>
      <c r="AJ236" s="72">
        <f t="shared" si="17"/>
        <v>0.047999999999999945</v>
      </c>
      <c r="AK236" s="84">
        <v>0.680000000000001</v>
      </c>
      <c r="AL236" s="73">
        <v>0.041</v>
      </c>
      <c r="AM236" s="73">
        <v>0.021</v>
      </c>
      <c r="AN236" s="73">
        <v>0.031</v>
      </c>
      <c r="AP236" s="85">
        <v>0.680000000000001</v>
      </c>
      <c r="AQ236" s="75">
        <f t="shared" si="18"/>
        <v>0.07239999999999992</v>
      </c>
      <c r="AR236" s="75">
        <f t="shared" si="19"/>
        <v>0.036599999999999966</v>
      </c>
      <c r="AS236" s="75">
        <f t="shared" si="20"/>
        <v>0.054999999999999945</v>
      </c>
      <c r="AT236" s="85">
        <v>0.680000000000001</v>
      </c>
      <c r="AU236" s="76">
        <v>0.049</v>
      </c>
      <c r="AV236" s="76">
        <v>0.025</v>
      </c>
      <c r="AW236" s="76">
        <v>0.037</v>
      </c>
      <c r="AY236" s="86">
        <v>0.680000000000001</v>
      </c>
      <c r="AZ236" s="78">
        <f t="shared" si="21"/>
        <v>0.08359999999999991</v>
      </c>
      <c r="BA236" s="78">
        <f t="shared" si="22"/>
        <v>0.041799999999999955</v>
      </c>
      <c r="BB236" s="78">
        <f t="shared" si="23"/>
        <v>0.06319999999999994</v>
      </c>
      <c r="BC236" s="86">
        <v>0.680000000000001</v>
      </c>
      <c r="BD236" s="79">
        <v>0.058</v>
      </c>
      <c r="BE236" s="79">
        <v>0.029</v>
      </c>
      <c r="BF236" s="79">
        <v>0.044</v>
      </c>
      <c r="BH236" s="87">
        <v>0.680000000000001</v>
      </c>
      <c r="BI236" s="81">
        <v>0</v>
      </c>
      <c r="BJ236" s="81">
        <f t="shared" si="24"/>
        <v>0.04819999999999994</v>
      </c>
      <c r="BK236" s="81">
        <f t="shared" si="25"/>
        <v>0.07359999999999992</v>
      </c>
      <c r="BL236" s="87">
        <v>0.680000000000001</v>
      </c>
      <c r="BM236" s="82">
        <v>0</v>
      </c>
      <c r="BN236" s="82">
        <v>0.033</v>
      </c>
      <c r="BO236" s="82">
        <v>0.05</v>
      </c>
    </row>
    <row r="237" spans="24:67" s="6" customFormat="1" ht="11.25" customHeight="1">
      <c r="X237" s="83">
        <v>0.690000000000001</v>
      </c>
      <c r="Y237" s="69">
        <f t="shared" si="13"/>
        <v>0.05579999999999992</v>
      </c>
      <c r="Z237" s="69">
        <v>0</v>
      </c>
      <c r="AA237" s="69">
        <f t="shared" si="15"/>
        <v>0.04159999999999994</v>
      </c>
      <c r="AB237" s="83">
        <v>0.690000000000001</v>
      </c>
      <c r="AC237" s="70">
        <v>0.033</v>
      </c>
      <c r="AD237" s="70">
        <v>0</v>
      </c>
      <c r="AE237" s="70">
        <v>0.025</v>
      </c>
      <c r="AG237" s="84">
        <v>0.690000000000001</v>
      </c>
      <c r="AH237" s="72">
        <f t="shared" si="14"/>
        <v>0.06269999999999994</v>
      </c>
      <c r="AI237" s="72">
        <f t="shared" si="16"/>
        <v>0.03139999999999996</v>
      </c>
      <c r="AJ237" s="72">
        <f t="shared" si="17"/>
        <v>0.04749999999999995</v>
      </c>
      <c r="AK237" s="84">
        <v>0.690000000000001</v>
      </c>
      <c r="AL237" s="73">
        <v>0.041</v>
      </c>
      <c r="AM237" s="73">
        <v>0.021</v>
      </c>
      <c r="AN237" s="73">
        <v>0.031</v>
      </c>
      <c r="AP237" s="85">
        <v>0.690000000000001</v>
      </c>
      <c r="AQ237" s="75">
        <f t="shared" si="18"/>
        <v>0.07169999999999993</v>
      </c>
      <c r="AR237" s="75">
        <f t="shared" si="19"/>
        <v>0.03629999999999997</v>
      </c>
      <c r="AS237" s="75">
        <f t="shared" si="20"/>
        <v>0.05449999999999995</v>
      </c>
      <c r="AT237" s="85">
        <v>0.690000000000001</v>
      </c>
      <c r="AU237" s="76">
        <v>0.049</v>
      </c>
      <c r="AV237" s="76">
        <v>0.025</v>
      </c>
      <c r="AW237" s="76">
        <v>0.037</v>
      </c>
      <c r="AY237" s="86">
        <v>0.690000000000001</v>
      </c>
      <c r="AZ237" s="78">
        <f t="shared" si="21"/>
        <v>0.08279999999999993</v>
      </c>
      <c r="BA237" s="78">
        <f t="shared" si="22"/>
        <v>0.041399999999999965</v>
      </c>
      <c r="BB237" s="78">
        <f t="shared" si="23"/>
        <v>0.06259999999999995</v>
      </c>
      <c r="BC237" s="86">
        <v>0.690000000000001</v>
      </c>
      <c r="BD237" s="79">
        <v>0.058</v>
      </c>
      <c r="BE237" s="79">
        <v>0.029</v>
      </c>
      <c r="BF237" s="79">
        <v>0.044</v>
      </c>
      <c r="BH237" s="87">
        <v>0.690000000000001</v>
      </c>
      <c r="BI237" s="81">
        <v>0</v>
      </c>
      <c r="BJ237" s="81">
        <f t="shared" si="24"/>
        <v>0.04759999999999994</v>
      </c>
      <c r="BK237" s="81">
        <f t="shared" si="25"/>
        <v>0.07279999999999992</v>
      </c>
      <c r="BL237" s="87">
        <v>0.690000000000001</v>
      </c>
      <c r="BM237" s="82">
        <v>0</v>
      </c>
      <c r="BN237" s="82">
        <v>0.033</v>
      </c>
      <c r="BO237" s="82">
        <v>0.05</v>
      </c>
    </row>
    <row r="238" spans="24:67" s="6" customFormat="1" ht="11.25" customHeight="1">
      <c r="X238" s="88">
        <v>0.700000000000001</v>
      </c>
      <c r="Y238" s="89">
        <v>0.055</v>
      </c>
      <c r="Z238" s="89">
        <v>0</v>
      </c>
      <c r="AA238" s="89">
        <v>0.041</v>
      </c>
      <c r="AB238" s="83">
        <v>0.700000000000001</v>
      </c>
      <c r="AC238" s="70">
        <v>0.033</v>
      </c>
      <c r="AD238" s="70">
        <v>0</v>
      </c>
      <c r="AE238" s="70">
        <v>0.025</v>
      </c>
      <c r="AG238" s="90">
        <v>0.700000000000001</v>
      </c>
      <c r="AH238" s="91">
        <v>0.062</v>
      </c>
      <c r="AI238" s="91">
        <v>0.031</v>
      </c>
      <c r="AJ238" s="91">
        <v>0.047</v>
      </c>
      <c r="AK238" s="84">
        <v>0.700000000000001</v>
      </c>
      <c r="AL238" s="73">
        <v>0.041</v>
      </c>
      <c r="AM238" s="73">
        <v>0.021</v>
      </c>
      <c r="AN238" s="73">
        <v>0.031</v>
      </c>
      <c r="AP238" s="92">
        <v>0.700000000000001</v>
      </c>
      <c r="AQ238" s="93">
        <v>0.071</v>
      </c>
      <c r="AR238" s="93">
        <v>0.036</v>
      </c>
      <c r="AS238" s="93">
        <v>0.054</v>
      </c>
      <c r="AT238" s="85">
        <v>0.700000000000001</v>
      </c>
      <c r="AU238" s="76">
        <v>0.049</v>
      </c>
      <c r="AV238" s="76">
        <v>0.025</v>
      </c>
      <c r="AW238" s="76">
        <v>0.037</v>
      </c>
      <c r="AY238" s="94">
        <v>0.700000000000001</v>
      </c>
      <c r="AZ238" s="95">
        <v>0.082</v>
      </c>
      <c r="BA238" s="95">
        <v>0.041</v>
      </c>
      <c r="BB238" s="95">
        <v>0.062</v>
      </c>
      <c r="BC238" s="86">
        <v>0.700000000000001</v>
      </c>
      <c r="BD238" s="79">
        <v>0.058</v>
      </c>
      <c r="BE238" s="79">
        <v>0.029</v>
      </c>
      <c r="BF238" s="79">
        <v>0.044</v>
      </c>
      <c r="BH238" s="96">
        <v>0.700000000000001</v>
      </c>
      <c r="BI238" s="97">
        <v>0</v>
      </c>
      <c r="BJ238" s="97">
        <v>0.047</v>
      </c>
      <c r="BK238" s="97">
        <v>0.072</v>
      </c>
      <c r="BL238" s="87">
        <v>0.700000000000001</v>
      </c>
      <c r="BM238" s="82">
        <v>0</v>
      </c>
      <c r="BN238" s="82">
        <v>0.033</v>
      </c>
      <c r="BO238" s="82">
        <v>0.05</v>
      </c>
    </row>
    <row r="239" spans="24:67" s="6" customFormat="1" ht="11.25" customHeight="1">
      <c r="X239" s="83">
        <v>0.710000000000001</v>
      </c>
      <c r="Y239" s="69">
        <f aca="true" t="shared" si="26" ref="Y239:Y247">0.055-((0.055-0.048)/0.1)*(X239-$X$238)</f>
        <v>0.0543</v>
      </c>
      <c r="Z239" s="69">
        <v>0</v>
      </c>
      <c r="AA239" s="69">
        <f>0.041-((0.041-0.036)/0.1)*(X239-$X$238)</f>
        <v>0.0405</v>
      </c>
      <c r="AB239" s="83">
        <v>0.710000000000001</v>
      </c>
      <c r="AC239" s="70">
        <v>0.033</v>
      </c>
      <c r="AD239" s="70">
        <v>0</v>
      </c>
      <c r="AE239" s="70">
        <v>0.025</v>
      </c>
      <c r="AG239" s="84">
        <v>0.710000000000001</v>
      </c>
      <c r="AH239" s="72">
        <f aca="true" t="shared" si="27" ref="AH239:AH247">$AH$238-(($AH$238-$AH$248)/0.1)*(AG239-$AG$238)</f>
        <v>0.0613</v>
      </c>
      <c r="AI239" s="72">
        <f>$AI$238-(($AI$238-$AI$248)/0.1)*(AG239-$AG$238)</f>
        <v>0.0306</v>
      </c>
      <c r="AJ239" s="72">
        <f>$AJ$238-(($AJ$238-$AJ$248)/0.1)*(AG239-$AG$238)</f>
        <v>0.0464</v>
      </c>
      <c r="AK239" s="84">
        <v>0.710000000000001</v>
      </c>
      <c r="AL239" s="73">
        <v>0.041</v>
      </c>
      <c r="AM239" s="73">
        <v>0.021</v>
      </c>
      <c r="AN239" s="73">
        <v>0.031</v>
      </c>
      <c r="AP239" s="85">
        <v>0.710000000000001</v>
      </c>
      <c r="AQ239" s="75">
        <f>$AQ$238-(($AQ$238-$AQ$248)/0.1)*(AP239-$AP$238)</f>
        <v>0.07029999999999999</v>
      </c>
      <c r="AR239" s="75">
        <f>$AR$238-(($AR$238-$AR$248)/0.1)*(AP239-$AP$238)</f>
        <v>0.0356</v>
      </c>
      <c r="AS239" s="75">
        <f>$AS$238-(($AS$238-$AS$248)/0.1)*(AP239-$AP$238)</f>
        <v>0.053399999999999996</v>
      </c>
      <c r="AT239" s="85">
        <v>0.710000000000001</v>
      </c>
      <c r="AU239" s="76">
        <v>0.049</v>
      </c>
      <c r="AV239" s="76">
        <v>0.025</v>
      </c>
      <c r="AW239" s="76">
        <v>0.037</v>
      </c>
      <c r="AY239" s="86">
        <v>0.710000000000001</v>
      </c>
      <c r="AZ239" s="78">
        <f>$AZ$238-(($AZ$238-$AZ$248)/0.1)*(AY239-$AY$238)</f>
        <v>0.08120000000000001</v>
      </c>
      <c r="BA239" s="78">
        <f>$BA$238-(($BA$238-$BA$248)/0.1)*(AY239-$AY$238)</f>
        <v>0.040600000000000004</v>
      </c>
      <c r="BB239" s="78">
        <f>$BB$238-(($BB$238-$BB$248)/0.1)*(AY239-$AY$238)</f>
        <v>0.061399999999999996</v>
      </c>
      <c r="BC239" s="86">
        <v>0.710000000000001</v>
      </c>
      <c r="BD239" s="79">
        <v>0.058</v>
      </c>
      <c r="BE239" s="79">
        <v>0.029</v>
      </c>
      <c r="BF239" s="79">
        <v>0.044</v>
      </c>
      <c r="BH239" s="87">
        <v>0.710000000000001</v>
      </c>
      <c r="BI239" s="81">
        <v>0</v>
      </c>
      <c r="BJ239" s="81">
        <f>$BJ$238-(($BJ$238-$BJ$248)/0.1)*(BH239-$BH$238)</f>
        <v>0.0466</v>
      </c>
      <c r="BK239" s="81">
        <f>$BK$238-(($BK$238-$BK$248)/0.1)*(BH239-$BH$238)</f>
        <v>0.0712</v>
      </c>
      <c r="BL239" s="87">
        <v>0.710000000000001</v>
      </c>
      <c r="BM239" s="82">
        <v>0</v>
      </c>
      <c r="BN239" s="82">
        <v>0.033</v>
      </c>
      <c r="BO239" s="82">
        <v>0.05</v>
      </c>
    </row>
    <row r="240" spans="24:67" s="6" customFormat="1" ht="11.25" customHeight="1">
      <c r="X240" s="83">
        <v>0.720000000000001</v>
      </c>
      <c r="Y240" s="69">
        <f t="shared" si="26"/>
        <v>0.0536</v>
      </c>
      <c r="Z240" s="69">
        <v>0</v>
      </c>
      <c r="AA240" s="69">
        <f aca="true" t="shared" si="28" ref="AA240:AA247">0.041-((0.041-0.036)/0.1)*(X240-$X$238)</f>
        <v>0.04</v>
      </c>
      <c r="AB240" s="83">
        <v>0.720000000000001</v>
      </c>
      <c r="AC240" s="70">
        <v>0.033</v>
      </c>
      <c r="AD240" s="70">
        <v>0</v>
      </c>
      <c r="AE240" s="70">
        <v>0.025</v>
      </c>
      <c r="AG240" s="84">
        <v>0.720000000000001</v>
      </c>
      <c r="AH240" s="72">
        <f t="shared" si="27"/>
        <v>0.0606</v>
      </c>
      <c r="AI240" s="72">
        <f aca="true" t="shared" si="29" ref="AI240:AI247">$AI$238-(($AI$238-$AI$248)/0.1)*(AG240-$AG$238)</f>
        <v>0.030199999999999998</v>
      </c>
      <c r="AJ240" s="72">
        <f aca="true" t="shared" si="30" ref="AJ240:AJ247">$AJ$238-(($AJ$238-$AJ$248)/0.1)*(AG240-$AG$238)</f>
        <v>0.0458</v>
      </c>
      <c r="AK240" s="84">
        <v>0.720000000000001</v>
      </c>
      <c r="AL240" s="73">
        <v>0.041</v>
      </c>
      <c r="AM240" s="73">
        <v>0.021</v>
      </c>
      <c r="AN240" s="73">
        <v>0.031</v>
      </c>
      <c r="AP240" s="85">
        <v>0.720000000000001</v>
      </c>
      <c r="AQ240" s="75">
        <f aca="true" t="shared" si="31" ref="AQ240:AQ247">$AQ$238-(($AQ$238-$AQ$248)/0.1)*(AP240-$AP$238)</f>
        <v>0.0696</v>
      </c>
      <c r="AR240" s="75">
        <f aca="true" t="shared" si="32" ref="AR240:AR247">$AR$238-(($AR$238-$AR$248)/0.1)*(AP240-$AP$238)</f>
        <v>0.035199999999999995</v>
      </c>
      <c r="AS240" s="75">
        <f aca="true" t="shared" si="33" ref="AS240:AS247">$AS$238-(($AS$238-$AS$248)/0.1)*(AP240-$AP$238)</f>
        <v>0.0528</v>
      </c>
      <c r="AT240" s="85">
        <v>0.720000000000001</v>
      </c>
      <c r="AU240" s="76">
        <v>0.049</v>
      </c>
      <c r="AV240" s="76">
        <v>0.025</v>
      </c>
      <c r="AW240" s="76">
        <v>0.037</v>
      </c>
      <c r="AY240" s="86">
        <v>0.720000000000001</v>
      </c>
      <c r="AZ240" s="78">
        <f aca="true" t="shared" si="34" ref="AZ240:AZ247">$AZ$238-(($AZ$238-$AZ$248)/0.1)*(AY240-$AY$238)</f>
        <v>0.0804</v>
      </c>
      <c r="BA240" s="78">
        <f aca="true" t="shared" si="35" ref="BA240:BA247">$BA$238-(($BA$238-$BA$248)/0.1)*(AY240-$AY$238)</f>
        <v>0.0402</v>
      </c>
      <c r="BB240" s="78">
        <f aca="true" t="shared" si="36" ref="BB240:BB247">$BB$238-(($BB$238-$BB$248)/0.1)*(AY240-$AY$238)</f>
        <v>0.0608</v>
      </c>
      <c r="BC240" s="86">
        <v>0.720000000000001</v>
      </c>
      <c r="BD240" s="79">
        <v>0.058</v>
      </c>
      <c r="BE240" s="79">
        <v>0.029</v>
      </c>
      <c r="BF240" s="79">
        <v>0.044</v>
      </c>
      <c r="BH240" s="87">
        <v>0.720000000000001</v>
      </c>
      <c r="BI240" s="81">
        <v>0</v>
      </c>
      <c r="BJ240" s="81">
        <f aca="true" t="shared" si="37" ref="BJ240:BJ247">$BJ$238-(($BJ$238-$BJ$248)/0.1)*(BH240-$BH$238)</f>
        <v>0.0462</v>
      </c>
      <c r="BK240" s="81">
        <f aca="true" t="shared" si="38" ref="BK240:BK247">$BK$238-(($BK$238-$BK$248)/0.1)*(BH240-$BH$238)</f>
        <v>0.07039999999999999</v>
      </c>
      <c r="BL240" s="87">
        <v>0.720000000000001</v>
      </c>
      <c r="BM240" s="82">
        <v>0</v>
      </c>
      <c r="BN240" s="82">
        <v>0.033</v>
      </c>
      <c r="BO240" s="82">
        <v>0.05</v>
      </c>
    </row>
    <row r="241" spans="24:67" s="6" customFormat="1" ht="11.25" customHeight="1">
      <c r="X241" s="83">
        <v>0.730000000000001</v>
      </c>
      <c r="Y241" s="69">
        <f t="shared" si="26"/>
        <v>0.052899999999999996</v>
      </c>
      <c r="Z241" s="69">
        <v>0</v>
      </c>
      <c r="AA241" s="69">
        <f t="shared" si="28"/>
        <v>0.0395</v>
      </c>
      <c r="AB241" s="83">
        <v>0.730000000000001</v>
      </c>
      <c r="AC241" s="70">
        <v>0.033</v>
      </c>
      <c r="AD241" s="70">
        <v>0</v>
      </c>
      <c r="AE241" s="70">
        <v>0.025</v>
      </c>
      <c r="AG241" s="84">
        <v>0.730000000000001</v>
      </c>
      <c r="AH241" s="72">
        <f t="shared" si="27"/>
        <v>0.059899999999999995</v>
      </c>
      <c r="AI241" s="72">
        <f t="shared" si="29"/>
        <v>0.0298</v>
      </c>
      <c r="AJ241" s="72">
        <f t="shared" si="30"/>
        <v>0.0452</v>
      </c>
      <c r="AK241" s="84">
        <v>0.730000000000001</v>
      </c>
      <c r="AL241" s="73">
        <v>0.041</v>
      </c>
      <c r="AM241" s="73">
        <v>0.021</v>
      </c>
      <c r="AN241" s="73">
        <v>0.031</v>
      </c>
      <c r="AP241" s="85">
        <v>0.730000000000001</v>
      </c>
      <c r="AQ241" s="75">
        <f t="shared" si="31"/>
        <v>0.06889999999999999</v>
      </c>
      <c r="AR241" s="75">
        <f t="shared" si="32"/>
        <v>0.0348</v>
      </c>
      <c r="AS241" s="75">
        <f t="shared" si="33"/>
        <v>0.052199999999999996</v>
      </c>
      <c r="AT241" s="85">
        <v>0.730000000000001</v>
      </c>
      <c r="AU241" s="76">
        <v>0.049</v>
      </c>
      <c r="AV241" s="76">
        <v>0.025</v>
      </c>
      <c r="AW241" s="76">
        <v>0.037</v>
      </c>
      <c r="AY241" s="86">
        <v>0.730000000000001</v>
      </c>
      <c r="AZ241" s="78">
        <f t="shared" si="34"/>
        <v>0.0796</v>
      </c>
      <c r="BA241" s="78">
        <f t="shared" si="35"/>
        <v>0.0398</v>
      </c>
      <c r="BB241" s="78">
        <f t="shared" si="36"/>
        <v>0.0602</v>
      </c>
      <c r="BC241" s="86">
        <v>0.730000000000001</v>
      </c>
      <c r="BD241" s="79">
        <v>0.058</v>
      </c>
      <c r="BE241" s="79">
        <v>0.029</v>
      </c>
      <c r="BF241" s="79">
        <v>0.044</v>
      </c>
      <c r="BH241" s="87">
        <v>0.730000000000001</v>
      </c>
      <c r="BI241" s="81">
        <v>0</v>
      </c>
      <c r="BJ241" s="81">
        <f t="shared" si="37"/>
        <v>0.0458</v>
      </c>
      <c r="BK241" s="81">
        <f t="shared" si="38"/>
        <v>0.0696</v>
      </c>
      <c r="BL241" s="87">
        <v>0.730000000000001</v>
      </c>
      <c r="BM241" s="82">
        <v>0</v>
      </c>
      <c r="BN241" s="82">
        <v>0.033</v>
      </c>
      <c r="BO241" s="82">
        <v>0.05</v>
      </c>
    </row>
    <row r="242" spans="24:67" s="6" customFormat="1" ht="11.25" customHeight="1">
      <c r="X242" s="83">
        <v>0.740000000000001</v>
      </c>
      <c r="Y242" s="69">
        <f t="shared" si="26"/>
        <v>0.052199999999999996</v>
      </c>
      <c r="Z242" s="69">
        <v>0</v>
      </c>
      <c r="AA242" s="69">
        <f t="shared" si="28"/>
        <v>0.039</v>
      </c>
      <c r="AB242" s="83">
        <v>0.740000000000001</v>
      </c>
      <c r="AC242" s="70">
        <v>0.033</v>
      </c>
      <c r="AD242" s="70">
        <v>0</v>
      </c>
      <c r="AE242" s="70">
        <v>0.025</v>
      </c>
      <c r="AG242" s="84">
        <v>0.740000000000001</v>
      </c>
      <c r="AH242" s="72">
        <f t="shared" si="27"/>
        <v>0.059199999999999996</v>
      </c>
      <c r="AI242" s="72">
        <f t="shared" si="29"/>
        <v>0.0294</v>
      </c>
      <c r="AJ242" s="72">
        <f t="shared" si="30"/>
        <v>0.0446</v>
      </c>
      <c r="AK242" s="84">
        <v>0.740000000000001</v>
      </c>
      <c r="AL242" s="73">
        <v>0.041</v>
      </c>
      <c r="AM242" s="73">
        <v>0.021</v>
      </c>
      <c r="AN242" s="73">
        <v>0.031</v>
      </c>
      <c r="AP242" s="85">
        <v>0.740000000000001</v>
      </c>
      <c r="AQ242" s="75">
        <f t="shared" si="31"/>
        <v>0.0682</v>
      </c>
      <c r="AR242" s="75">
        <f t="shared" si="32"/>
        <v>0.0344</v>
      </c>
      <c r="AS242" s="75">
        <f t="shared" si="33"/>
        <v>0.0516</v>
      </c>
      <c r="AT242" s="85">
        <v>0.740000000000001</v>
      </c>
      <c r="AU242" s="76">
        <v>0.049</v>
      </c>
      <c r="AV242" s="76">
        <v>0.025</v>
      </c>
      <c r="AW242" s="76">
        <v>0.037</v>
      </c>
      <c r="AY242" s="86">
        <v>0.740000000000001</v>
      </c>
      <c r="AZ242" s="78">
        <f t="shared" si="34"/>
        <v>0.0788</v>
      </c>
      <c r="BA242" s="78">
        <f t="shared" si="35"/>
        <v>0.0394</v>
      </c>
      <c r="BB242" s="78">
        <f t="shared" si="36"/>
        <v>0.0596</v>
      </c>
      <c r="BC242" s="86">
        <v>0.740000000000001</v>
      </c>
      <c r="BD242" s="79">
        <v>0.058</v>
      </c>
      <c r="BE242" s="79">
        <v>0.029</v>
      </c>
      <c r="BF242" s="79">
        <v>0.044</v>
      </c>
      <c r="BH242" s="87">
        <v>0.740000000000001</v>
      </c>
      <c r="BI242" s="81">
        <v>0</v>
      </c>
      <c r="BJ242" s="81">
        <f t="shared" si="37"/>
        <v>0.045399999999999996</v>
      </c>
      <c r="BK242" s="81">
        <f t="shared" si="38"/>
        <v>0.0688</v>
      </c>
      <c r="BL242" s="87">
        <v>0.740000000000001</v>
      </c>
      <c r="BM242" s="82">
        <v>0</v>
      </c>
      <c r="BN242" s="82">
        <v>0.033</v>
      </c>
      <c r="BO242" s="82">
        <v>0.05</v>
      </c>
    </row>
    <row r="243" spans="24:67" s="6" customFormat="1" ht="11.25" customHeight="1">
      <c r="X243" s="83">
        <v>0.750000000000001</v>
      </c>
      <c r="Y243" s="69">
        <f t="shared" si="26"/>
        <v>0.0515</v>
      </c>
      <c r="Z243" s="69">
        <v>0</v>
      </c>
      <c r="AA243" s="69">
        <f t="shared" si="28"/>
        <v>0.0385</v>
      </c>
      <c r="AB243" s="83">
        <v>0.750000000000001</v>
      </c>
      <c r="AC243" s="70">
        <v>0.033</v>
      </c>
      <c r="AD243" s="70">
        <v>0</v>
      </c>
      <c r="AE243" s="70">
        <v>0.025</v>
      </c>
      <c r="AG243" s="84">
        <v>0.750000000000001</v>
      </c>
      <c r="AH243" s="72">
        <f t="shared" si="27"/>
        <v>0.058499999999999996</v>
      </c>
      <c r="AI243" s="72">
        <f t="shared" si="29"/>
        <v>0.028999999999999998</v>
      </c>
      <c r="AJ243" s="72">
        <f t="shared" si="30"/>
        <v>0.044</v>
      </c>
      <c r="AK243" s="84">
        <v>0.750000000000001</v>
      </c>
      <c r="AL243" s="73">
        <v>0.041</v>
      </c>
      <c r="AM243" s="73">
        <v>0.021</v>
      </c>
      <c r="AN243" s="73">
        <v>0.031</v>
      </c>
      <c r="AP243" s="85">
        <v>0.750000000000001</v>
      </c>
      <c r="AQ243" s="75">
        <f t="shared" si="31"/>
        <v>0.06749999999999999</v>
      </c>
      <c r="AR243" s="75">
        <f t="shared" si="32"/>
        <v>0.033999999999999996</v>
      </c>
      <c r="AS243" s="75">
        <f t="shared" si="33"/>
        <v>0.051</v>
      </c>
      <c r="AT243" s="85">
        <v>0.750000000000001</v>
      </c>
      <c r="AU243" s="76">
        <v>0.049</v>
      </c>
      <c r="AV243" s="76">
        <v>0.025</v>
      </c>
      <c r="AW243" s="76">
        <v>0.037</v>
      </c>
      <c r="AY243" s="86">
        <v>0.750000000000001</v>
      </c>
      <c r="AZ243" s="78">
        <f t="shared" si="34"/>
        <v>0.078</v>
      </c>
      <c r="BA243" s="78">
        <f t="shared" si="35"/>
        <v>0.039</v>
      </c>
      <c r="BB243" s="78">
        <f t="shared" si="36"/>
        <v>0.059</v>
      </c>
      <c r="BC243" s="86">
        <v>0.750000000000001</v>
      </c>
      <c r="BD243" s="79">
        <v>0.058</v>
      </c>
      <c r="BE243" s="79">
        <v>0.029</v>
      </c>
      <c r="BF243" s="79">
        <v>0.044</v>
      </c>
      <c r="BH243" s="87">
        <v>0.750000000000001</v>
      </c>
      <c r="BI243" s="81">
        <v>0</v>
      </c>
      <c r="BJ243" s="81">
        <f t="shared" si="37"/>
        <v>0.045</v>
      </c>
      <c r="BK243" s="81">
        <f t="shared" si="38"/>
        <v>0.06799999999999999</v>
      </c>
      <c r="BL243" s="87">
        <v>0.750000000000001</v>
      </c>
      <c r="BM243" s="82">
        <v>0</v>
      </c>
      <c r="BN243" s="82">
        <v>0.033</v>
      </c>
      <c r="BO243" s="82">
        <v>0.05</v>
      </c>
    </row>
    <row r="244" spans="24:67" s="6" customFormat="1" ht="11.25" customHeight="1">
      <c r="X244" s="83">
        <v>0.760000000000001</v>
      </c>
      <c r="Y244" s="69">
        <f t="shared" si="26"/>
        <v>0.0508</v>
      </c>
      <c r="Z244" s="69">
        <v>0</v>
      </c>
      <c r="AA244" s="69">
        <f t="shared" si="28"/>
        <v>0.038</v>
      </c>
      <c r="AB244" s="83">
        <v>0.760000000000001</v>
      </c>
      <c r="AC244" s="70">
        <v>0.033</v>
      </c>
      <c r="AD244" s="70">
        <v>0</v>
      </c>
      <c r="AE244" s="70">
        <v>0.025</v>
      </c>
      <c r="AG244" s="84">
        <v>0.760000000000001</v>
      </c>
      <c r="AH244" s="72">
        <f t="shared" si="27"/>
        <v>0.0578</v>
      </c>
      <c r="AI244" s="72">
        <f t="shared" si="29"/>
        <v>0.028599999999999997</v>
      </c>
      <c r="AJ244" s="72">
        <f t="shared" si="30"/>
        <v>0.0434</v>
      </c>
      <c r="AK244" s="84">
        <v>0.760000000000001</v>
      </c>
      <c r="AL244" s="73">
        <v>0.041</v>
      </c>
      <c r="AM244" s="73">
        <v>0.021</v>
      </c>
      <c r="AN244" s="73">
        <v>0.031</v>
      </c>
      <c r="AP244" s="85">
        <v>0.760000000000001</v>
      </c>
      <c r="AQ244" s="75">
        <f t="shared" si="31"/>
        <v>0.0668</v>
      </c>
      <c r="AR244" s="75">
        <f t="shared" si="32"/>
        <v>0.0336</v>
      </c>
      <c r="AS244" s="75">
        <f t="shared" si="33"/>
        <v>0.0504</v>
      </c>
      <c r="AT244" s="85">
        <v>0.760000000000001</v>
      </c>
      <c r="AU244" s="76">
        <v>0.049</v>
      </c>
      <c r="AV244" s="76">
        <v>0.025</v>
      </c>
      <c r="AW244" s="76">
        <v>0.037</v>
      </c>
      <c r="AY244" s="86">
        <v>0.760000000000001</v>
      </c>
      <c r="AZ244" s="78">
        <f t="shared" si="34"/>
        <v>0.07719999999999999</v>
      </c>
      <c r="BA244" s="78">
        <f t="shared" si="35"/>
        <v>0.038599999999999995</v>
      </c>
      <c r="BB244" s="78">
        <f t="shared" si="36"/>
        <v>0.0584</v>
      </c>
      <c r="BC244" s="86">
        <v>0.760000000000001</v>
      </c>
      <c r="BD244" s="79">
        <v>0.058</v>
      </c>
      <c r="BE244" s="79">
        <v>0.029</v>
      </c>
      <c r="BF244" s="79">
        <v>0.044</v>
      </c>
      <c r="BH244" s="87">
        <v>0.760000000000001</v>
      </c>
      <c r="BI244" s="81">
        <v>0</v>
      </c>
      <c r="BJ244" s="81">
        <f t="shared" si="37"/>
        <v>0.044599999999999994</v>
      </c>
      <c r="BK244" s="81">
        <f t="shared" si="38"/>
        <v>0.0672</v>
      </c>
      <c r="BL244" s="87">
        <v>0.760000000000001</v>
      </c>
      <c r="BM244" s="82">
        <v>0</v>
      </c>
      <c r="BN244" s="82">
        <v>0.033</v>
      </c>
      <c r="BO244" s="82">
        <v>0.05</v>
      </c>
    </row>
    <row r="245" spans="24:67" s="6" customFormat="1" ht="11.25" customHeight="1">
      <c r="X245" s="83">
        <v>0.770000000000001</v>
      </c>
      <c r="Y245" s="69">
        <f t="shared" si="26"/>
        <v>0.0501</v>
      </c>
      <c r="Z245" s="69">
        <v>0</v>
      </c>
      <c r="AA245" s="69">
        <f t="shared" si="28"/>
        <v>0.0375</v>
      </c>
      <c r="AB245" s="83">
        <v>0.770000000000001</v>
      </c>
      <c r="AC245" s="70">
        <v>0.033</v>
      </c>
      <c r="AD245" s="70">
        <v>0</v>
      </c>
      <c r="AE245" s="70">
        <v>0.025</v>
      </c>
      <c r="AG245" s="84">
        <v>0.770000000000001</v>
      </c>
      <c r="AH245" s="72">
        <f t="shared" si="27"/>
        <v>0.0571</v>
      </c>
      <c r="AI245" s="72">
        <f t="shared" si="29"/>
        <v>0.028199999999999996</v>
      </c>
      <c r="AJ245" s="72">
        <f t="shared" si="30"/>
        <v>0.0428</v>
      </c>
      <c r="AK245" s="84">
        <v>0.770000000000001</v>
      </c>
      <c r="AL245" s="73">
        <v>0.041</v>
      </c>
      <c r="AM245" s="73">
        <v>0.021</v>
      </c>
      <c r="AN245" s="73">
        <v>0.031</v>
      </c>
      <c r="AP245" s="85">
        <v>0.770000000000001</v>
      </c>
      <c r="AQ245" s="75">
        <f t="shared" si="31"/>
        <v>0.06609999999999999</v>
      </c>
      <c r="AR245" s="75">
        <f t="shared" si="32"/>
        <v>0.0332</v>
      </c>
      <c r="AS245" s="75">
        <f t="shared" si="33"/>
        <v>0.0498</v>
      </c>
      <c r="AT245" s="85">
        <v>0.770000000000001</v>
      </c>
      <c r="AU245" s="76">
        <v>0.049</v>
      </c>
      <c r="AV245" s="76">
        <v>0.025</v>
      </c>
      <c r="AW245" s="76">
        <v>0.037</v>
      </c>
      <c r="AY245" s="86">
        <v>0.770000000000001</v>
      </c>
      <c r="AZ245" s="78">
        <f t="shared" si="34"/>
        <v>0.0764</v>
      </c>
      <c r="BA245" s="78">
        <f t="shared" si="35"/>
        <v>0.0382</v>
      </c>
      <c r="BB245" s="78">
        <f t="shared" si="36"/>
        <v>0.0578</v>
      </c>
      <c r="BC245" s="86">
        <v>0.770000000000001</v>
      </c>
      <c r="BD245" s="79">
        <v>0.058</v>
      </c>
      <c r="BE245" s="79">
        <v>0.029</v>
      </c>
      <c r="BF245" s="79">
        <v>0.044</v>
      </c>
      <c r="BH245" s="87">
        <v>0.770000000000001</v>
      </c>
      <c r="BI245" s="81">
        <v>0</v>
      </c>
      <c r="BJ245" s="81">
        <f t="shared" si="37"/>
        <v>0.044199999999999996</v>
      </c>
      <c r="BK245" s="81">
        <f t="shared" si="38"/>
        <v>0.0664</v>
      </c>
      <c r="BL245" s="87">
        <v>0.770000000000001</v>
      </c>
      <c r="BM245" s="82">
        <v>0</v>
      </c>
      <c r="BN245" s="82">
        <v>0.033</v>
      </c>
      <c r="BO245" s="82">
        <v>0.05</v>
      </c>
    </row>
    <row r="246" spans="24:67" s="6" customFormat="1" ht="11.25" customHeight="1">
      <c r="X246" s="83">
        <v>0.780000000000001</v>
      </c>
      <c r="Y246" s="69">
        <f t="shared" si="26"/>
        <v>0.0494</v>
      </c>
      <c r="Z246" s="69">
        <v>0</v>
      </c>
      <c r="AA246" s="69">
        <f t="shared" si="28"/>
        <v>0.03699999999999999</v>
      </c>
      <c r="AB246" s="83">
        <v>0.780000000000001</v>
      </c>
      <c r="AC246" s="70">
        <v>0.033</v>
      </c>
      <c r="AD246" s="70">
        <v>0</v>
      </c>
      <c r="AE246" s="70">
        <v>0.025</v>
      </c>
      <c r="AG246" s="84">
        <v>0.780000000000001</v>
      </c>
      <c r="AH246" s="72">
        <f t="shared" si="27"/>
        <v>0.05639999999999999</v>
      </c>
      <c r="AI246" s="72">
        <f t="shared" si="29"/>
        <v>0.0278</v>
      </c>
      <c r="AJ246" s="72">
        <f t="shared" si="30"/>
        <v>0.042199999999999994</v>
      </c>
      <c r="AK246" s="84">
        <v>0.780000000000001</v>
      </c>
      <c r="AL246" s="73">
        <v>0.041</v>
      </c>
      <c r="AM246" s="73">
        <v>0.021</v>
      </c>
      <c r="AN246" s="73">
        <v>0.031</v>
      </c>
      <c r="AP246" s="85">
        <v>0.780000000000001</v>
      </c>
      <c r="AQ246" s="75">
        <f t="shared" si="31"/>
        <v>0.0654</v>
      </c>
      <c r="AR246" s="75">
        <f t="shared" si="32"/>
        <v>0.032799999999999996</v>
      </c>
      <c r="AS246" s="75">
        <f t="shared" si="33"/>
        <v>0.049199999999999994</v>
      </c>
      <c r="AT246" s="85">
        <v>0.780000000000001</v>
      </c>
      <c r="AU246" s="76">
        <v>0.049</v>
      </c>
      <c r="AV246" s="76">
        <v>0.025</v>
      </c>
      <c r="AW246" s="76">
        <v>0.037</v>
      </c>
      <c r="AY246" s="86">
        <v>0.780000000000001</v>
      </c>
      <c r="AZ246" s="78">
        <f t="shared" si="34"/>
        <v>0.07559999999999999</v>
      </c>
      <c r="BA246" s="78">
        <f t="shared" si="35"/>
        <v>0.03779999999999999</v>
      </c>
      <c r="BB246" s="78">
        <f t="shared" si="36"/>
        <v>0.057199999999999994</v>
      </c>
      <c r="BC246" s="86">
        <v>0.780000000000001</v>
      </c>
      <c r="BD246" s="79">
        <v>0.058</v>
      </c>
      <c r="BE246" s="79">
        <v>0.029</v>
      </c>
      <c r="BF246" s="79">
        <v>0.044</v>
      </c>
      <c r="BH246" s="87">
        <v>0.780000000000001</v>
      </c>
      <c r="BI246" s="81">
        <v>0</v>
      </c>
      <c r="BJ246" s="81">
        <f t="shared" si="37"/>
        <v>0.04379999999999999</v>
      </c>
      <c r="BK246" s="81">
        <f t="shared" si="38"/>
        <v>0.06559999999999999</v>
      </c>
      <c r="BL246" s="87">
        <v>0.780000000000001</v>
      </c>
      <c r="BM246" s="82">
        <v>0</v>
      </c>
      <c r="BN246" s="82">
        <v>0.033</v>
      </c>
      <c r="BO246" s="82">
        <v>0.05</v>
      </c>
    </row>
    <row r="247" spans="24:67" s="6" customFormat="1" ht="11.25" customHeight="1">
      <c r="X247" s="83">
        <v>0.790000000000001</v>
      </c>
      <c r="Y247" s="69">
        <f t="shared" si="26"/>
        <v>0.04869999999999999</v>
      </c>
      <c r="Z247" s="69">
        <v>0</v>
      </c>
      <c r="AA247" s="69">
        <f t="shared" si="28"/>
        <v>0.03649999999999999</v>
      </c>
      <c r="AB247" s="83">
        <v>0.790000000000001</v>
      </c>
      <c r="AC247" s="70">
        <v>0.033</v>
      </c>
      <c r="AD247" s="70">
        <v>0</v>
      </c>
      <c r="AE247" s="70">
        <v>0.025</v>
      </c>
      <c r="AG247" s="84">
        <v>0.790000000000001</v>
      </c>
      <c r="AH247" s="72">
        <f t="shared" si="27"/>
        <v>0.05569999999999999</v>
      </c>
      <c r="AI247" s="72">
        <f t="shared" si="29"/>
        <v>0.027399999999999997</v>
      </c>
      <c r="AJ247" s="72">
        <f t="shared" si="30"/>
        <v>0.0416</v>
      </c>
      <c r="AK247" s="84">
        <v>0.790000000000001</v>
      </c>
      <c r="AL247" s="73">
        <v>0.041</v>
      </c>
      <c r="AM247" s="73">
        <v>0.021</v>
      </c>
      <c r="AN247" s="73">
        <v>0.031</v>
      </c>
      <c r="AP247" s="85">
        <v>0.790000000000001</v>
      </c>
      <c r="AQ247" s="75">
        <f t="shared" si="31"/>
        <v>0.0647</v>
      </c>
      <c r="AR247" s="75">
        <f t="shared" si="32"/>
        <v>0.0324</v>
      </c>
      <c r="AS247" s="75">
        <f t="shared" si="33"/>
        <v>0.0486</v>
      </c>
      <c r="AT247" s="85">
        <v>0.790000000000001</v>
      </c>
      <c r="AU247" s="76">
        <v>0.049</v>
      </c>
      <c r="AV247" s="76">
        <v>0.025</v>
      </c>
      <c r="AW247" s="76">
        <v>0.037</v>
      </c>
      <c r="AY247" s="86">
        <v>0.790000000000001</v>
      </c>
      <c r="AZ247" s="78">
        <f t="shared" si="34"/>
        <v>0.07479999999999999</v>
      </c>
      <c r="BA247" s="78">
        <f t="shared" si="35"/>
        <v>0.037399999999999996</v>
      </c>
      <c r="BB247" s="78">
        <f t="shared" si="36"/>
        <v>0.0566</v>
      </c>
      <c r="BC247" s="86">
        <v>0.790000000000001</v>
      </c>
      <c r="BD247" s="79">
        <v>0.058</v>
      </c>
      <c r="BE247" s="79">
        <v>0.029</v>
      </c>
      <c r="BF247" s="79">
        <v>0.044</v>
      </c>
      <c r="BH247" s="87">
        <v>0.790000000000001</v>
      </c>
      <c r="BI247" s="81">
        <v>0</v>
      </c>
      <c r="BJ247" s="81">
        <f t="shared" si="37"/>
        <v>0.043399999999999994</v>
      </c>
      <c r="BK247" s="81">
        <f t="shared" si="38"/>
        <v>0.0648</v>
      </c>
      <c r="BL247" s="87">
        <v>0.790000000000001</v>
      </c>
      <c r="BM247" s="82">
        <v>0</v>
      </c>
      <c r="BN247" s="82">
        <v>0.033</v>
      </c>
      <c r="BO247" s="82">
        <v>0.05</v>
      </c>
    </row>
    <row r="248" spans="24:67" s="6" customFormat="1" ht="11.25" customHeight="1">
      <c r="X248" s="88">
        <v>0.800000000000001</v>
      </c>
      <c r="Y248" s="89">
        <v>0.048</v>
      </c>
      <c r="Z248" s="89">
        <v>0</v>
      </c>
      <c r="AA248" s="89">
        <v>0.036</v>
      </c>
      <c r="AB248" s="83">
        <v>0.800000000000001</v>
      </c>
      <c r="AC248" s="70">
        <v>0.033</v>
      </c>
      <c r="AD248" s="70">
        <v>0</v>
      </c>
      <c r="AE248" s="70">
        <v>0.025</v>
      </c>
      <c r="AG248" s="90">
        <v>0.800000000000001</v>
      </c>
      <c r="AH248" s="91">
        <v>0.055</v>
      </c>
      <c r="AI248" s="91">
        <v>0.027</v>
      </c>
      <c r="AJ248" s="91">
        <v>0.041</v>
      </c>
      <c r="AK248" s="84">
        <v>0.800000000000001</v>
      </c>
      <c r="AL248" s="73">
        <v>0.041</v>
      </c>
      <c r="AM248" s="73">
        <v>0.021</v>
      </c>
      <c r="AN248" s="73">
        <v>0.031</v>
      </c>
      <c r="AP248" s="92">
        <v>0.800000000000001</v>
      </c>
      <c r="AQ248" s="93">
        <v>0.064</v>
      </c>
      <c r="AR248" s="93">
        <v>0.032</v>
      </c>
      <c r="AS248" s="93">
        <v>0.048</v>
      </c>
      <c r="AT248" s="85">
        <v>0.800000000000001</v>
      </c>
      <c r="AU248" s="76">
        <v>0.049</v>
      </c>
      <c r="AV248" s="76">
        <v>0.025</v>
      </c>
      <c r="AW248" s="76">
        <v>0.037</v>
      </c>
      <c r="AY248" s="94">
        <v>0.800000000000001</v>
      </c>
      <c r="AZ248" s="95">
        <v>0.074</v>
      </c>
      <c r="BA248" s="95">
        <v>0.037</v>
      </c>
      <c r="BB248" s="95">
        <v>0.056</v>
      </c>
      <c r="BC248" s="86">
        <v>0.800000000000001</v>
      </c>
      <c r="BD248" s="79">
        <v>0.058</v>
      </c>
      <c r="BE248" s="79">
        <v>0.029</v>
      </c>
      <c r="BF248" s="79">
        <v>0.044</v>
      </c>
      <c r="BH248" s="96">
        <v>0.800000000000001</v>
      </c>
      <c r="BI248" s="97">
        <v>0</v>
      </c>
      <c r="BJ248" s="97">
        <v>0.043</v>
      </c>
      <c r="BK248" s="97">
        <v>0.064</v>
      </c>
      <c r="BL248" s="87">
        <v>0.800000000000001</v>
      </c>
      <c r="BM248" s="82">
        <v>0</v>
      </c>
      <c r="BN248" s="82">
        <v>0.033</v>
      </c>
      <c r="BO248" s="82">
        <v>0.05</v>
      </c>
    </row>
    <row r="249" spans="24:67" s="6" customFormat="1" ht="11.25" customHeight="1">
      <c r="X249" s="83">
        <v>0.810000000000001</v>
      </c>
      <c r="Y249" s="69">
        <f aca="true" t="shared" si="39" ref="Y249:Y257">0.048-((0.048-0.04)/0.1)*(X249-$X$248)</f>
        <v>0.0472</v>
      </c>
      <c r="Z249" s="69">
        <v>0</v>
      </c>
      <c r="AA249" s="69">
        <f>0.036-((0.036-0.03)/0.1)*(X249-$X$248)</f>
        <v>0.035399999999999994</v>
      </c>
      <c r="AB249" s="83">
        <v>0.810000000000001</v>
      </c>
      <c r="AC249" s="70">
        <v>0.033</v>
      </c>
      <c r="AD249" s="70">
        <v>0</v>
      </c>
      <c r="AE249" s="70">
        <v>0.025</v>
      </c>
      <c r="AG249" s="84">
        <v>0.810000000000001</v>
      </c>
      <c r="AH249" s="72">
        <f aca="true" t="shared" si="40" ref="AH249:AH257">$AH$248-(($AH$248-$AH$258)/0.1)*(AG249-$AG$248)</f>
        <v>0.0543</v>
      </c>
      <c r="AI249" s="72">
        <f>$AI$248-(($AI$248-$AI$258)/0.1)*(AG249-$AG$248)</f>
        <v>0.026699999999999998</v>
      </c>
      <c r="AJ249" s="72">
        <f>$AJ$248-(($AJ$248-$AJ$258)/0.1)*(AG249-$AG$248)</f>
        <v>0.0405</v>
      </c>
      <c r="AK249" s="84">
        <v>0.810000000000001</v>
      </c>
      <c r="AL249" s="73">
        <v>0.041</v>
      </c>
      <c r="AM249" s="73">
        <v>0.021</v>
      </c>
      <c r="AN249" s="73">
        <v>0.031</v>
      </c>
      <c r="AP249" s="85">
        <v>0.810000000000001</v>
      </c>
      <c r="AQ249" s="75">
        <f>$AQ$248-(($AQ$248-$AQ$258)/0.1)*(AP249-$AP$248)</f>
        <v>0.0633</v>
      </c>
      <c r="AR249" s="75">
        <f>$AR$248-(($AR$248-$AR$258)/0.1)*(AP249-$AP$248)</f>
        <v>0.0316</v>
      </c>
      <c r="AS249" s="75">
        <f>$AS$248-(($AS$248-$AS$258)/0.1)*(AP249-$AP$248)</f>
        <v>0.0475</v>
      </c>
      <c r="AT249" s="85">
        <v>0.810000000000001</v>
      </c>
      <c r="AU249" s="76">
        <v>0.049</v>
      </c>
      <c r="AV249" s="76">
        <v>0.025</v>
      </c>
      <c r="AW249" s="76">
        <v>0.037</v>
      </c>
      <c r="AY249" s="86">
        <v>0.810000000000001</v>
      </c>
      <c r="AZ249" s="78">
        <f>$AZ$248-(($AZ$248-$AZ$258)/0.1)*(AY249-$AY$248)</f>
        <v>0.0732</v>
      </c>
      <c r="BA249" s="78">
        <f>$BA$248-(($BA$248-$BA$258)/0.1)*(AY249-$AY$248)</f>
        <v>0.0366</v>
      </c>
      <c r="BB249" s="78">
        <f>$BB$248-(($BB$248-$BB$258)/0.1)*(AY249-$AY$248)</f>
        <v>0.0554</v>
      </c>
      <c r="BC249" s="86">
        <v>0.810000000000001</v>
      </c>
      <c r="BD249" s="79">
        <v>0.058</v>
      </c>
      <c r="BE249" s="79">
        <v>0.029</v>
      </c>
      <c r="BF249" s="79">
        <v>0.044</v>
      </c>
      <c r="BH249" s="87">
        <v>0.810000000000001</v>
      </c>
      <c r="BI249" s="81">
        <v>0</v>
      </c>
      <c r="BJ249" s="81">
        <f>$BJ$248-(($BJ$248-$BJ$258)/0.1)*(BH249-$BH$248)</f>
        <v>0.042499999999999996</v>
      </c>
      <c r="BK249" s="81">
        <f>$BK$238-(($BK$238-$BK$248)/0.1)*(BH249-$BH$238)</f>
        <v>0.06319999999999999</v>
      </c>
      <c r="BL249" s="87">
        <v>0.810000000000001</v>
      </c>
      <c r="BM249" s="82">
        <v>0</v>
      </c>
      <c r="BN249" s="82">
        <v>0.033</v>
      </c>
      <c r="BO249" s="82">
        <v>0.05</v>
      </c>
    </row>
    <row r="250" spans="24:67" s="6" customFormat="1" ht="11.25" customHeight="1">
      <c r="X250" s="83">
        <v>0.820000000000001</v>
      </c>
      <c r="Y250" s="69">
        <f t="shared" si="39"/>
        <v>0.04640000000000001</v>
      </c>
      <c r="Z250" s="69">
        <v>0</v>
      </c>
      <c r="AA250" s="69">
        <f aca="true" t="shared" si="41" ref="AA250:AA257">0.036-((0.036-0.03)/0.1)*(X250-$X$248)</f>
        <v>0.034800000000000005</v>
      </c>
      <c r="AB250" s="83">
        <v>0.820000000000001</v>
      </c>
      <c r="AC250" s="70">
        <v>0.033</v>
      </c>
      <c r="AD250" s="70">
        <v>0</v>
      </c>
      <c r="AE250" s="70">
        <v>0.025</v>
      </c>
      <c r="AG250" s="84">
        <v>0.820000000000001</v>
      </c>
      <c r="AH250" s="72">
        <f t="shared" si="40"/>
        <v>0.05360000000000001</v>
      </c>
      <c r="AI250" s="72">
        <f aca="true" t="shared" si="42" ref="AI250:AI257">$AI$248-(($AI$248-$AI$258)/0.1)*(AG250-$AG$248)</f>
        <v>0.026400000000000003</v>
      </c>
      <c r="AJ250" s="72">
        <f aca="true" t="shared" si="43" ref="AJ250:AJ257">$AJ$248-(($AJ$248-$AJ$258)/0.1)*(AG250-$AG$248)</f>
        <v>0.04000000000000001</v>
      </c>
      <c r="AK250" s="84">
        <v>0.820000000000001</v>
      </c>
      <c r="AL250" s="73">
        <v>0.041</v>
      </c>
      <c r="AM250" s="73">
        <v>0.021</v>
      </c>
      <c r="AN250" s="73">
        <v>0.031</v>
      </c>
      <c r="AP250" s="85">
        <v>0.820000000000001</v>
      </c>
      <c r="AQ250" s="75">
        <f aca="true" t="shared" si="44" ref="AQ250:AQ257">$AQ$248-(($AQ$248-$AQ$258)/0.1)*(AP250-$AP$248)</f>
        <v>0.0626</v>
      </c>
      <c r="AR250" s="75">
        <f aca="true" t="shared" si="45" ref="AR250:AR257">$AR$248-(($AR$248-$AR$258)/0.1)*(AP250-$AP$248)</f>
        <v>0.031200000000000006</v>
      </c>
      <c r="AS250" s="75">
        <f aca="true" t="shared" si="46" ref="AS250:AS257">$AS$248-(($AS$248-$AS$258)/0.1)*(AP250-$AP$248)</f>
        <v>0.04700000000000001</v>
      </c>
      <c r="AT250" s="85">
        <v>0.820000000000001</v>
      </c>
      <c r="AU250" s="76">
        <v>0.049</v>
      </c>
      <c r="AV250" s="76">
        <v>0.025</v>
      </c>
      <c r="AW250" s="76">
        <v>0.037</v>
      </c>
      <c r="AY250" s="86">
        <v>0.820000000000001</v>
      </c>
      <c r="AZ250" s="78">
        <f aca="true" t="shared" si="47" ref="AZ250:AZ257">$AZ$248-(($AZ$248-$AZ$258)/0.1)*(AY250-$AY$248)</f>
        <v>0.0724</v>
      </c>
      <c r="BA250" s="78">
        <f aca="true" t="shared" si="48" ref="BA250:BA257">$BA$248-(($BA$248-$BA$258)/0.1)*(AY250-$AY$248)</f>
        <v>0.0362</v>
      </c>
      <c r="BB250" s="78">
        <f aca="true" t="shared" si="49" ref="BB250:BB257">$BB$248-(($BB$248-$BB$258)/0.1)*(AY250-$AY$248)</f>
        <v>0.05480000000000001</v>
      </c>
      <c r="BC250" s="86">
        <v>0.820000000000001</v>
      </c>
      <c r="BD250" s="79">
        <v>0.058</v>
      </c>
      <c r="BE250" s="79">
        <v>0.029</v>
      </c>
      <c r="BF250" s="79">
        <v>0.044</v>
      </c>
      <c r="BH250" s="87">
        <v>0.820000000000001</v>
      </c>
      <c r="BI250" s="81">
        <v>0</v>
      </c>
      <c r="BJ250" s="81">
        <f aca="true" t="shared" si="50" ref="BJ250:BJ257">$BJ$248-(($BJ$248-$BJ$258)/0.1)*(BH250-$BH$248)</f>
        <v>0.042</v>
      </c>
      <c r="BK250" s="81">
        <f aca="true" t="shared" si="51" ref="BK250:BK257">$BK$238-(($BK$238-$BK$248)/0.1)*(BH250-$BH$238)</f>
        <v>0.062400000000000004</v>
      </c>
      <c r="BL250" s="87">
        <v>0.820000000000001</v>
      </c>
      <c r="BM250" s="82">
        <v>0</v>
      </c>
      <c r="BN250" s="82">
        <v>0.033</v>
      </c>
      <c r="BO250" s="82">
        <v>0.05</v>
      </c>
    </row>
    <row r="251" spans="24:67" s="6" customFormat="1" ht="11.25" customHeight="1">
      <c r="X251" s="83">
        <v>0.830000000000001</v>
      </c>
      <c r="Y251" s="69">
        <f t="shared" si="39"/>
        <v>0.04560000000000001</v>
      </c>
      <c r="Z251" s="69">
        <v>0</v>
      </c>
      <c r="AA251" s="69">
        <f t="shared" si="41"/>
        <v>0.0342</v>
      </c>
      <c r="AB251" s="83">
        <v>0.830000000000001</v>
      </c>
      <c r="AC251" s="70">
        <v>0.033</v>
      </c>
      <c r="AD251" s="70">
        <v>0</v>
      </c>
      <c r="AE251" s="70">
        <v>0.025</v>
      </c>
      <c r="AG251" s="84">
        <v>0.830000000000001</v>
      </c>
      <c r="AH251" s="72">
        <f t="shared" si="40"/>
        <v>0.05290000000000001</v>
      </c>
      <c r="AI251" s="72">
        <f t="shared" si="42"/>
        <v>0.0261</v>
      </c>
      <c r="AJ251" s="72">
        <f t="shared" si="43"/>
        <v>0.03950000000000001</v>
      </c>
      <c r="AK251" s="84">
        <v>0.830000000000001</v>
      </c>
      <c r="AL251" s="73">
        <v>0.041</v>
      </c>
      <c r="AM251" s="73">
        <v>0.021</v>
      </c>
      <c r="AN251" s="73">
        <v>0.031</v>
      </c>
      <c r="AP251" s="85">
        <v>0.830000000000001</v>
      </c>
      <c r="AQ251" s="75">
        <f t="shared" si="44"/>
        <v>0.06190000000000001</v>
      </c>
      <c r="AR251" s="75">
        <f t="shared" si="45"/>
        <v>0.030800000000000004</v>
      </c>
      <c r="AS251" s="75">
        <f t="shared" si="46"/>
        <v>0.04650000000000001</v>
      </c>
      <c r="AT251" s="85">
        <v>0.830000000000001</v>
      </c>
      <c r="AU251" s="76">
        <v>0.049</v>
      </c>
      <c r="AV251" s="76">
        <v>0.025</v>
      </c>
      <c r="AW251" s="76">
        <v>0.037</v>
      </c>
      <c r="AY251" s="86">
        <v>0.830000000000001</v>
      </c>
      <c r="AZ251" s="78">
        <f t="shared" si="47"/>
        <v>0.07160000000000001</v>
      </c>
      <c r="BA251" s="78">
        <f t="shared" si="48"/>
        <v>0.035800000000000005</v>
      </c>
      <c r="BB251" s="78">
        <f t="shared" si="49"/>
        <v>0.054200000000000005</v>
      </c>
      <c r="BC251" s="86">
        <v>0.830000000000001</v>
      </c>
      <c r="BD251" s="79">
        <v>0.058</v>
      </c>
      <c r="BE251" s="79">
        <v>0.029</v>
      </c>
      <c r="BF251" s="79">
        <v>0.044</v>
      </c>
      <c r="BH251" s="87">
        <v>0.830000000000001</v>
      </c>
      <c r="BI251" s="81">
        <v>0</v>
      </c>
      <c r="BJ251" s="81">
        <f t="shared" si="50"/>
        <v>0.0415</v>
      </c>
      <c r="BK251" s="81">
        <f t="shared" si="51"/>
        <v>0.0616</v>
      </c>
      <c r="BL251" s="87">
        <v>0.830000000000001</v>
      </c>
      <c r="BM251" s="82">
        <v>0</v>
      </c>
      <c r="BN251" s="82">
        <v>0.033</v>
      </c>
      <c r="BO251" s="82">
        <v>0.05</v>
      </c>
    </row>
    <row r="252" spans="24:67" s="6" customFormat="1" ht="11.25" customHeight="1">
      <c r="X252" s="83">
        <v>0.840000000000001</v>
      </c>
      <c r="Y252" s="69">
        <f t="shared" si="39"/>
        <v>0.044800000000000006</v>
      </c>
      <c r="Z252" s="69">
        <v>0</v>
      </c>
      <c r="AA252" s="69">
        <f t="shared" si="41"/>
        <v>0.033600000000000005</v>
      </c>
      <c r="AB252" s="83">
        <v>0.840000000000001</v>
      </c>
      <c r="AC252" s="70">
        <v>0.033</v>
      </c>
      <c r="AD252" s="70">
        <v>0</v>
      </c>
      <c r="AE252" s="70">
        <v>0.025</v>
      </c>
      <c r="AG252" s="84">
        <v>0.840000000000001</v>
      </c>
      <c r="AH252" s="72">
        <f t="shared" si="40"/>
        <v>0.0522</v>
      </c>
      <c r="AI252" s="72">
        <f t="shared" si="42"/>
        <v>0.025800000000000003</v>
      </c>
      <c r="AJ252" s="72">
        <f t="shared" si="43"/>
        <v>0.03900000000000001</v>
      </c>
      <c r="AK252" s="84">
        <v>0.840000000000001</v>
      </c>
      <c r="AL252" s="73">
        <v>0.041</v>
      </c>
      <c r="AM252" s="73">
        <v>0.021</v>
      </c>
      <c r="AN252" s="73">
        <v>0.031</v>
      </c>
      <c r="AP252" s="85">
        <v>0.840000000000001</v>
      </c>
      <c r="AQ252" s="75">
        <f t="shared" si="44"/>
        <v>0.061200000000000004</v>
      </c>
      <c r="AR252" s="75">
        <f t="shared" si="45"/>
        <v>0.030400000000000003</v>
      </c>
      <c r="AS252" s="75">
        <f t="shared" si="46"/>
        <v>0.046000000000000006</v>
      </c>
      <c r="AT252" s="85">
        <v>0.840000000000001</v>
      </c>
      <c r="AU252" s="76">
        <v>0.049</v>
      </c>
      <c r="AV252" s="76">
        <v>0.025</v>
      </c>
      <c r="AW252" s="76">
        <v>0.037</v>
      </c>
      <c r="AY252" s="86">
        <v>0.840000000000001</v>
      </c>
      <c r="AZ252" s="78">
        <f t="shared" si="47"/>
        <v>0.0708</v>
      </c>
      <c r="BA252" s="78">
        <f t="shared" si="48"/>
        <v>0.0354</v>
      </c>
      <c r="BB252" s="78">
        <f t="shared" si="49"/>
        <v>0.05360000000000001</v>
      </c>
      <c r="BC252" s="86">
        <v>0.840000000000001</v>
      </c>
      <c r="BD252" s="79">
        <v>0.058</v>
      </c>
      <c r="BE252" s="79">
        <v>0.029</v>
      </c>
      <c r="BF252" s="79">
        <v>0.044</v>
      </c>
      <c r="BH252" s="87">
        <v>0.840000000000001</v>
      </c>
      <c r="BI252" s="81">
        <v>0</v>
      </c>
      <c r="BJ252" s="81">
        <f t="shared" si="50"/>
        <v>0.041</v>
      </c>
      <c r="BK252" s="81">
        <f t="shared" si="51"/>
        <v>0.06080000000000001</v>
      </c>
      <c r="BL252" s="87">
        <v>0.840000000000001</v>
      </c>
      <c r="BM252" s="82">
        <v>0</v>
      </c>
      <c r="BN252" s="82">
        <v>0.033</v>
      </c>
      <c r="BO252" s="82">
        <v>0.05</v>
      </c>
    </row>
    <row r="253" spans="24:67" s="6" customFormat="1" ht="11.25" customHeight="1">
      <c r="X253" s="83">
        <v>0.850000000000001</v>
      </c>
      <c r="Y253" s="69">
        <f t="shared" si="39"/>
        <v>0.044000000000000004</v>
      </c>
      <c r="Z253" s="69">
        <v>0</v>
      </c>
      <c r="AA253" s="69">
        <f t="shared" si="41"/>
        <v>0.033</v>
      </c>
      <c r="AB253" s="83">
        <v>0.850000000000001</v>
      </c>
      <c r="AC253" s="70">
        <v>0.033</v>
      </c>
      <c r="AD253" s="70">
        <v>0</v>
      </c>
      <c r="AE253" s="70">
        <v>0.025</v>
      </c>
      <c r="AG253" s="84">
        <v>0.850000000000001</v>
      </c>
      <c r="AH253" s="72">
        <f t="shared" si="40"/>
        <v>0.051500000000000004</v>
      </c>
      <c r="AI253" s="72">
        <f t="shared" si="42"/>
        <v>0.025500000000000002</v>
      </c>
      <c r="AJ253" s="72">
        <f t="shared" si="43"/>
        <v>0.038500000000000006</v>
      </c>
      <c r="AK253" s="84">
        <v>0.850000000000001</v>
      </c>
      <c r="AL253" s="73">
        <v>0.041</v>
      </c>
      <c r="AM253" s="73">
        <v>0.021</v>
      </c>
      <c r="AN253" s="73">
        <v>0.031</v>
      </c>
      <c r="AP253" s="85">
        <v>0.850000000000001</v>
      </c>
      <c r="AQ253" s="75">
        <f t="shared" si="44"/>
        <v>0.060500000000000005</v>
      </c>
      <c r="AR253" s="75">
        <f t="shared" si="45"/>
        <v>0.030000000000000002</v>
      </c>
      <c r="AS253" s="75">
        <f t="shared" si="46"/>
        <v>0.0455</v>
      </c>
      <c r="AT253" s="85">
        <v>0.850000000000001</v>
      </c>
      <c r="AU253" s="76">
        <v>0.049</v>
      </c>
      <c r="AV253" s="76">
        <v>0.025</v>
      </c>
      <c r="AW253" s="76">
        <v>0.037</v>
      </c>
      <c r="AY253" s="86">
        <v>0.850000000000001</v>
      </c>
      <c r="AZ253" s="78">
        <f t="shared" si="47"/>
        <v>0.07</v>
      </c>
      <c r="BA253" s="78">
        <f t="shared" si="48"/>
        <v>0.035</v>
      </c>
      <c r="BB253" s="78">
        <f t="shared" si="49"/>
        <v>0.053000000000000005</v>
      </c>
      <c r="BC253" s="86">
        <v>0.850000000000001</v>
      </c>
      <c r="BD253" s="79">
        <v>0.058</v>
      </c>
      <c r="BE253" s="79">
        <v>0.029</v>
      </c>
      <c r="BF253" s="79">
        <v>0.044</v>
      </c>
      <c r="BH253" s="87">
        <v>0.850000000000001</v>
      </c>
      <c r="BI253" s="81">
        <v>0</v>
      </c>
      <c r="BJ253" s="81">
        <f t="shared" si="50"/>
        <v>0.0405</v>
      </c>
      <c r="BK253" s="81">
        <f t="shared" si="51"/>
        <v>0.060000000000000005</v>
      </c>
      <c r="BL253" s="87">
        <v>0.850000000000001</v>
      </c>
      <c r="BM253" s="82">
        <v>0</v>
      </c>
      <c r="BN253" s="82">
        <v>0.033</v>
      </c>
      <c r="BO253" s="82">
        <v>0.05</v>
      </c>
    </row>
    <row r="254" spans="24:67" s="6" customFormat="1" ht="11.25" customHeight="1">
      <c r="X254" s="83">
        <v>0.860000000000001</v>
      </c>
      <c r="Y254" s="69">
        <f t="shared" si="39"/>
        <v>0.0432</v>
      </c>
      <c r="Z254" s="69">
        <v>0</v>
      </c>
      <c r="AA254" s="69">
        <f t="shared" si="41"/>
        <v>0.0324</v>
      </c>
      <c r="AB254" s="83">
        <v>0.860000000000001</v>
      </c>
      <c r="AC254" s="70">
        <v>0.033</v>
      </c>
      <c r="AD254" s="70">
        <v>0</v>
      </c>
      <c r="AE254" s="70">
        <v>0.025</v>
      </c>
      <c r="AG254" s="84">
        <v>0.860000000000001</v>
      </c>
      <c r="AH254" s="72">
        <f t="shared" si="40"/>
        <v>0.050800000000000005</v>
      </c>
      <c r="AI254" s="72">
        <f t="shared" si="42"/>
        <v>0.0252</v>
      </c>
      <c r="AJ254" s="72">
        <f t="shared" si="43"/>
        <v>0.038</v>
      </c>
      <c r="AK254" s="84">
        <v>0.860000000000001</v>
      </c>
      <c r="AL254" s="73">
        <v>0.041</v>
      </c>
      <c r="AM254" s="73">
        <v>0.021</v>
      </c>
      <c r="AN254" s="73">
        <v>0.031</v>
      </c>
      <c r="AP254" s="85">
        <v>0.860000000000001</v>
      </c>
      <c r="AQ254" s="75">
        <f t="shared" si="44"/>
        <v>0.059800000000000006</v>
      </c>
      <c r="AR254" s="75">
        <f t="shared" si="45"/>
        <v>0.0296</v>
      </c>
      <c r="AS254" s="75">
        <f t="shared" si="46"/>
        <v>0.045</v>
      </c>
      <c r="AT254" s="85">
        <v>0.860000000000001</v>
      </c>
      <c r="AU254" s="76">
        <v>0.049</v>
      </c>
      <c r="AV254" s="76">
        <v>0.025</v>
      </c>
      <c r="AW254" s="76">
        <v>0.037</v>
      </c>
      <c r="AY254" s="86">
        <v>0.860000000000001</v>
      </c>
      <c r="AZ254" s="78">
        <f t="shared" si="47"/>
        <v>0.06920000000000001</v>
      </c>
      <c r="BA254" s="78">
        <f t="shared" si="48"/>
        <v>0.034600000000000006</v>
      </c>
      <c r="BB254" s="78">
        <f t="shared" si="49"/>
        <v>0.0524</v>
      </c>
      <c r="BC254" s="86">
        <v>0.860000000000001</v>
      </c>
      <c r="BD254" s="79">
        <v>0.058</v>
      </c>
      <c r="BE254" s="79">
        <v>0.029</v>
      </c>
      <c r="BF254" s="79">
        <v>0.044</v>
      </c>
      <c r="BH254" s="87">
        <v>0.860000000000001</v>
      </c>
      <c r="BI254" s="81">
        <v>0</v>
      </c>
      <c r="BJ254" s="81">
        <f t="shared" si="50"/>
        <v>0.04</v>
      </c>
      <c r="BK254" s="81">
        <f t="shared" si="51"/>
        <v>0.0592</v>
      </c>
      <c r="BL254" s="87">
        <v>0.860000000000001</v>
      </c>
      <c r="BM254" s="82">
        <v>0</v>
      </c>
      <c r="BN254" s="82">
        <v>0.033</v>
      </c>
      <c r="BO254" s="82">
        <v>0.05</v>
      </c>
    </row>
    <row r="255" spans="24:67" s="6" customFormat="1" ht="11.25" customHeight="1">
      <c r="X255" s="83">
        <v>0.870000000000001</v>
      </c>
      <c r="Y255" s="69">
        <f t="shared" si="39"/>
        <v>0.04240000000000001</v>
      </c>
      <c r="Z255" s="69">
        <v>0</v>
      </c>
      <c r="AA255" s="69">
        <f t="shared" si="41"/>
        <v>0.0318</v>
      </c>
      <c r="AB255" s="83">
        <v>0.870000000000001</v>
      </c>
      <c r="AC255" s="70">
        <v>0.033</v>
      </c>
      <c r="AD255" s="70">
        <v>0</v>
      </c>
      <c r="AE255" s="70">
        <v>0.025</v>
      </c>
      <c r="AG255" s="84">
        <v>0.870000000000001</v>
      </c>
      <c r="AH255" s="72">
        <f t="shared" si="40"/>
        <v>0.050100000000000006</v>
      </c>
      <c r="AI255" s="72">
        <f t="shared" si="42"/>
        <v>0.024900000000000002</v>
      </c>
      <c r="AJ255" s="72">
        <f t="shared" si="43"/>
        <v>0.0375</v>
      </c>
      <c r="AK255" s="84">
        <v>0.870000000000001</v>
      </c>
      <c r="AL255" s="73">
        <v>0.041</v>
      </c>
      <c r="AM255" s="73">
        <v>0.021</v>
      </c>
      <c r="AN255" s="73">
        <v>0.031</v>
      </c>
      <c r="AP255" s="85">
        <v>0.870000000000001</v>
      </c>
      <c r="AQ255" s="75">
        <f t="shared" si="44"/>
        <v>0.05910000000000001</v>
      </c>
      <c r="AR255" s="75">
        <f t="shared" si="45"/>
        <v>0.029200000000000004</v>
      </c>
      <c r="AS255" s="75">
        <f t="shared" si="46"/>
        <v>0.0445</v>
      </c>
      <c r="AT255" s="85">
        <v>0.870000000000001</v>
      </c>
      <c r="AU255" s="76">
        <v>0.049</v>
      </c>
      <c r="AV255" s="76">
        <v>0.025</v>
      </c>
      <c r="AW255" s="76">
        <v>0.037</v>
      </c>
      <c r="AY255" s="86">
        <v>0.870000000000001</v>
      </c>
      <c r="AZ255" s="78">
        <f t="shared" si="47"/>
        <v>0.0684</v>
      </c>
      <c r="BA255" s="78">
        <f t="shared" si="48"/>
        <v>0.0342</v>
      </c>
      <c r="BB255" s="78">
        <f t="shared" si="49"/>
        <v>0.051800000000000006</v>
      </c>
      <c r="BC255" s="86">
        <v>0.870000000000001</v>
      </c>
      <c r="BD255" s="79">
        <v>0.058</v>
      </c>
      <c r="BE255" s="79">
        <v>0.029</v>
      </c>
      <c r="BF255" s="79">
        <v>0.044</v>
      </c>
      <c r="BH255" s="87">
        <v>0.870000000000001</v>
      </c>
      <c r="BI255" s="81">
        <v>0</v>
      </c>
      <c r="BJ255" s="81">
        <f t="shared" si="50"/>
        <v>0.0395</v>
      </c>
      <c r="BK255" s="81">
        <f t="shared" si="51"/>
        <v>0.0584</v>
      </c>
      <c r="BL255" s="87">
        <v>0.870000000000001</v>
      </c>
      <c r="BM255" s="82">
        <v>0</v>
      </c>
      <c r="BN255" s="82">
        <v>0.033</v>
      </c>
      <c r="BO255" s="82">
        <v>0.05</v>
      </c>
    </row>
    <row r="256" spans="24:67" s="6" customFormat="1" ht="11.25" customHeight="1">
      <c r="X256" s="83">
        <v>0.880000000000001</v>
      </c>
      <c r="Y256" s="69">
        <f t="shared" si="39"/>
        <v>0.041600000000000005</v>
      </c>
      <c r="Z256" s="69">
        <v>0</v>
      </c>
      <c r="AA256" s="69">
        <f t="shared" si="41"/>
        <v>0.031200000000000002</v>
      </c>
      <c r="AB256" s="83">
        <v>0.880000000000001</v>
      </c>
      <c r="AC256" s="70">
        <v>0.033</v>
      </c>
      <c r="AD256" s="70">
        <v>0</v>
      </c>
      <c r="AE256" s="70">
        <v>0.025</v>
      </c>
      <c r="AG256" s="84">
        <v>0.880000000000001</v>
      </c>
      <c r="AH256" s="72">
        <f t="shared" si="40"/>
        <v>0.049400000000000006</v>
      </c>
      <c r="AI256" s="72">
        <f t="shared" si="42"/>
        <v>0.0246</v>
      </c>
      <c r="AJ256" s="72">
        <f t="shared" si="43"/>
        <v>0.037</v>
      </c>
      <c r="AK256" s="84">
        <v>0.880000000000001</v>
      </c>
      <c r="AL256" s="73">
        <v>0.041</v>
      </c>
      <c r="AM256" s="73">
        <v>0.021</v>
      </c>
      <c r="AN256" s="73">
        <v>0.031</v>
      </c>
      <c r="AP256" s="85">
        <v>0.880000000000001</v>
      </c>
      <c r="AQ256" s="75">
        <f t="shared" si="44"/>
        <v>0.05840000000000001</v>
      </c>
      <c r="AR256" s="75">
        <f t="shared" si="45"/>
        <v>0.028800000000000003</v>
      </c>
      <c r="AS256" s="75">
        <f t="shared" si="46"/>
        <v>0.044</v>
      </c>
      <c r="AT256" s="85">
        <v>0.880000000000001</v>
      </c>
      <c r="AU256" s="76">
        <v>0.049</v>
      </c>
      <c r="AV256" s="76">
        <v>0.025</v>
      </c>
      <c r="AW256" s="76">
        <v>0.037</v>
      </c>
      <c r="AY256" s="86">
        <v>0.880000000000001</v>
      </c>
      <c r="AZ256" s="78">
        <f t="shared" si="47"/>
        <v>0.06760000000000001</v>
      </c>
      <c r="BA256" s="78">
        <f t="shared" si="48"/>
        <v>0.033800000000000004</v>
      </c>
      <c r="BB256" s="78">
        <f t="shared" si="49"/>
        <v>0.0512</v>
      </c>
      <c r="BC256" s="86">
        <v>0.880000000000001</v>
      </c>
      <c r="BD256" s="79">
        <v>0.058</v>
      </c>
      <c r="BE256" s="79">
        <v>0.029</v>
      </c>
      <c r="BF256" s="79">
        <v>0.044</v>
      </c>
      <c r="BH256" s="87">
        <v>0.880000000000001</v>
      </c>
      <c r="BI256" s="81">
        <v>0</v>
      </c>
      <c r="BJ256" s="81">
        <f t="shared" si="50"/>
        <v>0.039</v>
      </c>
      <c r="BK256" s="81">
        <f t="shared" si="51"/>
        <v>0.057600000000000005</v>
      </c>
      <c r="BL256" s="87">
        <v>0.880000000000001</v>
      </c>
      <c r="BM256" s="82">
        <v>0</v>
      </c>
      <c r="BN256" s="82">
        <v>0.033</v>
      </c>
      <c r="BO256" s="82">
        <v>0.05</v>
      </c>
    </row>
    <row r="257" spans="24:67" s="6" customFormat="1" ht="11.25" customHeight="1">
      <c r="X257" s="83">
        <v>0.890000000000001</v>
      </c>
      <c r="Y257" s="69">
        <f t="shared" si="39"/>
        <v>0.0408</v>
      </c>
      <c r="Z257" s="69">
        <v>0</v>
      </c>
      <c r="AA257" s="69">
        <f t="shared" si="41"/>
        <v>0.030600000000000002</v>
      </c>
      <c r="AB257" s="83">
        <v>0.890000000000001</v>
      </c>
      <c r="AC257" s="70">
        <v>0.033</v>
      </c>
      <c r="AD257" s="70">
        <v>0</v>
      </c>
      <c r="AE257" s="70">
        <v>0.025</v>
      </c>
      <c r="AG257" s="84">
        <v>0.890000000000001</v>
      </c>
      <c r="AH257" s="72">
        <f t="shared" si="40"/>
        <v>0.0487</v>
      </c>
      <c r="AI257" s="72">
        <f t="shared" si="42"/>
        <v>0.024300000000000002</v>
      </c>
      <c r="AJ257" s="72">
        <f t="shared" si="43"/>
        <v>0.0365</v>
      </c>
      <c r="AK257" s="84">
        <v>0.890000000000001</v>
      </c>
      <c r="AL257" s="73">
        <v>0.041</v>
      </c>
      <c r="AM257" s="73">
        <v>0.021</v>
      </c>
      <c r="AN257" s="73">
        <v>0.031</v>
      </c>
      <c r="AP257" s="85">
        <v>0.890000000000001</v>
      </c>
      <c r="AQ257" s="75">
        <f t="shared" si="44"/>
        <v>0.0577</v>
      </c>
      <c r="AR257" s="75">
        <f t="shared" si="45"/>
        <v>0.0284</v>
      </c>
      <c r="AS257" s="75">
        <f t="shared" si="46"/>
        <v>0.0435</v>
      </c>
      <c r="AT257" s="85">
        <v>0.890000000000001</v>
      </c>
      <c r="AU257" s="76">
        <v>0.049</v>
      </c>
      <c r="AV257" s="76">
        <v>0.025</v>
      </c>
      <c r="AW257" s="76">
        <v>0.037</v>
      </c>
      <c r="AY257" s="86">
        <v>0.890000000000001</v>
      </c>
      <c r="AZ257" s="78">
        <f t="shared" si="47"/>
        <v>0.0668</v>
      </c>
      <c r="BA257" s="78">
        <f t="shared" si="48"/>
        <v>0.0334</v>
      </c>
      <c r="BB257" s="78">
        <f t="shared" si="49"/>
        <v>0.050600000000000006</v>
      </c>
      <c r="BC257" s="86">
        <v>0.890000000000001</v>
      </c>
      <c r="BD257" s="79">
        <v>0.058</v>
      </c>
      <c r="BE257" s="79">
        <v>0.029</v>
      </c>
      <c r="BF257" s="79">
        <v>0.044</v>
      </c>
      <c r="BH257" s="87">
        <v>0.890000000000001</v>
      </c>
      <c r="BI257" s="81">
        <v>0</v>
      </c>
      <c r="BJ257" s="81">
        <f t="shared" si="50"/>
        <v>0.0385</v>
      </c>
      <c r="BK257" s="81">
        <f t="shared" si="51"/>
        <v>0.0568</v>
      </c>
      <c r="BL257" s="87">
        <v>0.890000000000001</v>
      </c>
      <c r="BM257" s="82">
        <v>0</v>
      </c>
      <c r="BN257" s="82">
        <v>0.033</v>
      </c>
      <c r="BO257" s="82">
        <v>0.05</v>
      </c>
    </row>
    <row r="258" spans="24:67" s="6" customFormat="1" ht="11.25" customHeight="1">
      <c r="X258" s="88">
        <v>0.900000000000001</v>
      </c>
      <c r="Y258" s="89">
        <v>0.04</v>
      </c>
      <c r="Z258" s="89">
        <v>0</v>
      </c>
      <c r="AA258" s="89">
        <v>0.03</v>
      </c>
      <c r="AB258" s="83">
        <v>0.900000000000001</v>
      </c>
      <c r="AC258" s="70">
        <v>0.033</v>
      </c>
      <c r="AD258" s="70">
        <v>0</v>
      </c>
      <c r="AE258" s="70">
        <v>0.025</v>
      </c>
      <c r="AG258" s="90">
        <v>0.900000000000001</v>
      </c>
      <c r="AH258" s="91">
        <v>0.048</v>
      </c>
      <c r="AI258" s="91">
        <v>0.024</v>
      </c>
      <c r="AJ258" s="91">
        <v>0.036</v>
      </c>
      <c r="AK258" s="84">
        <v>0.900000000000001</v>
      </c>
      <c r="AL258" s="73">
        <v>0.041</v>
      </c>
      <c r="AM258" s="73">
        <v>0.021</v>
      </c>
      <c r="AN258" s="73">
        <v>0.031</v>
      </c>
      <c r="AP258" s="92">
        <v>0.900000000000001</v>
      </c>
      <c r="AQ258" s="93">
        <v>0.057</v>
      </c>
      <c r="AR258" s="93">
        <v>0.028</v>
      </c>
      <c r="AS258" s="93">
        <v>0.043</v>
      </c>
      <c r="AT258" s="85">
        <v>0.900000000000001</v>
      </c>
      <c r="AU258" s="76">
        <v>0.049</v>
      </c>
      <c r="AV258" s="76">
        <v>0.025</v>
      </c>
      <c r="AW258" s="76">
        <v>0.037</v>
      </c>
      <c r="AY258" s="94">
        <v>0.900000000000001</v>
      </c>
      <c r="AZ258" s="95">
        <v>0.066</v>
      </c>
      <c r="BA258" s="95">
        <v>0.033</v>
      </c>
      <c r="BB258" s="95">
        <v>0.05</v>
      </c>
      <c r="BC258" s="86">
        <v>0.900000000000001</v>
      </c>
      <c r="BD258" s="79">
        <v>0.058</v>
      </c>
      <c r="BE258" s="79">
        <v>0.029</v>
      </c>
      <c r="BF258" s="79">
        <v>0.044</v>
      </c>
      <c r="BH258" s="96">
        <v>0.900000000000001</v>
      </c>
      <c r="BI258" s="97">
        <v>0</v>
      </c>
      <c r="BJ258" s="97">
        <v>0.038</v>
      </c>
      <c r="BK258" s="97">
        <v>0.057</v>
      </c>
      <c r="BL258" s="87">
        <v>0.900000000000001</v>
      </c>
      <c r="BM258" s="82">
        <v>0</v>
      </c>
      <c r="BN258" s="82">
        <v>0.033</v>
      </c>
      <c r="BO258" s="82">
        <v>0.05</v>
      </c>
    </row>
    <row r="259" spans="24:67" s="6" customFormat="1" ht="11.25" customHeight="1">
      <c r="X259" s="83">
        <v>0.910000000000001</v>
      </c>
      <c r="Y259" s="69">
        <f>0.04-((0.04-0.033)/0.1)*(X259-$X$258)</f>
        <v>0.0393</v>
      </c>
      <c r="Z259" s="69">
        <v>0</v>
      </c>
      <c r="AA259" s="69">
        <f>0.03-((0.03-0.025)/0.1)*(X259-$X$258)</f>
        <v>0.0295</v>
      </c>
      <c r="AB259" s="83">
        <v>0.910000000000001</v>
      </c>
      <c r="AC259" s="70">
        <v>0.033</v>
      </c>
      <c r="AD259" s="70">
        <v>0</v>
      </c>
      <c r="AE259" s="70">
        <v>0.025</v>
      </c>
      <c r="AG259" s="84">
        <v>0.910000000000001</v>
      </c>
      <c r="AH259" s="72">
        <f>$AH$258-(($AH$258-$AH$268)/0.1)*(AG259-$AG$258)</f>
        <v>0.0473</v>
      </c>
      <c r="AI259" s="72">
        <f>$AI$258-(($AI$258-$AI$268)/0.1)*(AG259-$AG$258)</f>
        <v>0.0237</v>
      </c>
      <c r="AJ259" s="72">
        <f>$AJ$258-(($AJ$258-$AJ$268)/0.1)*(AG259-$AG$258)</f>
        <v>0.0355</v>
      </c>
      <c r="AK259" s="84">
        <v>0.910000000000001</v>
      </c>
      <c r="AL259" s="73">
        <v>0.041</v>
      </c>
      <c r="AM259" s="73">
        <v>0.021</v>
      </c>
      <c r="AN259" s="73">
        <v>0.031</v>
      </c>
      <c r="AP259" s="85">
        <v>0.910000000000001</v>
      </c>
      <c r="AQ259" s="75">
        <f>$AQ$258-(($AQ$258-$AQ$268)/0.1)*(AP259-$AP$258)</f>
        <v>0.0562</v>
      </c>
      <c r="AR259" s="75">
        <f>$AR$258-(($AR$258-$AR$268)/0.1)*(AP259-$AP$258)</f>
        <v>0.0277</v>
      </c>
      <c r="AS259" s="75">
        <f>$AS$258-(($AS$258-$AS$268)/0.1)*(AP259-$AP$258)</f>
        <v>0.04239999999999999</v>
      </c>
      <c r="AT259" s="85">
        <v>0.910000000000001</v>
      </c>
      <c r="AU259" s="76">
        <v>0.049</v>
      </c>
      <c r="AV259" s="76">
        <v>0.025</v>
      </c>
      <c r="AW259" s="76">
        <v>0.037</v>
      </c>
      <c r="AY259" s="86">
        <v>0.910000000000001</v>
      </c>
      <c r="AZ259" s="78">
        <f>$AZ$258-(($AZ$258-$AZ$268)/0.1)*(AY259-$AY$258)</f>
        <v>0.06520000000000001</v>
      </c>
      <c r="BA259" s="78">
        <f>$BA$258-(($BA$258-$BA$268)/0.1)*(AY259-$AY$258)</f>
        <v>0.032600000000000004</v>
      </c>
      <c r="BB259" s="78">
        <f>$BB$258-(($BB$258-$BB$268)/0.1)*(AY259-$AY$258)</f>
        <v>0.0494</v>
      </c>
      <c r="BC259" s="86">
        <v>0.910000000000001</v>
      </c>
      <c r="BD259" s="79">
        <v>0.058</v>
      </c>
      <c r="BE259" s="79">
        <v>0.029</v>
      </c>
      <c r="BF259" s="79">
        <v>0.044</v>
      </c>
      <c r="BH259" s="87">
        <v>0.910000000000001</v>
      </c>
      <c r="BI259" s="81">
        <v>0</v>
      </c>
      <c r="BJ259" s="81">
        <f>$BJ$258-(($BJ$258-$BJ$268)/0.1)*(BH259-$BH$258)</f>
        <v>0.0375</v>
      </c>
      <c r="BK259" s="81">
        <f>$BK$258-(($BK$258-$BK$268)/0.1)*(BH259-$BH$258)</f>
        <v>0.0563</v>
      </c>
      <c r="BL259" s="87">
        <v>0.910000000000001</v>
      </c>
      <c r="BM259" s="82">
        <v>0</v>
      </c>
      <c r="BN259" s="82">
        <v>0.033</v>
      </c>
      <c r="BO259" s="82">
        <v>0.05</v>
      </c>
    </row>
    <row r="260" spans="24:67" s="6" customFormat="1" ht="11.25" customHeight="1">
      <c r="X260" s="83">
        <v>0.920000000000001</v>
      </c>
      <c r="Y260" s="69">
        <f aca="true" t="shared" si="52" ref="Y260:Y267">0.04-((0.04-0.033)/0.1)*(X260-$X$258)</f>
        <v>0.0386</v>
      </c>
      <c r="Z260" s="69">
        <v>0</v>
      </c>
      <c r="AA260" s="69">
        <f aca="true" t="shared" si="53" ref="AA260:AA267">0.03-((0.03-0.025)/0.1)*(X260-$X$258)</f>
        <v>0.028999999999999998</v>
      </c>
      <c r="AB260" s="83">
        <v>0.920000000000001</v>
      </c>
      <c r="AC260" s="70">
        <v>0.033</v>
      </c>
      <c r="AD260" s="70">
        <v>0</v>
      </c>
      <c r="AE260" s="70">
        <v>0.025</v>
      </c>
      <c r="AG260" s="84">
        <v>0.920000000000001</v>
      </c>
      <c r="AH260" s="72">
        <f aca="true" t="shared" si="54" ref="AH260:AH267">$AH$258-(($AH$258-$AH$268)/0.1)*(AG260-$AG$258)</f>
        <v>0.0466</v>
      </c>
      <c r="AI260" s="72">
        <f aca="true" t="shared" si="55" ref="AI260:AI267">$AI$258-(($AI$258-$AI$268)/0.1)*(AG260-$AG$258)</f>
        <v>0.0234</v>
      </c>
      <c r="AJ260" s="72">
        <f aca="true" t="shared" si="56" ref="AJ260:AJ267">$AJ$258-(($AJ$258-$AJ$268)/0.1)*(AG260-$AG$258)</f>
        <v>0.034999999999999996</v>
      </c>
      <c r="AK260" s="84">
        <v>0.920000000000001</v>
      </c>
      <c r="AL260" s="73">
        <v>0.041</v>
      </c>
      <c r="AM260" s="73">
        <v>0.021</v>
      </c>
      <c r="AN260" s="73">
        <v>0.031</v>
      </c>
      <c r="AP260" s="85">
        <v>0.920000000000001</v>
      </c>
      <c r="AQ260" s="75">
        <f aca="true" t="shared" si="57" ref="AQ260:AQ267">$AQ$258-(($AQ$258-$AQ$268)/0.1)*(AP260-$AP$258)</f>
        <v>0.0554</v>
      </c>
      <c r="AR260" s="75">
        <f aca="true" t="shared" si="58" ref="AR260:AR267">$AR$258-(($AR$258-$AR$268)/0.1)*(AP260-$AP$258)</f>
        <v>0.0274</v>
      </c>
      <c r="AS260" s="75">
        <f aca="true" t="shared" si="59" ref="AS260:AS267">$AS$258-(($AS$258-$AS$268)/0.1)*(AP260-$AP$258)</f>
        <v>0.0418</v>
      </c>
      <c r="AT260" s="85">
        <v>0.920000000000001</v>
      </c>
      <c r="AU260" s="76">
        <v>0.049</v>
      </c>
      <c r="AV260" s="76">
        <v>0.025</v>
      </c>
      <c r="AW260" s="76">
        <v>0.037</v>
      </c>
      <c r="AY260" s="86">
        <v>0.920000000000001</v>
      </c>
      <c r="AZ260" s="78">
        <f aca="true" t="shared" si="60" ref="AZ260:AZ267">$AZ$258-(($AZ$258-$AZ$268)/0.1)*(AY260-$AY$258)</f>
        <v>0.0644</v>
      </c>
      <c r="BA260" s="78">
        <f aca="true" t="shared" si="61" ref="BA260:BA267">$BA$258-(($BA$258-$BA$268)/0.1)*(AY260-$AY$258)</f>
        <v>0.0322</v>
      </c>
      <c r="BB260" s="78">
        <f aca="true" t="shared" si="62" ref="BB260:BB267">$BB$258-(($BB$258-$BB$268)/0.1)*(AY260-$AY$258)</f>
        <v>0.0488</v>
      </c>
      <c r="BC260" s="86">
        <v>0.920000000000001</v>
      </c>
      <c r="BD260" s="79">
        <v>0.058</v>
      </c>
      <c r="BE260" s="79">
        <v>0.029</v>
      </c>
      <c r="BF260" s="79">
        <v>0.044</v>
      </c>
      <c r="BH260" s="87">
        <v>0.920000000000001</v>
      </c>
      <c r="BI260" s="81">
        <v>0</v>
      </c>
      <c r="BJ260" s="81">
        <f aca="true" t="shared" si="63" ref="BJ260:BJ267">$BJ$258-(($BJ$258-$BJ$268)/0.1)*(BH260-$BH$258)</f>
        <v>0.037</v>
      </c>
      <c r="BK260" s="81">
        <f aca="true" t="shared" si="64" ref="BK260:BK267">$BK$258-(($BK$258-$BK$268)/0.1)*(BH260-$BH$258)</f>
        <v>0.055600000000000004</v>
      </c>
      <c r="BL260" s="87">
        <v>0.920000000000001</v>
      </c>
      <c r="BM260" s="82">
        <v>0</v>
      </c>
      <c r="BN260" s="82">
        <v>0.033</v>
      </c>
      <c r="BO260" s="82">
        <v>0.05</v>
      </c>
    </row>
    <row r="261" spans="24:67" s="6" customFormat="1" ht="11.25" customHeight="1">
      <c r="X261" s="83">
        <v>0.930000000000001</v>
      </c>
      <c r="Y261" s="69">
        <f t="shared" si="52"/>
        <v>0.037899999999999996</v>
      </c>
      <c r="Z261" s="69">
        <v>0</v>
      </c>
      <c r="AA261" s="69">
        <f t="shared" si="53"/>
        <v>0.028499999999999998</v>
      </c>
      <c r="AB261" s="83">
        <v>0.930000000000001</v>
      </c>
      <c r="AC261" s="70">
        <v>0.033</v>
      </c>
      <c r="AD261" s="70">
        <v>0</v>
      </c>
      <c r="AE261" s="70">
        <v>0.025</v>
      </c>
      <c r="AG261" s="84">
        <v>0.930000000000001</v>
      </c>
      <c r="AH261" s="72">
        <f t="shared" si="54"/>
        <v>0.045899999999999996</v>
      </c>
      <c r="AI261" s="72">
        <f t="shared" si="55"/>
        <v>0.0231</v>
      </c>
      <c r="AJ261" s="72">
        <f t="shared" si="56"/>
        <v>0.034499999999999996</v>
      </c>
      <c r="AK261" s="84">
        <v>0.930000000000001</v>
      </c>
      <c r="AL261" s="73">
        <v>0.041</v>
      </c>
      <c r="AM261" s="73">
        <v>0.021</v>
      </c>
      <c r="AN261" s="73">
        <v>0.031</v>
      </c>
      <c r="AP261" s="85">
        <v>0.930000000000001</v>
      </c>
      <c r="AQ261" s="75">
        <f t="shared" si="57"/>
        <v>0.0546</v>
      </c>
      <c r="AR261" s="75">
        <f t="shared" si="58"/>
        <v>0.0271</v>
      </c>
      <c r="AS261" s="75">
        <f t="shared" si="59"/>
        <v>0.041199999999999994</v>
      </c>
      <c r="AT261" s="85">
        <v>0.930000000000001</v>
      </c>
      <c r="AU261" s="76">
        <v>0.049</v>
      </c>
      <c r="AV261" s="76">
        <v>0.025</v>
      </c>
      <c r="AW261" s="76">
        <v>0.037</v>
      </c>
      <c r="AY261" s="86">
        <v>0.930000000000001</v>
      </c>
      <c r="AZ261" s="78">
        <f t="shared" si="60"/>
        <v>0.0636</v>
      </c>
      <c r="BA261" s="78">
        <f t="shared" si="61"/>
        <v>0.0318</v>
      </c>
      <c r="BB261" s="78">
        <f t="shared" si="62"/>
        <v>0.0482</v>
      </c>
      <c r="BC261" s="86">
        <v>0.930000000000001</v>
      </c>
      <c r="BD261" s="79">
        <v>0.058</v>
      </c>
      <c r="BE261" s="79">
        <v>0.029</v>
      </c>
      <c r="BF261" s="79">
        <v>0.044</v>
      </c>
      <c r="BH261" s="87">
        <v>0.930000000000001</v>
      </c>
      <c r="BI261" s="81">
        <v>0</v>
      </c>
      <c r="BJ261" s="81">
        <f t="shared" si="63"/>
        <v>0.0365</v>
      </c>
      <c r="BK261" s="81">
        <f t="shared" si="64"/>
        <v>0.0549</v>
      </c>
      <c r="BL261" s="87">
        <v>0.930000000000001</v>
      </c>
      <c r="BM261" s="82">
        <v>0</v>
      </c>
      <c r="BN261" s="82">
        <v>0.033</v>
      </c>
      <c r="BO261" s="82">
        <v>0.05</v>
      </c>
    </row>
    <row r="262" spans="24:67" s="6" customFormat="1" ht="11.25" customHeight="1">
      <c r="X262" s="83">
        <v>0.940000000000001</v>
      </c>
      <c r="Y262" s="69">
        <f t="shared" si="52"/>
        <v>0.037200000000000004</v>
      </c>
      <c r="Z262" s="69">
        <v>0</v>
      </c>
      <c r="AA262" s="69">
        <f t="shared" si="53"/>
        <v>0.028000000000000004</v>
      </c>
      <c r="AB262" s="83">
        <v>0.940000000000001</v>
      </c>
      <c r="AC262" s="70">
        <v>0.033</v>
      </c>
      <c r="AD262" s="70">
        <v>0</v>
      </c>
      <c r="AE262" s="70">
        <v>0.025</v>
      </c>
      <c r="AG262" s="84">
        <v>0.940000000000001</v>
      </c>
      <c r="AH262" s="72">
        <f t="shared" si="54"/>
        <v>0.045200000000000004</v>
      </c>
      <c r="AI262" s="72">
        <f t="shared" si="55"/>
        <v>0.022800000000000004</v>
      </c>
      <c r="AJ262" s="72">
        <f t="shared" si="56"/>
        <v>0.034</v>
      </c>
      <c r="AK262" s="84">
        <v>0.940000000000001</v>
      </c>
      <c r="AL262" s="73">
        <v>0.041</v>
      </c>
      <c r="AM262" s="73">
        <v>0.021</v>
      </c>
      <c r="AN262" s="73">
        <v>0.031</v>
      </c>
      <c r="AP262" s="85">
        <v>0.940000000000001</v>
      </c>
      <c r="AQ262" s="75">
        <f t="shared" si="57"/>
        <v>0.05380000000000001</v>
      </c>
      <c r="AR262" s="75">
        <f t="shared" si="58"/>
        <v>0.026800000000000004</v>
      </c>
      <c r="AS262" s="75">
        <f t="shared" si="59"/>
        <v>0.040600000000000004</v>
      </c>
      <c r="AT262" s="85">
        <v>0.940000000000001</v>
      </c>
      <c r="AU262" s="76">
        <v>0.049</v>
      </c>
      <c r="AV262" s="76">
        <v>0.025</v>
      </c>
      <c r="AW262" s="76">
        <v>0.037</v>
      </c>
      <c r="AY262" s="86">
        <v>0.940000000000001</v>
      </c>
      <c r="AZ262" s="78">
        <f t="shared" si="60"/>
        <v>0.06280000000000001</v>
      </c>
      <c r="BA262" s="78">
        <f t="shared" si="61"/>
        <v>0.031400000000000004</v>
      </c>
      <c r="BB262" s="78">
        <f t="shared" si="62"/>
        <v>0.0476</v>
      </c>
      <c r="BC262" s="86">
        <v>0.940000000000001</v>
      </c>
      <c r="BD262" s="79">
        <v>0.058</v>
      </c>
      <c r="BE262" s="79">
        <v>0.029</v>
      </c>
      <c r="BF262" s="79">
        <v>0.044</v>
      </c>
      <c r="BH262" s="87">
        <v>0.940000000000001</v>
      </c>
      <c r="BI262" s="81">
        <v>0</v>
      </c>
      <c r="BJ262" s="81">
        <f t="shared" si="63"/>
        <v>0.036000000000000004</v>
      </c>
      <c r="BK262" s="81">
        <f t="shared" si="64"/>
        <v>0.054200000000000005</v>
      </c>
      <c r="BL262" s="87">
        <v>0.940000000000001</v>
      </c>
      <c r="BM262" s="82">
        <v>0</v>
      </c>
      <c r="BN262" s="82">
        <v>0.033</v>
      </c>
      <c r="BO262" s="82">
        <v>0.05</v>
      </c>
    </row>
    <row r="263" spans="24:67" s="6" customFormat="1" ht="11.25" customHeight="1">
      <c r="X263" s="83">
        <v>0.950000000000001</v>
      </c>
      <c r="Y263" s="69">
        <f t="shared" si="52"/>
        <v>0.036500000000000005</v>
      </c>
      <c r="Z263" s="69">
        <v>0</v>
      </c>
      <c r="AA263" s="69">
        <f t="shared" si="53"/>
        <v>0.027500000000000004</v>
      </c>
      <c r="AB263" s="83">
        <v>0.950000000000001</v>
      </c>
      <c r="AC263" s="70">
        <v>0.033</v>
      </c>
      <c r="AD263" s="70">
        <v>0</v>
      </c>
      <c r="AE263" s="70">
        <v>0.025</v>
      </c>
      <c r="AG263" s="84">
        <v>0.950000000000001</v>
      </c>
      <c r="AH263" s="72">
        <f t="shared" si="54"/>
        <v>0.044500000000000005</v>
      </c>
      <c r="AI263" s="72">
        <f t="shared" si="55"/>
        <v>0.022500000000000003</v>
      </c>
      <c r="AJ263" s="72">
        <f t="shared" si="56"/>
        <v>0.0335</v>
      </c>
      <c r="AK263" s="84">
        <v>0.950000000000001</v>
      </c>
      <c r="AL263" s="73">
        <v>0.041</v>
      </c>
      <c r="AM263" s="73">
        <v>0.021</v>
      </c>
      <c r="AN263" s="73">
        <v>0.031</v>
      </c>
      <c r="AP263" s="85">
        <v>0.950000000000001</v>
      </c>
      <c r="AQ263" s="75">
        <f t="shared" si="57"/>
        <v>0.053000000000000005</v>
      </c>
      <c r="AR263" s="75">
        <f t="shared" si="58"/>
        <v>0.026500000000000003</v>
      </c>
      <c r="AS263" s="75">
        <f t="shared" si="59"/>
        <v>0.04</v>
      </c>
      <c r="AT263" s="85">
        <v>0.950000000000001</v>
      </c>
      <c r="AU263" s="76">
        <v>0.049</v>
      </c>
      <c r="AV263" s="76">
        <v>0.025</v>
      </c>
      <c r="AW263" s="76">
        <v>0.037</v>
      </c>
      <c r="AY263" s="86">
        <v>0.950000000000001</v>
      </c>
      <c r="AZ263" s="78">
        <f t="shared" si="60"/>
        <v>0.062000000000000006</v>
      </c>
      <c r="BA263" s="78">
        <f t="shared" si="61"/>
        <v>0.031000000000000003</v>
      </c>
      <c r="BB263" s="78">
        <f t="shared" si="62"/>
        <v>0.04700000000000001</v>
      </c>
      <c r="BC263" s="86">
        <v>0.950000000000001</v>
      </c>
      <c r="BD263" s="79">
        <v>0.058</v>
      </c>
      <c r="BE263" s="79">
        <v>0.029</v>
      </c>
      <c r="BF263" s="79">
        <v>0.044</v>
      </c>
      <c r="BH263" s="87">
        <v>0.950000000000001</v>
      </c>
      <c r="BI263" s="81">
        <v>0</v>
      </c>
      <c r="BJ263" s="81">
        <f t="shared" si="63"/>
        <v>0.035500000000000004</v>
      </c>
      <c r="BK263" s="81">
        <f t="shared" si="64"/>
        <v>0.053500000000000006</v>
      </c>
      <c r="BL263" s="87">
        <v>0.950000000000001</v>
      </c>
      <c r="BM263" s="82">
        <v>0</v>
      </c>
      <c r="BN263" s="82">
        <v>0.033</v>
      </c>
      <c r="BO263" s="82">
        <v>0.05</v>
      </c>
    </row>
    <row r="264" spans="24:67" s="6" customFormat="1" ht="11.25" customHeight="1">
      <c r="X264" s="83">
        <v>0.960000000000001</v>
      </c>
      <c r="Y264" s="69">
        <f t="shared" si="52"/>
        <v>0.035800000000000005</v>
      </c>
      <c r="Z264" s="69">
        <v>0</v>
      </c>
      <c r="AA264" s="69">
        <f t="shared" si="53"/>
        <v>0.027000000000000003</v>
      </c>
      <c r="AB264" s="83">
        <v>0.960000000000001</v>
      </c>
      <c r="AC264" s="70">
        <v>0.033</v>
      </c>
      <c r="AD264" s="70">
        <v>0</v>
      </c>
      <c r="AE264" s="70">
        <v>0.025</v>
      </c>
      <c r="AG264" s="84">
        <v>0.960000000000001</v>
      </c>
      <c r="AH264" s="72">
        <f t="shared" si="54"/>
        <v>0.043800000000000006</v>
      </c>
      <c r="AI264" s="72">
        <f t="shared" si="55"/>
        <v>0.022200000000000004</v>
      </c>
      <c r="AJ264" s="72">
        <f t="shared" si="56"/>
        <v>0.033</v>
      </c>
      <c r="AK264" s="84">
        <v>0.960000000000001</v>
      </c>
      <c r="AL264" s="73">
        <v>0.041</v>
      </c>
      <c r="AM264" s="73">
        <v>0.021</v>
      </c>
      <c r="AN264" s="73">
        <v>0.031</v>
      </c>
      <c r="AP264" s="85">
        <v>0.960000000000001</v>
      </c>
      <c r="AQ264" s="75">
        <f t="shared" si="57"/>
        <v>0.05220000000000001</v>
      </c>
      <c r="AR264" s="75">
        <f t="shared" si="58"/>
        <v>0.0262</v>
      </c>
      <c r="AS264" s="75">
        <f t="shared" si="59"/>
        <v>0.039400000000000004</v>
      </c>
      <c r="AT264" s="85">
        <v>0.960000000000001</v>
      </c>
      <c r="AU264" s="76">
        <v>0.049</v>
      </c>
      <c r="AV264" s="76">
        <v>0.025</v>
      </c>
      <c r="AW264" s="76">
        <v>0.037</v>
      </c>
      <c r="AY264" s="86">
        <v>0.960000000000001</v>
      </c>
      <c r="AZ264" s="78">
        <f t="shared" si="60"/>
        <v>0.061200000000000004</v>
      </c>
      <c r="BA264" s="78">
        <f t="shared" si="61"/>
        <v>0.030600000000000002</v>
      </c>
      <c r="BB264" s="78">
        <f t="shared" si="62"/>
        <v>0.046400000000000004</v>
      </c>
      <c r="BC264" s="86">
        <v>0.960000000000001</v>
      </c>
      <c r="BD264" s="79">
        <v>0.058</v>
      </c>
      <c r="BE264" s="79">
        <v>0.029</v>
      </c>
      <c r="BF264" s="79">
        <v>0.044</v>
      </c>
      <c r="BH264" s="87">
        <v>0.960000000000001</v>
      </c>
      <c r="BI264" s="81">
        <v>0</v>
      </c>
      <c r="BJ264" s="81">
        <f t="shared" si="63"/>
        <v>0.035</v>
      </c>
      <c r="BK264" s="81">
        <f t="shared" si="64"/>
        <v>0.05280000000000001</v>
      </c>
      <c r="BL264" s="87">
        <v>0.960000000000001</v>
      </c>
      <c r="BM264" s="82">
        <v>0</v>
      </c>
      <c r="BN264" s="82">
        <v>0.033</v>
      </c>
      <c r="BO264" s="82">
        <v>0.05</v>
      </c>
    </row>
    <row r="265" spans="24:67" s="6" customFormat="1" ht="11.25" customHeight="1">
      <c r="X265" s="83">
        <v>0.970000000000001</v>
      </c>
      <c r="Y265" s="69">
        <f t="shared" si="52"/>
        <v>0.035100000000000006</v>
      </c>
      <c r="Z265" s="69">
        <v>0</v>
      </c>
      <c r="AA265" s="69">
        <f t="shared" si="53"/>
        <v>0.026500000000000003</v>
      </c>
      <c r="AB265" s="83">
        <v>0.970000000000001</v>
      </c>
      <c r="AC265" s="70">
        <v>0.033</v>
      </c>
      <c r="AD265" s="70">
        <v>0</v>
      </c>
      <c r="AE265" s="70">
        <v>0.025</v>
      </c>
      <c r="AG265" s="84">
        <v>0.970000000000001</v>
      </c>
      <c r="AH265" s="72">
        <f t="shared" si="54"/>
        <v>0.043100000000000006</v>
      </c>
      <c r="AI265" s="72">
        <f t="shared" si="55"/>
        <v>0.021900000000000003</v>
      </c>
      <c r="AJ265" s="72">
        <f t="shared" si="56"/>
        <v>0.0325</v>
      </c>
      <c r="AK265" s="84">
        <v>0.970000000000001</v>
      </c>
      <c r="AL265" s="73">
        <v>0.041</v>
      </c>
      <c r="AM265" s="73">
        <v>0.021</v>
      </c>
      <c r="AN265" s="73">
        <v>0.031</v>
      </c>
      <c r="AP265" s="85">
        <v>0.970000000000001</v>
      </c>
      <c r="AQ265" s="75">
        <f t="shared" si="57"/>
        <v>0.05140000000000001</v>
      </c>
      <c r="AR265" s="75">
        <f t="shared" si="58"/>
        <v>0.025900000000000003</v>
      </c>
      <c r="AS265" s="75">
        <f t="shared" si="59"/>
        <v>0.0388</v>
      </c>
      <c r="AT265" s="85">
        <v>0.970000000000001</v>
      </c>
      <c r="AU265" s="76">
        <v>0.049</v>
      </c>
      <c r="AV265" s="76">
        <v>0.025</v>
      </c>
      <c r="AW265" s="76">
        <v>0.037</v>
      </c>
      <c r="AY265" s="86">
        <v>0.970000000000001</v>
      </c>
      <c r="AZ265" s="78">
        <f t="shared" si="60"/>
        <v>0.06040000000000001</v>
      </c>
      <c r="BA265" s="78">
        <f t="shared" si="61"/>
        <v>0.030200000000000005</v>
      </c>
      <c r="BB265" s="78">
        <f t="shared" si="62"/>
        <v>0.0458</v>
      </c>
      <c r="BC265" s="86">
        <v>0.970000000000001</v>
      </c>
      <c r="BD265" s="79">
        <v>0.058</v>
      </c>
      <c r="BE265" s="79">
        <v>0.029</v>
      </c>
      <c r="BF265" s="79">
        <v>0.044</v>
      </c>
      <c r="BH265" s="87">
        <v>0.970000000000001</v>
      </c>
      <c r="BI265" s="81">
        <v>0</v>
      </c>
      <c r="BJ265" s="81">
        <f t="shared" si="63"/>
        <v>0.0345</v>
      </c>
      <c r="BK265" s="81">
        <f t="shared" si="64"/>
        <v>0.05210000000000001</v>
      </c>
      <c r="BL265" s="87">
        <v>0.970000000000001</v>
      </c>
      <c r="BM265" s="82">
        <v>0</v>
      </c>
      <c r="BN265" s="82">
        <v>0.033</v>
      </c>
      <c r="BO265" s="82">
        <v>0.05</v>
      </c>
    </row>
    <row r="266" spans="24:67" s="6" customFormat="1" ht="11.25" customHeight="1">
      <c r="X266" s="83">
        <v>0.980000000000001</v>
      </c>
      <c r="Y266" s="69">
        <f t="shared" si="52"/>
        <v>0.03440000000000001</v>
      </c>
      <c r="Z266" s="69">
        <v>0</v>
      </c>
      <c r="AA266" s="69">
        <f t="shared" si="53"/>
        <v>0.026000000000000002</v>
      </c>
      <c r="AB266" s="83">
        <v>0.980000000000001</v>
      </c>
      <c r="AC266" s="70">
        <v>0.033</v>
      </c>
      <c r="AD266" s="70">
        <v>0</v>
      </c>
      <c r="AE266" s="70">
        <v>0.025</v>
      </c>
      <c r="AG266" s="84">
        <v>0.980000000000001</v>
      </c>
      <c r="AH266" s="72">
        <f t="shared" si="54"/>
        <v>0.04240000000000001</v>
      </c>
      <c r="AI266" s="72">
        <f t="shared" si="55"/>
        <v>0.0216</v>
      </c>
      <c r="AJ266" s="72">
        <f t="shared" si="56"/>
        <v>0.032</v>
      </c>
      <c r="AK266" s="84">
        <v>0.980000000000001</v>
      </c>
      <c r="AL266" s="73">
        <v>0.041</v>
      </c>
      <c r="AM266" s="73">
        <v>0.021</v>
      </c>
      <c r="AN266" s="73">
        <v>0.031</v>
      </c>
      <c r="AP266" s="85">
        <v>0.980000000000001</v>
      </c>
      <c r="AQ266" s="75">
        <f t="shared" si="57"/>
        <v>0.050600000000000006</v>
      </c>
      <c r="AR266" s="75">
        <f t="shared" si="58"/>
        <v>0.0256</v>
      </c>
      <c r="AS266" s="75">
        <f t="shared" si="59"/>
        <v>0.0382</v>
      </c>
      <c r="AT266" s="85">
        <v>0.980000000000001</v>
      </c>
      <c r="AU266" s="76">
        <v>0.049</v>
      </c>
      <c r="AV266" s="76">
        <v>0.025</v>
      </c>
      <c r="AW266" s="76">
        <v>0.037</v>
      </c>
      <c r="AY266" s="86">
        <v>0.980000000000001</v>
      </c>
      <c r="AZ266" s="78">
        <f t="shared" si="60"/>
        <v>0.05960000000000001</v>
      </c>
      <c r="BA266" s="78">
        <f t="shared" si="61"/>
        <v>0.029800000000000004</v>
      </c>
      <c r="BB266" s="78">
        <f t="shared" si="62"/>
        <v>0.045200000000000004</v>
      </c>
      <c r="BC266" s="86">
        <v>0.980000000000001</v>
      </c>
      <c r="BD266" s="79">
        <v>0.058</v>
      </c>
      <c r="BE266" s="79">
        <v>0.029</v>
      </c>
      <c r="BF266" s="79">
        <v>0.044</v>
      </c>
      <c r="BH266" s="87">
        <v>0.980000000000001</v>
      </c>
      <c r="BI266" s="81">
        <v>0</v>
      </c>
      <c r="BJ266" s="81">
        <f t="shared" si="63"/>
        <v>0.034</v>
      </c>
      <c r="BK266" s="81">
        <f t="shared" si="64"/>
        <v>0.05140000000000001</v>
      </c>
      <c r="BL266" s="87">
        <v>0.980000000000001</v>
      </c>
      <c r="BM266" s="82">
        <v>0</v>
      </c>
      <c r="BN266" s="82">
        <v>0.033</v>
      </c>
      <c r="BO266" s="82">
        <v>0.05</v>
      </c>
    </row>
    <row r="267" spans="24:67" s="6" customFormat="1" ht="11.25" customHeight="1">
      <c r="X267" s="83">
        <v>0.990000000000001</v>
      </c>
      <c r="Y267" s="69">
        <f t="shared" si="52"/>
        <v>0.0337</v>
      </c>
      <c r="Z267" s="69">
        <v>0</v>
      </c>
      <c r="AA267" s="69">
        <f t="shared" si="53"/>
        <v>0.025500000000000002</v>
      </c>
      <c r="AB267" s="83">
        <v>0.990000000000001</v>
      </c>
      <c r="AC267" s="70">
        <v>0.033</v>
      </c>
      <c r="AD267" s="70">
        <v>0</v>
      </c>
      <c r="AE267" s="70">
        <v>0.025</v>
      </c>
      <c r="AG267" s="84">
        <v>0.990000000000001</v>
      </c>
      <c r="AH267" s="72">
        <f t="shared" si="54"/>
        <v>0.0417</v>
      </c>
      <c r="AI267" s="72">
        <f t="shared" si="55"/>
        <v>0.021300000000000003</v>
      </c>
      <c r="AJ267" s="72">
        <f t="shared" si="56"/>
        <v>0.0315</v>
      </c>
      <c r="AK267" s="84">
        <v>0.990000000000001</v>
      </c>
      <c r="AL267" s="73">
        <v>0.041</v>
      </c>
      <c r="AM267" s="73">
        <v>0.021</v>
      </c>
      <c r="AN267" s="73">
        <v>0.031</v>
      </c>
      <c r="AP267" s="85">
        <v>0.990000000000001</v>
      </c>
      <c r="AQ267" s="75">
        <f t="shared" si="57"/>
        <v>0.049800000000000004</v>
      </c>
      <c r="AR267" s="75">
        <f t="shared" si="58"/>
        <v>0.025300000000000003</v>
      </c>
      <c r="AS267" s="75">
        <f t="shared" si="59"/>
        <v>0.0376</v>
      </c>
      <c r="AT267" s="85">
        <v>0.990000000000001</v>
      </c>
      <c r="AU267" s="76">
        <v>0.049</v>
      </c>
      <c r="AV267" s="76">
        <v>0.025</v>
      </c>
      <c r="AW267" s="76">
        <v>0.037</v>
      </c>
      <c r="AY267" s="86">
        <v>0.990000000000001</v>
      </c>
      <c r="AZ267" s="78">
        <f t="shared" si="60"/>
        <v>0.058800000000000005</v>
      </c>
      <c r="BA267" s="78">
        <f t="shared" si="61"/>
        <v>0.029400000000000003</v>
      </c>
      <c r="BB267" s="78">
        <f t="shared" si="62"/>
        <v>0.0446</v>
      </c>
      <c r="BC267" s="86">
        <v>0.990000000000001</v>
      </c>
      <c r="BD267" s="79">
        <v>0.058</v>
      </c>
      <c r="BE267" s="79">
        <v>0.029</v>
      </c>
      <c r="BF267" s="79">
        <v>0.044</v>
      </c>
      <c r="BH267" s="87">
        <v>0.990000000000001</v>
      </c>
      <c r="BI267" s="81">
        <v>0</v>
      </c>
      <c r="BJ267" s="81">
        <f t="shared" si="63"/>
        <v>0.0335</v>
      </c>
      <c r="BK267" s="81">
        <f t="shared" si="64"/>
        <v>0.0507</v>
      </c>
      <c r="BL267" s="87">
        <v>0.990000000000001</v>
      </c>
      <c r="BM267" s="82">
        <v>0</v>
      </c>
      <c r="BN267" s="82">
        <v>0.033</v>
      </c>
      <c r="BO267" s="82">
        <v>0.05</v>
      </c>
    </row>
    <row r="268" spans="24:67" s="6" customFormat="1" ht="11.25" customHeight="1">
      <c r="X268" s="88">
        <v>1</v>
      </c>
      <c r="Y268" s="89">
        <v>0.033</v>
      </c>
      <c r="Z268" s="89">
        <v>0</v>
      </c>
      <c r="AA268" s="89">
        <v>0.025</v>
      </c>
      <c r="AB268" s="88">
        <v>1</v>
      </c>
      <c r="AC268" s="70">
        <v>0.033</v>
      </c>
      <c r="AD268" s="70">
        <v>0</v>
      </c>
      <c r="AE268" s="70">
        <v>0.025</v>
      </c>
      <c r="AG268" s="90">
        <v>1</v>
      </c>
      <c r="AH268" s="91">
        <v>0.041</v>
      </c>
      <c r="AI268" s="91">
        <v>0.021</v>
      </c>
      <c r="AJ268" s="91">
        <v>0.031</v>
      </c>
      <c r="AK268" s="90">
        <v>1</v>
      </c>
      <c r="AL268" s="73">
        <v>0.041</v>
      </c>
      <c r="AM268" s="73">
        <v>0.021</v>
      </c>
      <c r="AN268" s="73">
        <v>0.031</v>
      </c>
      <c r="AP268" s="92">
        <v>1</v>
      </c>
      <c r="AQ268" s="93">
        <v>0.049</v>
      </c>
      <c r="AR268" s="93">
        <v>0.025</v>
      </c>
      <c r="AS268" s="93">
        <v>0.037</v>
      </c>
      <c r="AT268" s="92">
        <v>1</v>
      </c>
      <c r="AU268" s="76">
        <v>0.049</v>
      </c>
      <c r="AV268" s="76">
        <v>0.025</v>
      </c>
      <c r="AW268" s="76">
        <v>0.037</v>
      </c>
      <c r="AY268" s="94">
        <v>1</v>
      </c>
      <c r="AZ268" s="95">
        <v>0.058</v>
      </c>
      <c r="BA268" s="95">
        <v>0.029</v>
      </c>
      <c r="BB268" s="95">
        <v>0.044</v>
      </c>
      <c r="BC268" s="94">
        <v>1</v>
      </c>
      <c r="BD268" s="79">
        <v>0.058</v>
      </c>
      <c r="BE268" s="79">
        <v>0.029</v>
      </c>
      <c r="BF268" s="79">
        <v>0.044</v>
      </c>
      <c r="BH268" s="96">
        <v>1</v>
      </c>
      <c r="BI268" s="97">
        <v>0</v>
      </c>
      <c r="BJ268" s="97">
        <v>0.033</v>
      </c>
      <c r="BK268" s="97">
        <v>0.05</v>
      </c>
      <c r="BL268" s="87">
        <v>1</v>
      </c>
      <c r="BM268" s="82">
        <v>0</v>
      </c>
      <c r="BN268" s="82">
        <v>0.033</v>
      </c>
      <c r="BO268" s="82">
        <v>0.05</v>
      </c>
    </row>
    <row r="269" s="6" customFormat="1" ht="11.25" customHeight="1"/>
    <row r="270" s="6" customFormat="1" ht="11.25" customHeight="1"/>
    <row r="271" s="6" customFormat="1" ht="11.25" customHeight="1"/>
    <row r="272" s="6" customFormat="1" ht="11.25" customHeight="1"/>
    <row r="273" s="6" customFormat="1" ht="11.25" customHeight="1"/>
    <row r="274" s="6" customFormat="1" ht="11.25" customHeight="1"/>
    <row r="275" s="6" customFormat="1" ht="11.25" customHeight="1"/>
    <row r="276" s="6" customFormat="1" ht="11.25" customHeight="1"/>
    <row r="277" s="6" customFormat="1" ht="11.25" customHeight="1"/>
    <row r="278" s="6" customFormat="1" ht="11.25" customHeight="1"/>
    <row r="279" s="6" customFormat="1" ht="11.25" customHeight="1"/>
    <row r="280" s="6" customFormat="1" ht="11.25" customHeight="1"/>
    <row r="281" s="6" customFormat="1" ht="11.25" customHeight="1"/>
    <row r="282" s="6" customFormat="1" ht="11.25" customHeight="1"/>
    <row r="283" s="6" customFormat="1" ht="11.25" customHeight="1"/>
    <row r="284" s="6" customFormat="1" ht="11.25" customHeight="1"/>
    <row r="285" s="6" customFormat="1" ht="11.25" customHeight="1"/>
    <row r="286" s="6" customFormat="1" ht="11.25" customHeight="1"/>
    <row r="287" s="6" customFormat="1" ht="11.25" customHeight="1"/>
    <row r="288" s="6" customFormat="1" ht="11.25" customHeight="1"/>
    <row r="289" s="6" customFormat="1" ht="11.25" customHeight="1"/>
    <row r="290" s="6" customFormat="1" ht="11.25" customHeight="1"/>
    <row r="291" s="6" customFormat="1" ht="11.25" customHeight="1"/>
    <row r="292" s="6" customFormat="1" ht="11.25" customHeight="1"/>
    <row r="293" s="6" customFormat="1" ht="11.25" customHeight="1"/>
    <row r="294" s="6" customFormat="1" ht="11.25" customHeight="1"/>
    <row r="295" s="6" customFormat="1" ht="11.25" customHeight="1"/>
    <row r="296" s="6" customFormat="1" ht="11.25" customHeight="1"/>
    <row r="297" s="6" customFormat="1" ht="11.25" customHeight="1"/>
    <row r="298" s="6" customFormat="1" ht="11.25" customHeight="1"/>
    <row r="299" s="6" customFormat="1" ht="11.25" customHeight="1"/>
    <row r="300" s="6" customFormat="1" ht="11.25" customHeight="1"/>
    <row r="301" s="6" customFormat="1" ht="11.25" customHeight="1"/>
    <row r="302" s="6" customFormat="1" ht="11.25" customHeight="1"/>
    <row r="303" s="6" customFormat="1" ht="11.25" customHeight="1"/>
    <row r="304" s="6" customFormat="1" ht="11.25" customHeight="1"/>
    <row r="305" s="6" customFormat="1" ht="11.25" customHeight="1"/>
    <row r="306" s="6" customFormat="1" ht="11.25" customHeight="1"/>
    <row r="307" s="6" customFormat="1" ht="11.25" customHeight="1"/>
    <row r="308" s="6" customFormat="1" ht="11.25" customHeight="1"/>
    <row r="309" s="6" customFormat="1" ht="11.25" customHeight="1"/>
    <row r="310" s="6" customFormat="1" ht="11.25" customHeight="1"/>
    <row r="311" s="6" customFormat="1" ht="11.25" customHeight="1"/>
    <row r="312" s="6" customFormat="1" ht="11.25" customHeight="1"/>
    <row r="313" s="6" customFormat="1" ht="11.25" customHeight="1"/>
    <row r="314" s="6" customFormat="1" ht="11.25" customHeight="1"/>
    <row r="315" s="6" customFormat="1" ht="11.25" customHeight="1"/>
    <row r="316" s="6" customFormat="1" ht="11.25" customHeight="1"/>
    <row r="317" s="6" customFormat="1" ht="11.25" customHeight="1"/>
    <row r="318" s="6" customFormat="1" ht="11.25" customHeight="1"/>
    <row r="319" s="6" customFormat="1" ht="11.25" customHeight="1"/>
    <row r="320" s="6" customFormat="1" ht="11.25" customHeight="1"/>
    <row r="321" s="6" customFormat="1" ht="11.25" customHeight="1"/>
    <row r="322" s="6" customFormat="1" ht="11.25" customHeight="1"/>
    <row r="323" s="6" customFormat="1" ht="11.25" customHeight="1"/>
    <row r="324" s="6" customFormat="1" ht="11.25" customHeight="1"/>
    <row r="325" s="6" customFormat="1" ht="11.25" customHeight="1"/>
    <row r="326" s="6" customFormat="1" ht="11.25" customHeight="1"/>
    <row r="327" s="6" customFormat="1" ht="11.25" customHeight="1"/>
    <row r="328" s="6" customFormat="1" ht="11.25" customHeight="1"/>
    <row r="329" s="6" customFormat="1" ht="11.25" customHeight="1"/>
    <row r="330" s="6" customFormat="1" ht="11.25" customHeight="1"/>
    <row r="331" s="6" customFormat="1" ht="11.25" customHeight="1"/>
    <row r="332" s="6" customFormat="1" ht="11.25" customHeight="1"/>
    <row r="333" s="6" customFormat="1" ht="11.25" customHeight="1"/>
    <row r="334" s="6" customFormat="1" ht="11.25" customHeight="1"/>
    <row r="335" s="6" customFormat="1" ht="11.25" customHeight="1"/>
    <row r="336" s="6" customFormat="1" ht="11.25" customHeight="1"/>
    <row r="337" s="6" customFormat="1" ht="11.25" customHeight="1"/>
    <row r="338" s="6" customFormat="1" ht="11.25" customHeight="1"/>
    <row r="339" s="6" customFormat="1" ht="11.25" customHeight="1"/>
    <row r="340" s="6" customFormat="1" ht="11.25" customHeight="1"/>
    <row r="341" s="6" customFormat="1" ht="11.25" customHeight="1"/>
    <row r="342" s="6" customFormat="1" ht="11.25" customHeight="1"/>
    <row r="343" s="6" customFormat="1" ht="11.25" customHeight="1"/>
    <row r="344" s="6" customFormat="1" ht="11.25" customHeight="1"/>
    <row r="345" s="6" customFormat="1" ht="11.25" customHeight="1"/>
    <row r="346" s="6" customFormat="1" ht="11.25" customHeight="1"/>
    <row r="347" s="6" customFormat="1" ht="11.25" customHeight="1"/>
    <row r="348" s="6" customFormat="1" ht="11.25" customHeight="1"/>
    <row r="349" s="6" customFormat="1" ht="11.25" customHeight="1"/>
    <row r="350" s="6" customFormat="1" ht="11.25" customHeight="1"/>
    <row r="351" s="6" customFormat="1" ht="11.25" customHeight="1"/>
    <row r="352" s="6" customFormat="1" ht="11.25" customHeight="1"/>
    <row r="353" s="6" customFormat="1" ht="11.25" customHeight="1"/>
    <row r="354" s="6" customFormat="1" ht="11.25" customHeight="1"/>
    <row r="355" s="6" customFormat="1" ht="11.25" customHeight="1"/>
    <row r="356" s="6" customFormat="1" ht="11.25" customHeight="1"/>
    <row r="357" s="6" customFormat="1" ht="11.25" customHeight="1"/>
    <row r="358" s="6" customFormat="1" ht="11.25" customHeight="1"/>
    <row r="359" s="6" customFormat="1" ht="11.25" customHeight="1"/>
    <row r="360" s="6" customFormat="1" ht="11.25" customHeight="1"/>
    <row r="361" s="6" customFormat="1" ht="11.25" customHeight="1"/>
    <row r="362" s="6" customFormat="1" ht="11.25" customHeight="1"/>
    <row r="363" s="6" customFormat="1" ht="11.25" customHeight="1"/>
    <row r="364" s="6" customFormat="1" ht="11.25" customHeight="1"/>
    <row r="365" s="6" customFormat="1" ht="11.25" customHeight="1"/>
    <row r="366" s="6" customFormat="1" ht="11.25" customHeight="1"/>
    <row r="367" s="6" customFormat="1" ht="11.25" customHeight="1"/>
    <row r="368" s="6" customFormat="1" ht="11.25" customHeight="1"/>
    <row r="369" s="6" customFormat="1" ht="11.25" customHeight="1"/>
    <row r="370" s="6" customFormat="1" ht="11.25" customHeight="1"/>
    <row r="371" s="6" customFormat="1" ht="11.25" customHeight="1"/>
    <row r="372" s="6" customFormat="1" ht="11.25" customHeight="1"/>
    <row r="373" s="6" customFormat="1" ht="11.25" customHeight="1"/>
    <row r="374" s="6" customFormat="1" ht="11.25" customHeight="1"/>
    <row r="375" s="6" customFormat="1" ht="11.25" customHeight="1"/>
    <row r="376" s="6" customFormat="1" ht="11.25" customHeight="1"/>
    <row r="377" s="6" customFormat="1" ht="11.25" customHeight="1"/>
    <row r="378" s="6" customFormat="1" ht="11.25" customHeight="1"/>
    <row r="379" s="6" customFormat="1" ht="11.25" customHeight="1"/>
    <row r="380" s="6" customFormat="1" ht="11.25" customHeight="1"/>
    <row r="381" s="6" customFormat="1" ht="11.25" customHeight="1"/>
    <row r="382" s="6" customFormat="1" ht="11.25" customHeight="1"/>
    <row r="383" s="6" customFormat="1" ht="11.25" customHeight="1"/>
    <row r="384" s="6" customFormat="1" ht="11.25" customHeight="1"/>
    <row r="385" s="6" customFormat="1" ht="11.25" customHeight="1"/>
    <row r="386" s="6" customFormat="1" ht="11.25" customHeight="1"/>
    <row r="387" s="6" customFormat="1" ht="11.25" customHeight="1"/>
    <row r="388" s="6" customFormat="1" ht="11.25" customHeight="1"/>
    <row r="389" s="6" customFormat="1" ht="11.25" customHeight="1"/>
    <row r="390" s="6" customFormat="1" ht="11.25" customHeight="1"/>
    <row r="391" s="6" customFormat="1" ht="11.25" customHeight="1"/>
    <row r="392" s="6" customFormat="1" ht="11.25" customHeight="1"/>
    <row r="393" s="6" customFormat="1" ht="11.25" customHeight="1"/>
    <row r="394" s="6" customFormat="1" ht="11.25" customHeight="1"/>
    <row r="395" s="6" customFormat="1" ht="11.25" customHeight="1"/>
    <row r="396" s="6" customFormat="1" ht="11.25" customHeight="1"/>
    <row r="397" s="6" customFormat="1" ht="11.25" customHeight="1"/>
    <row r="398" s="6" customFormat="1" ht="11.25" customHeight="1"/>
    <row r="399" s="6" customFormat="1" ht="11.25" customHeight="1"/>
    <row r="400" s="6" customFormat="1" ht="11.25" customHeight="1"/>
    <row r="401" s="6" customFormat="1" ht="11.25" customHeight="1"/>
    <row r="402" s="6" customFormat="1" ht="11.25" customHeight="1"/>
    <row r="403" s="6" customFormat="1" ht="11.25" customHeight="1"/>
    <row r="404" s="6" customFormat="1" ht="11.25" customHeight="1"/>
    <row r="405" s="6" customFormat="1" ht="11.25" customHeight="1"/>
    <row r="406" s="6" customFormat="1" ht="11.25" customHeight="1"/>
    <row r="407" s="6" customFormat="1" ht="11.25" customHeight="1"/>
    <row r="408" s="6" customFormat="1" ht="11.25" customHeight="1"/>
    <row r="409" s="6" customFormat="1" ht="11.25" customHeight="1"/>
    <row r="410" s="6" customFormat="1" ht="11.25" customHeight="1"/>
    <row r="411" s="6" customFormat="1" ht="11.25" customHeight="1"/>
    <row r="412" s="6" customFormat="1" ht="11.25" customHeight="1"/>
    <row r="413" s="6" customFormat="1" ht="11.25" customHeight="1"/>
    <row r="414" s="6" customFormat="1" ht="11.25" customHeight="1"/>
    <row r="415" s="6" customFormat="1" ht="11.25" customHeight="1"/>
    <row r="416" s="6" customFormat="1" ht="11.25" customHeight="1"/>
    <row r="417" s="6" customFormat="1" ht="11.25" customHeight="1"/>
    <row r="418" s="6" customFormat="1" ht="11.25" customHeight="1"/>
    <row r="419" s="6" customFormat="1" ht="11.25" customHeight="1"/>
    <row r="420" s="6" customFormat="1" ht="11.25" customHeight="1"/>
    <row r="421" s="6" customFormat="1" ht="11.25" customHeight="1"/>
    <row r="422" s="6" customFormat="1" ht="11.25" customHeight="1"/>
    <row r="423" s="6" customFormat="1" ht="11.25" customHeight="1"/>
    <row r="424" s="6" customFormat="1" ht="11.25" customHeight="1"/>
    <row r="425" s="6" customFormat="1" ht="11.25" customHeight="1"/>
    <row r="426" s="6" customFormat="1" ht="11.25" customHeight="1"/>
    <row r="427" s="6" customFormat="1" ht="11.25" customHeight="1"/>
    <row r="428" s="6" customFormat="1" ht="11.25" customHeight="1"/>
    <row r="429" s="6" customFormat="1" ht="11.25" customHeight="1"/>
    <row r="430" s="6" customFormat="1" ht="11.25" customHeight="1"/>
    <row r="431" s="6" customFormat="1" ht="11.25" customHeight="1"/>
    <row r="432" s="6" customFormat="1" ht="11.25" customHeight="1"/>
    <row r="433" s="6" customFormat="1" ht="11.25" customHeight="1"/>
    <row r="434" s="6" customFormat="1" ht="11.25" customHeight="1"/>
    <row r="435" s="6" customFormat="1" ht="11.25" customHeight="1"/>
    <row r="436" s="6" customFormat="1" ht="11.25" customHeight="1"/>
    <row r="437" s="6" customFormat="1" ht="11.25" customHeight="1"/>
    <row r="438" s="6" customFormat="1" ht="11.25" customHeight="1"/>
    <row r="439" s="6" customFormat="1" ht="11.25" customHeight="1"/>
    <row r="440" s="6" customFormat="1" ht="11.25" customHeight="1"/>
    <row r="441" s="6" customFormat="1" ht="11.25" customHeight="1"/>
    <row r="442" s="6" customFormat="1" ht="11.25" customHeight="1"/>
    <row r="443" s="6" customFormat="1" ht="11.25" customHeight="1"/>
    <row r="444" s="6" customFormat="1" ht="11.25" customHeight="1"/>
    <row r="445" s="6" customFormat="1" ht="11.25" customHeight="1"/>
    <row r="446" s="6" customFormat="1" ht="11.25" customHeight="1"/>
    <row r="447" s="6" customFormat="1" ht="11.25" customHeight="1"/>
    <row r="448" s="6" customFormat="1" ht="11.25" customHeight="1"/>
    <row r="449" s="6" customFormat="1" ht="11.25" customHeight="1"/>
    <row r="450" s="6" customFormat="1" ht="11.25" customHeight="1"/>
    <row r="451" s="6" customFormat="1" ht="11.25" customHeight="1"/>
    <row r="452" s="6" customFormat="1" ht="11.25" customHeight="1"/>
    <row r="453" s="6" customFormat="1" ht="11.25" customHeight="1"/>
    <row r="454" s="6" customFormat="1" ht="11.25" customHeight="1"/>
    <row r="455" s="6" customFormat="1" ht="11.25" customHeight="1"/>
    <row r="456" s="6" customFormat="1" ht="11.25" customHeight="1"/>
    <row r="457" s="6" customFormat="1" ht="11.25" customHeight="1"/>
    <row r="458" s="6" customFormat="1" ht="11.25" customHeight="1"/>
    <row r="459" s="6" customFormat="1" ht="11.25" customHeight="1"/>
    <row r="460" s="6" customFormat="1" ht="11.25" customHeight="1"/>
    <row r="461" s="6" customFormat="1" ht="11.25" customHeight="1"/>
    <row r="462" s="6" customFormat="1" ht="11.25" customHeight="1"/>
    <row r="463" s="6" customFormat="1" ht="11.25" customHeight="1"/>
    <row r="464" s="6" customFormat="1" ht="11.25" customHeight="1"/>
    <row r="465" s="6" customFormat="1" ht="11.25" customHeight="1"/>
    <row r="466" s="6" customFormat="1" ht="11.25" customHeight="1"/>
    <row r="467" s="6" customFormat="1" ht="11.25" customHeight="1"/>
    <row r="468" s="6" customFormat="1" ht="11.25" customHeight="1"/>
    <row r="469" spans="2:22" ht="11.25" customHeight="1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2:22" ht="11.25" customHeight="1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</sheetData>
  <sheetProtection/>
  <mergeCells count="147">
    <mergeCell ref="C2:G3"/>
    <mergeCell ref="C4:G5"/>
    <mergeCell ref="C86:G87"/>
    <mergeCell ref="C88:G89"/>
    <mergeCell ref="J79:L79"/>
    <mergeCell ref="P70:Q70"/>
    <mergeCell ref="D44:E44"/>
    <mergeCell ref="F38:G38"/>
    <mergeCell ref="H36:I36"/>
    <mergeCell ref="I115:M115"/>
    <mergeCell ref="J2:M2"/>
    <mergeCell ref="J3:M3"/>
    <mergeCell ref="J4:M4"/>
    <mergeCell ref="H13:I13"/>
    <mergeCell ref="J49:K49"/>
    <mergeCell ref="L38:M38"/>
    <mergeCell ref="H44:I44"/>
    <mergeCell ref="H25:I25"/>
    <mergeCell ref="J38:K38"/>
    <mergeCell ref="U2:U5"/>
    <mergeCell ref="U86:U89"/>
    <mergeCell ref="O3:P3"/>
    <mergeCell ref="O4:P4"/>
    <mergeCell ref="B6:V6"/>
    <mergeCell ref="S10:T10"/>
    <mergeCell ref="H12:I12"/>
    <mergeCell ref="H10:I10"/>
    <mergeCell ref="H11:I11"/>
    <mergeCell ref="J78:L78"/>
    <mergeCell ref="S12:T12"/>
    <mergeCell ref="F39:G39"/>
    <mergeCell ref="L36:M36"/>
    <mergeCell ref="N36:O36"/>
    <mergeCell ref="D40:E40"/>
    <mergeCell ref="F40:G40"/>
    <mergeCell ref="D39:E39"/>
    <mergeCell ref="S13:T13"/>
    <mergeCell ref="H16:I16"/>
    <mergeCell ref="H17:I17"/>
    <mergeCell ref="S11:T11"/>
    <mergeCell ref="H40:I40"/>
    <mergeCell ref="J40:K40"/>
    <mergeCell ref="S16:T16"/>
    <mergeCell ref="S17:T17"/>
    <mergeCell ref="H39:I39"/>
    <mergeCell ref="P38:Q38"/>
    <mergeCell ref="N39:O39"/>
    <mergeCell ref="L39:M39"/>
    <mergeCell ref="H38:I38"/>
    <mergeCell ref="P43:Q43"/>
    <mergeCell ref="N43:O43"/>
    <mergeCell ref="L43:M43"/>
    <mergeCell ref="D36:E36"/>
    <mergeCell ref="F36:G36"/>
    <mergeCell ref="J36:K36"/>
    <mergeCell ref="P37:Q37"/>
    <mergeCell ref="N37:O37"/>
    <mergeCell ref="D38:E38"/>
    <mergeCell ref="D45:E45"/>
    <mergeCell ref="J44:K44"/>
    <mergeCell ref="L42:M42"/>
    <mergeCell ref="R46:S46"/>
    <mergeCell ref="P46:Q46"/>
    <mergeCell ref="N46:O46"/>
    <mergeCell ref="L46:M46"/>
    <mergeCell ref="R45:S45"/>
    <mergeCell ref="P45:Q45"/>
    <mergeCell ref="R43:S43"/>
    <mergeCell ref="D42:E42"/>
    <mergeCell ref="F42:G42"/>
    <mergeCell ref="J39:K39"/>
    <mergeCell ref="H42:I42"/>
    <mergeCell ref="P39:Q39"/>
    <mergeCell ref="F44:G44"/>
    <mergeCell ref="F43:G43"/>
    <mergeCell ref="H43:I43"/>
    <mergeCell ref="H45:I45"/>
    <mergeCell ref="R37:S37"/>
    <mergeCell ref="L37:M37"/>
    <mergeCell ref="N40:O40"/>
    <mergeCell ref="L40:M40"/>
    <mergeCell ref="D37:E37"/>
    <mergeCell ref="F37:G37"/>
    <mergeCell ref="H37:I37"/>
    <mergeCell ref="J37:K37"/>
    <mergeCell ref="D46:E46"/>
    <mergeCell ref="F46:G46"/>
    <mergeCell ref="R42:S42"/>
    <mergeCell ref="P42:Q42"/>
    <mergeCell ref="N42:O42"/>
    <mergeCell ref="H46:I46"/>
    <mergeCell ref="D43:E43"/>
    <mergeCell ref="J43:K43"/>
    <mergeCell ref="J54:K54"/>
    <mergeCell ref="J55:K55"/>
    <mergeCell ref="R44:S44"/>
    <mergeCell ref="L44:M44"/>
    <mergeCell ref="J51:K51"/>
    <mergeCell ref="L50:M50"/>
    <mergeCell ref="N50:O50"/>
    <mergeCell ref="P50:Q50"/>
    <mergeCell ref="R50:S50"/>
    <mergeCell ref="J45:K45"/>
    <mergeCell ref="P49:Q49"/>
    <mergeCell ref="J46:K46"/>
    <mergeCell ref="N25:O25"/>
    <mergeCell ref="P40:Q40"/>
    <mergeCell ref="R36:S36"/>
    <mergeCell ref="F45:G45"/>
    <mergeCell ref="S31:T31"/>
    <mergeCell ref="R40:S40"/>
    <mergeCell ref="R39:S39"/>
    <mergeCell ref="R38:S38"/>
    <mergeCell ref="Q2:T2"/>
    <mergeCell ref="Q3:T3"/>
    <mergeCell ref="Q4:T4"/>
    <mergeCell ref="Q86:T86"/>
    <mergeCell ref="T25:U25"/>
    <mergeCell ref="T50:T51"/>
    <mergeCell ref="P44:Q44"/>
    <mergeCell ref="O19:Q19"/>
    <mergeCell ref="Q33:R33"/>
    <mergeCell ref="R49:S49"/>
    <mergeCell ref="P36:Q36"/>
    <mergeCell ref="N44:O44"/>
    <mergeCell ref="L45:M45"/>
    <mergeCell ref="N45:O45"/>
    <mergeCell ref="N38:O38"/>
    <mergeCell ref="B90:V90"/>
    <mergeCell ref="N49:O49"/>
    <mergeCell ref="L49:M49"/>
    <mergeCell ref="J42:K42"/>
    <mergeCell ref="J50:K50"/>
    <mergeCell ref="R51:S51"/>
    <mergeCell ref="U50:U51"/>
    <mergeCell ref="I50:I51"/>
    <mergeCell ref="O87:P87"/>
    <mergeCell ref="Q87:T87"/>
    <mergeCell ref="Q88:T88"/>
    <mergeCell ref="O88:P88"/>
    <mergeCell ref="P51:Q51"/>
    <mergeCell ref="N51:O51"/>
    <mergeCell ref="L51:M51"/>
  </mergeCells>
  <conditionalFormatting sqref="H41 N41 O54 N47">
    <cfRule type="cellIs" priority="15" dxfId="10" operator="equal" stopIfTrue="1">
      <formula>"Try again"</formula>
    </cfRule>
  </conditionalFormatting>
  <conditionalFormatting sqref="Q33">
    <cfRule type="cellIs" priority="10" dxfId="11" operator="equal" stopIfTrue="1">
      <formula>"Try Depth Again"</formula>
    </cfRule>
  </conditionalFormatting>
  <conditionalFormatting sqref="Q33:R33">
    <cfRule type="colorScale" priority="9" dxfId="9">
      <colorScale>
        <cfvo type="min" val="0"/>
        <cfvo type="max"/>
        <color rgb="FFFF7128"/>
        <color theme="1"/>
      </colorScale>
    </cfRule>
  </conditionalFormatting>
  <conditionalFormatting sqref="S31:T31">
    <cfRule type="cellIs" priority="8" dxfId="12" operator="equal" stopIfTrue="1">
      <formula>"Try Depth again"</formula>
    </cfRule>
  </conditionalFormatting>
  <conditionalFormatting sqref="T25:U25">
    <cfRule type="cellIs" priority="7" dxfId="13" operator="equal" stopIfTrue="1">
      <formula>"One Way Slab"</formula>
    </cfRule>
  </conditionalFormatting>
  <conditionalFormatting sqref="W38:W40">
    <cfRule type="cellIs" priority="6" dxfId="14" operator="equal" stopIfTrue="1">
      <formula>"Try Again"</formula>
    </cfRule>
  </conditionalFormatting>
  <conditionalFormatting sqref="W38:W40">
    <cfRule type="cellIs" priority="5" dxfId="15" operator="equal" stopIfTrue="1">
      <formula>"NG."</formula>
    </cfRule>
  </conditionalFormatting>
  <conditionalFormatting sqref="W44:W46">
    <cfRule type="cellIs" priority="4" dxfId="14" operator="equal" stopIfTrue="1">
      <formula>"Try Again"</formula>
    </cfRule>
  </conditionalFormatting>
  <conditionalFormatting sqref="W44:W46">
    <cfRule type="cellIs" priority="3" dxfId="15" operator="equal" stopIfTrue="1">
      <formula>"NG."</formula>
    </cfRule>
  </conditionalFormatting>
  <conditionalFormatting sqref="U50">
    <cfRule type="cellIs" priority="2" dxfId="14" operator="equal" stopIfTrue="1">
      <formula>"Try Again"</formula>
    </cfRule>
  </conditionalFormatting>
  <conditionalFormatting sqref="U50">
    <cfRule type="cellIs" priority="1" dxfId="15" operator="equal" stopIfTrue="1">
      <formula>"NG."</formula>
    </cfRule>
  </conditionalFormatting>
  <dataValidations count="7">
    <dataValidation type="list" allowBlank="1" showInputMessage="1" showErrorMessage="1" sqref="D25">
      <formula1>"1,2,3,4,5"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U47 U41">
      <formula1>"6,9,10,12,15,15,19,20,25"</formula1>
    </dataValidation>
    <dataValidation type="list" allowBlank="1" showInputMessage="1" showErrorMessage="1" sqref="V36">
      <formula1>$J$36:$S$36</formula1>
    </dataValidation>
    <dataValidation type="list" allowBlank="1" showInputMessage="1" showErrorMessage="1" sqref="V42">
      <formula1>$J$42:$S$42</formula1>
    </dataValidation>
    <dataValidation type="list" allowBlank="1" showInputMessage="1" showErrorMessage="1" sqref="T49">
      <formula1>$J$49:$S$49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2"/>
  <headerFooter>
    <oddFooter>&amp;L&amp;11&amp;Z&amp;F&amp;R&amp;11&amp;D/&amp;T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2013-11-21T13:05:22Z</cp:lastPrinted>
  <dcterms:created xsi:type="dcterms:W3CDTF">2008-06-04T11:41:54Z</dcterms:created>
  <dcterms:modified xsi:type="dcterms:W3CDTF">2014-01-14T13:36:50Z</dcterms:modified>
  <cp:category/>
  <cp:version/>
  <cp:contentType/>
  <cp:contentStatus/>
</cp:coreProperties>
</file>