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ITTIKUN PHONSUWAN\สร้างเพจ วิศวะจับฉ่าย\ลงFB\เเจก Excel\"/>
    </mc:Choice>
  </mc:AlternateContent>
  <bookViews>
    <workbookView xWindow="9105" yWindow="555" windowWidth="11595" windowHeight="9525" tabRatio="825"/>
  </bookViews>
  <sheets>
    <sheet name="Foundation Wall (SDM)" sheetId="807" r:id="rId1"/>
  </sheets>
  <definedNames>
    <definedName name="_xlnm.Print_Area" localSheetId="0">'Foundation Wall (SDM)'!$A$1:$S$52</definedName>
    <definedName name="_xlnm.Print_Titles" localSheetId="0">'Foundation Wall (SDM)'!$1:$4</definedName>
  </definedNames>
  <calcPr calcId="162913"/>
  <fileRecoveryPr autoRecover="0"/>
</workbook>
</file>

<file path=xl/calcChain.xml><?xml version="1.0" encoding="utf-8"?>
<calcChain xmlns="http://schemas.openxmlformats.org/spreadsheetml/2006/main">
  <c r="W46" i="807" l="1"/>
  <c r="T23" i="807" l="1"/>
  <c r="Q15" i="807" l="1"/>
  <c r="Q16" i="807"/>
  <c r="Q45" i="807"/>
  <c r="F50" i="807" s="1"/>
  <c r="H50" i="807" s="1"/>
  <c r="I50" i="807" s="1"/>
  <c r="Q10" i="807"/>
  <c r="V47" i="807"/>
  <c r="J43" i="807" s="1"/>
  <c r="U37" i="807"/>
  <c r="Q33" i="807"/>
  <c r="Q37" i="807" s="1"/>
  <c r="AE32" i="807"/>
  <c r="AA28" i="807"/>
  <c r="Y27" i="807"/>
  <c r="Q27" i="807"/>
  <c r="Q19" i="807"/>
  <c r="Y28" i="807" l="1"/>
  <c r="Q18" i="807"/>
  <c r="Q30" i="807"/>
  <c r="AB43" i="807" s="1"/>
  <c r="AB5" i="807"/>
  <c r="Q17" i="807"/>
  <c r="Q26" i="807" s="1"/>
  <c r="Q29" i="807" s="1"/>
  <c r="AC28" i="807"/>
  <c r="AD28" i="807" s="1"/>
  <c r="Q11" i="807"/>
  <c r="Q12" i="807" s="1"/>
  <c r="Q39" i="807"/>
  <c r="Q40" i="807" s="1"/>
  <c r="Q42" i="807" s="1"/>
  <c r="Q43" i="807" s="1"/>
  <c r="R50" i="807"/>
  <c r="S50" i="807" s="1"/>
  <c r="N50" i="807"/>
  <c r="O50" i="807" s="1"/>
  <c r="J50" i="807"/>
  <c r="K50" i="807" s="1"/>
  <c r="P50" i="807"/>
  <c r="Q50" i="807" s="1"/>
  <c r="L50" i="807"/>
  <c r="Q28" i="807"/>
  <c r="S28" i="807" s="1"/>
  <c r="Y8" i="807"/>
  <c r="Q13" i="807" s="1"/>
  <c r="Q44" i="807"/>
  <c r="Y9" i="807"/>
  <c r="Q36" i="807" l="1"/>
  <c r="S37" i="807" s="1"/>
  <c r="F49" i="807"/>
  <c r="R49" i="807" s="1"/>
  <c r="S49" i="807" s="1"/>
  <c r="Q22" i="807"/>
  <c r="Q23" i="807" s="1"/>
  <c r="L52" i="807"/>
  <c r="O52" i="807" s="1"/>
  <c r="M50" i="807"/>
  <c r="P49" i="807" l="1"/>
  <c r="Q49" i="807" s="1"/>
  <c r="J49" i="807"/>
  <c r="K49" i="807" s="1"/>
  <c r="L49" i="807"/>
  <c r="M49" i="807" s="1"/>
  <c r="N49" i="807"/>
  <c r="O49" i="807" s="1"/>
  <c r="H49" i="807"/>
  <c r="I49" i="807" s="1"/>
  <c r="X23" i="807"/>
  <c r="W38" i="807"/>
  <c r="E52" i="807" l="1"/>
  <c r="H52" i="807" l="1"/>
  <c r="X37" i="807" s="1"/>
</calcChain>
</file>

<file path=xl/comments1.xml><?xml version="1.0" encoding="utf-8"?>
<comments xmlns="http://schemas.openxmlformats.org/spreadsheetml/2006/main">
  <authors>
    <author>HP</author>
  </authors>
  <commentList>
    <comment ref="V19" authorId="0" shapeId="0">
      <text>
        <r>
          <rPr>
            <b/>
            <sz val="12"/>
            <color indexed="81"/>
            <rFont val="Angsana New"/>
            <family val="1"/>
          </rPr>
          <t>ถ้าระดับดินไม่มีก็ให้ใส่ค่าความหนาของฐานรากเพียงอย่างเดียว</t>
        </r>
      </text>
    </comment>
    <comment ref="Q24" authorId="0" shapeId="0">
      <text>
        <r>
          <rPr>
            <sz val="9"/>
            <color indexed="81"/>
            <rFont val="Tahoma"/>
            <family val="2"/>
          </rPr>
          <t xml:space="preserve">เนื่องจากกำแพงมีความยาว จึง Strip มา1 m.เพื่อทำการพิจารณา
</t>
        </r>
      </text>
    </comment>
    <comment ref="B34" authorId="0" shapeId="0">
      <text>
        <r>
          <rPr>
            <b/>
            <sz val="12"/>
            <color indexed="81"/>
            <rFont val="Angsana New"/>
            <family val="1"/>
          </rPr>
          <t>พิจารณา เฉพาะ Beam Shear เพราะฐานรากรับกำแพงวิกฤติที่ Beam Shear</t>
        </r>
      </text>
    </comment>
  </commentList>
</comments>
</file>

<file path=xl/sharedStrings.xml><?xml version="1.0" encoding="utf-8"?>
<sst xmlns="http://schemas.openxmlformats.org/spreadsheetml/2006/main" count="257" uniqueCount="150">
  <si>
    <t>การออกแบบฐานราก แผ่</t>
  </si>
  <si>
    <t>ควรจะลึกลงไปไม่ต่ำกว่า 1.00 เมตร โดยไม่รวมดินถม</t>
  </si>
  <si>
    <t>1. ภาคกลาง, ภาคเหนือ, อีสาน ใช้ 8 ตันต่อตารางเมตร</t>
  </si>
  <si>
    <t>2. ภาคตะวันออก ชลบุรี, ระยอง ภาคใต้ ใช้ 10 ตันต่อตารางเมตร</t>
  </si>
  <si>
    <t>3. โซนใกล้ ภูเขา มองเห็นภูเขา ใกล้ทะเล ใช้ 12 ตันต่อตารางเมตร</t>
  </si>
  <si>
    <t>4. กรุงเทพ หรือดินอ่อน ที่อยากจะใช้ฐานแผ่ ใช้ 2 ตันต่อตารางเมตร</t>
  </si>
  <si>
    <t>ACI ความหนาต้องไม่น้อยกว่า 15 cm.</t>
  </si>
  <si>
    <t>ACI เหล็กห่างไม่เกิน 3 เท่าของความหนา หรือ 500 มม.</t>
  </si>
  <si>
    <t>:</t>
  </si>
  <si>
    <t>Rounded</t>
  </si>
  <si>
    <t>Deformed</t>
  </si>
  <si>
    <t>Yield Strength ,fy</t>
  </si>
  <si>
    <t>Project :</t>
  </si>
  <si>
    <t>ksc</t>
  </si>
  <si>
    <t>=</t>
  </si>
  <si>
    <t>m.</t>
  </si>
  <si>
    <t>cm.</t>
  </si>
  <si>
    <t>DL</t>
  </si>
  <si>
    <t>LL</t>
  </si>
  <si>
    <t>As</t>
  </si>
  <si>
    <t>Covering to Primary Layer</t>
  </si>
  <si>
    <t>DB12</t>
  </si>
  <si>
    <t>DB16</t>
  </si>
  <si>
    <t>No.</t>
  </si>
  <si>
    <t>DB20</t>
  </si>
  <si>
    <t>DB25</t>
  </si>
  <si>
    <t>DB28</t>
  </si>
  <si>
    <t>ton-m</t>
  </si>
  <si>
    <t>Building :</t>
  </si>
  <si>
    <r>
      <t>cm</t>
    </r>
    <r>
      <rPr>
        <vertAlign val="superscript"/>
        <sz val="12"/>
        <rFont val="Angsana New"/>
        <family val="1"/>
      </rPr>
      <t>2</t>
    </r>
  </si>
  <si>
    <t>A.</t>
  </si>
  <si>
    <t>Material Properties</t>
  </si>
  <si>
    <t>Steel Grade (SD-xx or SR-xx)</t>
  </si>
  <si>
    <t>B.</t>
  </si>
  <si>
    <t>C.</t>
  </si>
  <si>
    <t>Ultimate Compressive Strength (fc')</t>
  </si>
  <si>
    <t>cm</t>
  </si>
  <si>
    <t>Estimate Size of Footing</t>
  </si>
  <si>
    <t>Column Moment</t>
  </si>
  <si>
    <t>So we use Footing Thickness</t>
  </si>
  <si>
    <t>Beam Shear @ Distance d from Edge of Column</t>
  </si>
  <si>
    <t>Shear Force, V</t>
  </si>
  <si>
    <t>Determine Reinforcement</t>
  </si>
  <si>
    <t>sq.cm.</t>
  </si>
  <si>
    <t>(0.0020 or 0.0018)bt</t>
  </si>
  <si>
    <r>
      <t>Temp Steel, A</t>
    </r>
    <r>
      <rPr>
        <vertAlign val="subscript"/>
        <sz val="12"/>
        <rFont val="Angsana New"/>
        <family val="1"/>
      </rPr>
      <t>SS</t>
    </r>
  </si>
  <si>
    <r>
      <t>Temp Steel (Short Side), A</t>
    </r>
    <r>
      <rPr>
        <vertAlign val="subscript"/>
        <sz val="12"/>
        <rFont val="Angsana New"/>
        <family val="1"/>
      </rPr>
      <t>SS</t>
    </r>
  </si>
  <si>
    <t>Soil Bearing Capacity</t>
  </si>
  <si>
    <t>tons/sq.m.</t>
  </si>
  <si>
    <t>tons</t>
  </si>
  <si>
    <t>Area req'd</t>
  </si>
  <si>
    <t>sq.m.</t>
  </si>
  <si>
    <t>W (B)</t>
  </si>
  <si>
    <t>L (L)</t>
  </si>
  <si>
    <t>Footing Depth, d</t>
  </si>
  <si>
    <r>
      <t>Temp Steel, A</t>
    </r>
    <r>
      <rPr>
        <vertAlign val="subscript"/>
        <sz val="12"/>
        <rFont val="Angsana New"/>
        <family val="1"/>
      </rPr>
      <t>SL</t>
    </r>
  </si>
  <si>
    <t>By :</t>
  </si>
  <si>
    <t>Location :</t>
  </si>
  <si>
    <t>Date :</t>
  </si>
  <si>
    <t>Footing No. :</t>
  </si>
  <si>
    <t>Steel Rebar</t>
  </si>
  <si>
    <t>As,req</t>
  </si>
  <si>
    <r>
      <t>tons/m</t>
    </r>
    <r>
      <rPr>
        <vertAlign val="superscript"/>
        <sz val="12"/>
        <rFont val="AngsanaUPC"/>
        <family val="1"/>
        <charset val="222"/>
      </rPr>
      <t>2</t>
    </r>
  </si>
  <si>
    <t>E</t>
  </si>
  <si>
    <t>D</t>
  </si>
  <si>
    <t>Use</t>
  </si>
  <si>
    <t>Depth of Soil</t>
  </si>
  <si>
    <t>(include thk of footing)</t>
  </si>
  <si>
    <t>Footing &amp; Soil Weight</t>
  </si>
  <si>
    <t>P/(BL)</t>
  </si>
  <si>
    <r>
      <t>6M/(BL</t>
    </r>
    <r>
      <rPr>
        <vertAlign val="superscript"/>
        <sz val="12"/>
        <rFont val="Angsana New"/>
        <family val="1"/>
      </rPr>
      <t>2</t>
    </r>
    <r>
      <rPr>
        <sz val="12"/>
        <rFont val="Angsana New"/>
        <family val="1"/>
      </rPr>
      <t>)</t>
    </r>
  </si>
  <si>
    <t>Maximum Pressure, p1</t>
  </si>
  <si>
    <r>
      <t>Net Soil Pressure, p</t>
    </r>
    <r>
      <rPr>
        <vertAlign val="subscript"/>
        <sz val="12"/>
        <rFont val="Angsana New"/>
        <family val="1"/>
      </rPr>
      <t>P</t>
    </r>
  </si>
  <si>
    <r>
      <t>Pressure form Moment, p</t>
    </r>
    <r>
      <rPr>
        <vertAlign val="subscript"/>
        <sz val="12"/>
        <rFont val="Angsana New"/>
        <family val="1"/>
      </rPr>
      <t>M</t>
    </r>
  </si>
  <si>
    <r>
      <t>p</t>
    </r>
    <r>
      <rPr>
        <vertAlign val="subscript"/>
        <sz val="12"/>
        <rFont val="Angsana New"/>
        <family val="1"/>
      </rPr>
      <t>P</t>
    </r>
    <r>
      <rPr>
        <sz val="12"/>
        <rFont val="Angsana New"/>
        <family val="1"/>
      </rPr>
      <t>+p</t>
    </r>
    <r>
      <rPr>
        <vertAlign val="subscript"/>
        <sz val="12"/>
        <rFont val="Angsana New"/>
        <family val="1"/>
      </rPr>
      <t>M</t>
    </r>
  </si>
  <si>
    <t>Minimum Pressure, p2</t>
  </si>
  <si>
    <r>
      <t>p</t>
    </r>
    <r>
      <rPr>
        <vertAlign val="subscript"/>
        <sz val="12"/>
        <rFont val="Angsana New"/>
        <family val="1"/>
      </rPr>
      <t>P</t>
    </r>
    <r>
      <rPr>
        <sz val="12"/>
        <rFont val="Angsana New"/>
        <family val="1"/>
      </rPr>
      <t>-p</t>
    </r>
    <r>
      <rPr>
        <vertAlign val="subscript"/>
        <sz val="12"/>
        <rFont val="Angsana New"/>
        <family val="1"/>
      </rPr>
      <t>M</t>
    </r>
  </si>
  <si>
    <t>tons.</t>
  </si>
  <si>
    <t>DB32</t>
  </si>
  <si>
    <r>
      <t xml:space="preserve">1.ดินอ่อนหรือถมไว้แน่นเต็มที่ </t>
    </r>
    <r>
      <rPr>
        <sz val="14"/>
        <color indexed="10"/>
        <rFont val="Cordia New"/>
        <family val="2"/>
      </rPr>
      <t>2 T/m2</t>
    </r>
  </si>
  <si>
    <r>
      <t xml:space="preserve">2.ดินปานกลางหรือทรายร่วน </t>
    </r>
    <r>
      <rPr>
        <sz val="14"/>
        <color indexed="10"/>
        <rFont val="Cordia New"/>
        <family val="2"/>
      </rPr>
      <t>5</t>
    </r>
    <r>
      <rPr>
        <sz val="13.5"/>
        <color indexed="10"/>
        <rFont val="Cordia New"/>
        <family val="2"/>
      </rPr>
      <t xml:space="preserve"> T/m2</t>
    </r>
  </si>
  <si>
    <r>
      <t xml:space="preserve">3.ดินแน่นหรือทรายแน่น </t>
    </r>
    <r>
      <rPr>
        <sz val="14"/>
        <color indexed="10"/>
        <rFont val="Cordia New"/>
        <family val="2"/>
      </rPr>
      <t>10</t>
    </r>
    <r>
      <rPr>
        <sz val="13.5"/>
        <color indexed="10"/>
        <rFont val="Cordia New"/>
        <family val="2"/>
      </rPr>
      <t xml:space="preserve"> T/m2</t>
    </r>
  </si>
  <si>
    <r>
      <t xml:space="preserve">4.กรวดหรือดินดาน </t>
    </r>
    <r>
      <rPr>
        <sz val="14"/>
        <color indexed="10"/>
        <rFont val="Cordia New"/>
        <family val="2"/>
      </rPr>
      <t>25 T/m2</t>
    </r>
  </si>
  <si>
    <r>
      <t xml:space="preserve">5.หินดินดาน </t>
    </r>
    <r>
      <rPr>
        <sz val="14"/>
        <color indexed="10"/>
        <rFont val="Cordia New"/>
        <family val="2"/>
      </rPr>
      <t>25 T/m2</t>
    </r>
  </si>
  <si>
    <r>
      <t xml:space="preserve">6.หินปุนหรือหินทราย </t>
    </r>
    <r>
      <rPr>
        <sz val="14"/>
        <color indexed="10"/>
        <rFont val="Cordia New"/>
        <family val="2"/>
      </rPr>
      <t>30</t>
    </r>
    <r>
      <rPr>
        <sz val="13.5"/>
        <color indexed="10"/>
        <rFont val="Cordia New"/>
        <family val="2"/>
      </rPr>
      <t xml:space="preserve"> T/m2</t>
    </r>
  </si>
  <si>
    <r>
      <t xml:space="preserve">7.หินอัคนีที่ยังไม่แปรสภาพ </t>
    </r>
    <r>
      <rPr>
        <sz val="14"/>
        <color indexed="10"/>
        <rFont val="Cordia New"/>
        <family val="2"/>
      </rPr>
      <t>100</t>
    </r>
    <r>
      <rPr>
        <sz val="13.5"/>
        <color indexed="10"/>
        <rFont val="Cordia New"/>
        <family val="2"/>
      </rPr>
      <t xml:space="preserve"> T/m2</t>
    </r>
  </si>
  <si>
    <t>SD-40</t>
  </si>
  <si>
    <t>SR-24</t>
  </si>
  <si>
    <t>@</t>
  </si>
  <si>
    <r>
      <rPr>
        <sz val="14"/>
        <rFont val="AngsanaUPC"/>
        <family val="1"/>
      </rPr>
      <t>ß</t>
    </r>
    <r>
      <rPr>
        <vertAlign val="subscript"/>
        <sz val="12"/>
        <rFont val="Cambria"/>
        <family val="1"/>
      </rPr>
      <t>1</t>
    </r>
    <r>
      <rPr>
        <vertAlign val="subscript"/>
        <sz val="21"/>
        <rFont val="Cambria"/>
        <family val="1"/>
      </rPr>
      <t xml:space="preserve"> </t>
    </r>
  </si>
  <si>
    <t>(fc') ≤ 280 ksc ;     ß1 =</t>
  </si>
  <si>
    <t>280 &lt;(fc') ≤ 560 ksc ;     ß1 =</t>
  </si>
  <si>
    <r>
      <t>ρ</t>
    </r>
    <r>
      <rPr>
        <vertAlign val="subscript"/>
        <sz val="10"/>
        <rFont val="Times New Roman"/>
        <family val="1"/>
      </rPr>
      <t>b</t>
    </r>
  </si>
  <si>
    <r>
      <t>ρ</t>
    </r>
    <r>
      <rPr>
        <vertAlign val="subscript"/>
        <sz val="10"/>
        <rFont val="Times New Roman"/>
        <family val="1"/>
      </rPr>
      <t>max</t>
    </r>
  </si>
  <si>
    <r>
      <t>ρ</t>
    </r>
    <r>
      <rPr>
        <vertAlign val="subscript"/>
        <sz val="10"/>
        <rFont val="Times New Roman"/>
        <family val="1"/>
      </rPr>
      <t>min</t>
    </r>
  </si>
  <si>
    <r>
      <t xml:space="preserve">(fc') </t>
    </r>
    <r>
      <rPr>
        <sz val="12"/>
        <rFont val="Times New Roman"/>
        <family val="1"/>
      </rPr>
      <t xml:space="preserve">≥ </t>
    </r>
    <r>
      <rPr>
        <sz val="12"/>
        <rFont val="Angsana New"/>
        <family val="1"/>
        <charset val="222"/>
      </rPr>
      <t xml:space="preserve">306 ksc ;    </t>
    </r>
  </si>
  <si>
    <r>
      <t>Specification ß</t>
    </r>
    <r>
      <rPr>
        <b/>
        <vertAlign val="subscript"/>
        <sz val="12"/>
        <rFont val="AngsanaUPC"/>
        <family val="1"/>
      </rPr>
      <t xml:space="preserve">1 </t>
    </r>
  </si>
  <si>
    <r>
      <t>Specification ρ</t>
    </r>
    <r>
      <rPr>
        <b/>
        <vertAlign val="subscript"/>
        <sz val="12"/>
        <rFont val="AngsanaUPC"/>
        <family val="1"/>
      </rPr>
      <t>min</t>
    </r>
  </si>
  <si>
    <t>Step 1</t>
  </si>
  <si>
    <t>Step 2</t>
  </si>
  <si>
    <t>Step 3</t>
  </si>
  <si>
    <t>Step 4</t>
  </si>
  <si>
    <t>As  =</t>
  </si>
  <si>
    <r>
      <t>A</t>
    </r>
    <r>
      <rPr>
        <vertAlign val="subscript"/>
        <sz val="12"/>
        <rFont val="AngsanaUPC"/>
        <family val="1"/>
      </rPr>
      <t>SL</t>
    </r>
  </si>
  <si>
    <t>Recommended  การหาพื้นที่เหล็กเสริม</t>
  </si>
  <si>
    <t xml:space="preserve">As = </t>
  </si>
  <si>
    <t xml:space="preserve">Ultimate Load </t>
  </si>
  <si>
    <r>
      <t>A</t>
    </r>
    <r>
      <rPr>
        <vertAlign val="subscript"/>
        <sz val="12"/>
        <rFont val="AngsanaUPC"/>
        <family val="1"/>
      </rPr>
      <t>SS</t>
    </r>
  </si>
  <si>
    <t>Foundation Signage</t>
  </si>
  <si>
    <t>Dead load ( DL )</t>
  </si>
  <si>
    <t>ton/m</t>
  </si>
  <si>
    <t>Include Self weight</t>
  </si>
  <si>
    <t>Live Load ( LL )</t>
  </si>
  <si>
    <t>Include Soil</t>
  </si>
  <si>
    <t>Total load</t>
  </si>
  <si>
    <t xml:space="preserve">TL </t>
  </si>
  <si>
    <t>PU</t>
  </si>
  <si>
    <t>Weight footing+ Soil</t>
  </si>
  <si>
    <t xml:space="preserve">Width Requied </t>
  </si>
  <si>
    <t>Recommended</t>
  </si>
  <si>
    <r>
      <t>B</t>
    </r>
    <r>
      <rPr>
        <vertAlign val="subscript"/>
        <sz val="14"/>
        <rFont val="Cordia New"/>
        <family val="2"/>
      </rPr>
      <t>f</t>
    </r>
  </si>
  <si>
    <t>use width footing size</t>
  </si>
  <si>
    <t>Consider 1 m (no change)</t>
  </si>
  <si>
    <t>Wall Size</t>
  </si>
  <si>
    <t>Wall Thickness</t>
  </si>
  <si>
    <t xml:space="preserve">Ultimate Pressure </t>
  </si>
  <si>
    <t>Consider 1 m.</t>
  </si>
  <si>
    <t>Strip</t>
  </si>
  <si>
    <t>critical</t>
  </si>
  <si>
    <t xml:space="preserve">Moment of footing </t>
  </si>
  <si>
    <t>kg/cm2</t>
  </si>
  <si>
    <r>
      <t>Main Steel (Long Side), A</t>
    </r>
    <r>
      <rPr>
        <vertAlign val="subscript"/>
        <sz val="12"/>
        <rFont val="Angsana New"/>
        <family val="1"/>
      </rPr>
      <t>SS</t>
    </r>
  </si>
  <si>
    <t>tons/m2</t>
  </si>
  <si>
    <r>
      <t>Temp Steel (Short Side), A</t>
    </r>
    <r>
      <rPr>
        <vertAlign val="subscript"/>
        <sz val="12"/>
        <rFont val="Angsana New"/>
        <family val="1"/>
      </rPr>
      <t>SL</t>
    </r>
  </si>
  <si>
    <t>พิจารณาผลของการเกิดแผ่นดินไหวและแรงลม อ.วินิตแนะนำให้เพิ่มค่าไป 33%</t>
  </si>
  <si>
    <t xml:space="preserve"> / 1 m.</t>
  </si>
  <si>
    <t>/ 1 m.</t>
  </si>
  <si>
    <t>Use Rebar</t>
  </si>
  <si>
    <t>USE</t>
  </si>
  <si>
    <t>Main Steel wide side parallel</t>
  </si>
  <si>
    <t>Temp Steel Long side parallel</t>
  </si>
  <si>
    <t>Ea</t>
  </si>
  <si>
    <t>ANALYSIS AND DESIGN SPRED FOUNDATION WALL (SDM)</t>
  </si>
  <si>
    <t>O_o</t>
  </si>
  <si>
    <t>&gt;&lt;"</t>
  </si>
  <si>
    <t>3 AUGUST 2014</t>
  </si>
  <si>
    <t>(fc') &lt; 306 ksc ;   ρmin = 14/fy</t>
  </si>
  <si>
    <t>Mr. KITTIKUN PHONSUWAN</t>
  </si>
  <si>
    <t>Pu = 1.4DL+1.7LL</t>
  </si>
  <si>
    <t>Beam Shear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</si>
</sst>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7" formatCode="_(* #,##0.00_);_(* \(#,##0.00\);_(* &quot;-&quot;??_);_(@_)"/>
    <numFmt numFmtId="188" formatCode="0.0000"/>
    <numFmt numFmtId="189" formatCode="0.000"/>
    <numFmt numFmtId="190" formatCode="0.0"/>
    <numFmt numFmtId="191" formatCode="[$-409]d\ mmmyy;@"/>
  </numFmts>
  <fonts count="61" x14ac:knownFonts="1">
    <font>
      <sz val="14"/>
      <name val="Cordia New"/>
    </font>
    <font>
      <sz val="16"/>
      <color theme="1"/>
      <name val="AngsanaUPC"/>
      <family val="2"/>
    </font>
    <font>
      <sz val="14"/>
      <name val="Cordia New"/>
      <family val="2"/>
    </font>
    <font>
      <sz val="14"/>
      <name val="Angsana New"/>
      <family val="1"/>
    </font>
    <font>
      <sz val="12"/>
      <name val="AngsanaUPC"/>
      <family val="1"/>
      <charset val="222"/>
    </font>
    <font>
      <b/>
      <u/>
      <sz val="12"/>
      <name val="AngsanaUPC"/>
      <family val="1"/>
      <charset val="222"/>
    </font>
    <font>
      <b/>
      <sz val="12"/>
      <name val="AngsanaUPC"/>
      <family val="1"/>
      <charset val="222"/>
    </font>
    <font>
      <u/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sz val="12"/>
      <name val="Angsana New"/>
      <family val="1"/>
    </font>
    <font>
      <b/>
      <sz val="12"/>
      <name val="Angsana New"/>
      <family val="1"/>
    </font>
    <font>
      <vertAlign val="subscript"/>
      <sz val="12"/>
      <name val="Angsana New"/>
      <family val="1"/>
    </font>
    <font>
      <vertAlign val="superscript"/>
      <sz val="12"/>
      <name val="Angsana New"/>
      <family val="1"/>
    </font>
    <font>
      <sz val="12"/>
      <name val="Angsana New"/>
      <family val="1"/>
      <charset val="222"/>
    </font>
    <font>
      <sz val="12"/>
      <name val="Cordia New"/>
      <family val="2"/>
    </font>
    <font>
      <b/>
      <sz val="14"/>
      <name val="Cordia New"/>
      <family val="2"/>
    </font>
    <font>
      <b/>
      <sz val="12"/>
      <color indexed="16"/>
      <name val="Angsana New"/>
      <family val="1"/>
    </font>
    <font>
      <sz val="12"/>
      <color indexed="12"/>
      <name val="Angsana New"/>
      <family val="1"/>
    </font>
    <font>
      <sz val="12"/>
      <color indexed="16"/>
      <name val="Angsana New"/>
      <family val="1"/>
    </font>
    <font>
      <sz val="16"/>
      <name val="AngsanaUPC"/>
      <family val="1"/>
    </font>
    <font>
      <sz val="12"/>
      <name val="AngsanaUPC"/>
      <family val="1"/>
    </font>
    <font>
      <b/>
      <i/>
      <sz val="12"/>
      <color indexed="16"/>
      <name val="AngsanaUPC"/>
      <family val="1"/>
      <charset val="222"/>
    </font>
    <font>
      <b/>
      <sz val="12"/>
      <color indexed="16"/>
      <name val="AngsanaUPC"/>
      <family val="1"/>
      <charset val="222"/>
    </font>
    <font>
      <sz val="14"/>
      <color indexed="16"/>
      <name val="Cordia New"/>
      <family val="2"/>
    </font>
    <font>
      <sz val="12"/>
      <color indexed="16"/>
      <name val="AngsanaUPC"/>
      <family val="1"/>
    </font>
    <font>
      <sz val="12"/>
      <color indexed="16"/>
      <name val="AngsanaUPC"/>
      <family val="1"/>
      <charset val="222"/>
    </font>
    <font>
      <sz val="10"/>
      <name val="Angsana New"/>
      <family val="1"/>
    </font>
    <font>
      <sz val="11"/>
      <name val="AngsanaUPC"/>
      <family val="1"/>
    </font>
    <font>
      <sz val="14"/>
      <name val="Cordia New"/>
      <family val="2"/>
    </font>
    <font>
      <sz val="12"/>
      <color indexed="12"/>
      <name val="Angsana New"/>
      <family val="1"/>
      <charset val="222"/>
    </font>
    <font>
      <sz val="14"/>
      <name val="AngsanaUPC"/>
      <family val="1"/>
    </font>
    <font>
      <sz val="14"/>
      <color indexed="10"/>
      <name val="Cordia New"/>
      <family val="2"/>
    </font>
    <font>
      <sz val="9"/>
      <color indexed="81"/>
      <name val="Tahoma"/>
      <family val="2"/>
    </font>
    <font>
      <vertAlign val="subscript"/>
      <sz val="12"/>
      <name val="AngsanaUPC"/>
      <family val="1"/>
    </font>
    <font>
      <sz val="13.5"/>
      <color indexed="10"/>
      <name val="Cordia New"/>
      <family val="2"/>
    </font>
    <font>
      <sz val="8"/>
      <color indexed="63"/>
      <name val="Trebuchet MS"/>
      <family val="2"/>
    </font>
    <font>
      <sz val="16"/>
      <name val="AngsanaUPC"/>
      <family val="1"/>
      <charset val="222"/>
    </font>
    <font>
      <sz val="12"/>
      <color rgb="FFFF0000"/>
      <name val="Angsana New"/>
      <family val="1"/>
    </font>
    <font>
      <sz val="12"/>
      <color rgb="FF0000FF"/>
      <name val="Angsana New"/>
      <family val="1"/>
    </font>
    <font>
      <vertAlign val="subscript"/>
      <sz val="14"/>
      <name val="Cordia New"/>
      <family val="2"/>
    </font>
    <font>
      <b/>
      <sz val="12"/>
      <name val="AngsanaUPC"/>
      <family val="1"/>
    </font>
    <font>
      <vertAlign val="subscript"/>
      <sz val="12"/>
      <name val="Cambria"/>
      <family val="1"/>
    </font>
    <font>
      <vertAlign val="subscript"/>
      <sz val="21"/>
      <name val="Cambria"/>
      <family val="1"/>
    </font>
    <font>
      <sz val="12"/>
      <name val="Times New Roman"/>
      <family val="1"/>
    </font>
    <font>
      <vertAlign val="subscript"/>
      <sz val="10"/>
      <name val="Times New Roman"/>
      <family val="1"/>
    </font>
    <font>
      <b/>
      <vertAlign val="subscript"/>
      <sz val="12"/>
      <name val="AngsanaUPC"/>
      <family val="1"/>
    </font>
    <font>
      <b/>
      <sz val="12"/>
      <color indexed="16"/>
      <name val="AngsanaUPC"/>
      <family val="1"/>
    </font>
    <font>
      <sz val="12"/>
      <color rgb="FF0000FF"/>
      <name val="AngsanaUPC"/>
      <family val="1"/>
    </font>
    <font>
      <b/>
      <sz val="12"/>
      <color indexed="81"/>
      <name val="Angsana New"/>
      <family val="1"/>
    </font>
    <font>
      <sz val="11"/>
      <color rgb="FFFF0000"/>
      <name val="AngsanaUPC"/>
      <family val="1"/>
    </font>
    <font>
      <sz val="12"/>
      <color rgb="FFFF0000"/>
      <name val="AngsanaUPC"/>
      <family val="1"/>
    </font>
    <font>
      <sz val="12"/>
      <color rgb="FF46C224"/>
      <name val="Angsana New"/>
      <family val="1"/>
    </font>
    <font>
      <sz val="12"/>
      <color rgb="FF46C224"/>
      <name val="AngsanaUPC"/>
      <family val="1"/>
      <charset val="222"/>
    </font>
    <font>
      <sz val="12"/>
      <color rgb="FF46C224"/>
      <name val="AngsanaUPC"/>
      <family val="1"/>
    </font>
    <font>
      <sz val="12"/>
      <color rgb="FFF622E7"/>
      <name val="Angsana New"/>
      <family val="1"/>
    </font>
    <font>
      <sz val="12"/>
      <color rgb="FFF622E7"/>
      <name val="AngsanaUPC"/>
      <family val="1"/>
    </font>
    <font>
      <sz val="14"/>
      <name val="Cordia New"/>
    </font>
    <font>
      <b/>
      <sz val="14"/>
      <name val="Angsana New"/>
      <family val="1"/>
      <charset val="222"/>
    </font>
    <font>
      <b/>
      <sz val="12"/>
      <name val="Angsana New"/>
      <family val="1"/>
      <charset val="222"/>
    </font>
    <font>
      <b/>
      <sz val="12"/>
      <color indexed="12"/>
      <name val="AngsanaUPC"/>
      <family val="1"/>
      <charset val="222"/>
    </font>
    <font>
      <sz val="14"/>
      <name val="Cordia New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5D9F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8" fillId="0" borderId="0"/>
    <xf numFmtId="0" fontId="28" fillId="0" borderId="0"/>
    <xf numFmtId="0" fontId="19" fillId="0" borderId="0"/>
    <xf numFmtId="0" fontId="3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87" fontId="56" fillId="0" borderId="0" applyFont="0" applyFill="0" applyBorder="0" applyAlignment="0" applyProtection="0"/>
  </cellStyleXfs>
  <cellXfs count="213">
    <xf numFmtId="0" fontId="0" fillId="0" borderId="0" xfId="0"/>
    <xf numFmtId="0" fontId="19" fillId="0" borderId="0" xfId="3" applyAlignment="1">
      <alignment vertical="center"/>
    </xf>
    <xf numFmtId="0" fontId="9" fillId="0" borderId="0" xfId="3" applyFont="1" applyBorder="1" applyAlignment="1">
      <alignment vertical="center"/>
    </xf>
    <xf numFmtId="0" fontId="20" fillId="0" borderId="0" xfId="3" applyFont="1" applyAlignment="1">
      <alignment vertical="center"/>
    </xf>
    <xf numFmtId="190" fontId="20" fillId="0" borderId="0" xfId="3" applyNumberFormat="1" applyFont="1" applyAlignment="1">
      <alignment vertical="center"/>
    </xf>
    <xf numFmtId="0" fontId="24" fillId="0" borderId="0" xfId="3" applyFont="1" applyAlignment="1">
      <alignment vertical="center"/>
    </xf>
    <xf numFmtId="0" fontId="20" fillId="0" borderId="5" xfId="3" applyFont="1" applyBorder="1" applyAlignment="1">
      <alignment vertical="center"/>
    </xf>
    <xf numFmtId="2" fontId="20" fillId="0" borderId="0" xfId="3" applyNumberFormat="1" applyFont="1" applyAlignment="1">
      <alignment vertical="center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right" vertical="center"/>
    </xf>
    <xf numFmtId="0" fontId="24" fillId="0" borderId="5" xfId="3" applyFont="1" applyBorder="1" applyAlignment="1">
      <alignment vertical="center"/>
    </xf>
    <xf numFmtId="0" fontId="19" fillId="0" borderId="0" xfId="3" applyBorder="1" applyAlignment="1">
      <alignment vertical="center"/>
    </xf>
    <xf numFmtId="0" fontId="27" fillId="0" borderId="0" xfId="3" applyFont="1" applyAlignment="1">
      <alignment vertical="center"/>
    </xf>
    <xf numFmtId="0" fontId="19" fillId="0" borderId="0" xfId="3" quotePrefix="1" applyFont="1" applyAlignment="1">
      <alignment horizontal="center" vertical="center"/>
    </xf>
    <xf numFmtId="0" fontId="25" fillId="0" borderId="0" xfId="3" applyFont="1" applyAlignment="1">
      <alignment vertical="center"/>
    </xf>
    <xf numFmtId="0" fontId="2" fillId="0" borderId="0" xfId="6"/>
    <xf numFmtId="0" fontId="16" fillId="0" borderId="0" xfId="6" applyFont="1" applyFill="1" applyBorder="1" applyAlignment="1">
      <alignment vertical="center"/>
    </xf>
    <xf numFmtId="0" fontId="21" fillId="0" borderId="0" xfId="6" applyFont="1" applyAlignment="1">
      <alignment vertical="center"/>
    </xf>
    <xf numFmtId="0" fontId="22" fillId="0" borderId="0" xfId="6" applyFont="1" applyAlignment="1">
      <alignment vertical="center"/>
    </xf>
    <xf numFmtId="0" fontId="22" fillId="0" borderId="0" xfId="6" applyFont="1" applyAlignment="1">
      <alignment horizontal="left" vertical="center"/>
    </xf>
    <xf numFmtId="0" fontId="23" fillId="0" borderId="0" xfId="6" applyFont="1"/>
    <xf numFmtId="0" fontId="4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left" vertical="center"/>
    </xf>
    <xf numFmtId="0" fontId="2" fillId="0" borderId="0" xfId="6" applyAlignment="1">
      <alignment vertical="center"/>
    </xf>
    <xf numFmtId="0" fontId="2" fillId="0" borderId="0" xfId="6" applyBorder="1"/>
    <xf numFmtId="0" fontId="4" fillId="0" borderId="0" xfId="6" applyFont="1" applyAlignment="1">
      <alignment horizontal="left" vertical="center"/>
    </xf>
    <xf numFmtId="0" fontId="6" fillId="0" borderId="0" xfId="6" applyFont="1" applyAlignment="1">
      <alignment vertical="center"/>
    </xf>
    <xf numFmtId="0" fontId="15" fillId="0" borderId="0" xfId="6" applyFont="1" applyAlignment="1">
      <alignment vertical="center"/>
    </xf>
    <xf numFmtId="0" fontId="7" fillId="0" borderId="0" xfId="6" applyFont="1" applyAlignment="1">
      <alignment horizontal="right"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horizontal="right" vertical="center"/>
    </xf>
    <xf numFmtId="0" fontId="13" fillId="0" borderId="0" xfId="6" applyFont="1" applyAlignment="1">
      <alignment vertical="center"/>
    </xf>
    <xf numFmtId="2" fontId="4" fillId="0" borderId="0" xfId="6" applyNumberFormat="1" applyFont="1" applyAlignment="1">
      <alignment vertical="center"/>
    </xf>
    <xf numFmtId="0" fontId="2" fillId="0" borderId="0" xfId="6" applyFont="1" applyAlignment="1">
      <alignment vertical="center"/>
    </xf>
    <xf numFmtId="189" fontId="9" fillId="0" borderId="0" xfId="6" applyNumberFormat="1" applyFont="1" applyAlignment="1">
      <alignment horizontal="right" vertical="center"/>
    </xf>
    <xf numFmtId="0" fontId="4" fillId="0" borderId="0" xfId="6" applyFont="1" applyBorder="1" applyAlignment="1">
      <alignment horizontal="center" vertical="center"/>
    </xf>
    <xf numFmtId="0" fontId="20" fillId="0" borderId="0" xfId="6" applyFont="1" applyAlignment="1">
      <alignment vertical="center"/>
    </xf>
    <xf numFmtId="0" fontId="20" fillId="0" borderId="0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0" fontId="24" fillId="0" borderId="1" xfId="3" applyFont="1" applyBorder="1" applyAlignment="1">
      <alignment vertical="center"/>
    </xf>
    <xf numFmtId="0" fontId="20" fillId="0" borderId="1" xfId="3" applyFont="1" applyBorder="1" applyAlignment="1">
      <alignment vertical="center"/>
    </xf>
    <xf numFmtId="0" fontId="20" fillId="0" borderId="2" xfId="3" applyFont="1" applyBorder="1" applyAlignment="1">
      <alignment vertical="center"/>
    </xf>
    <xf numFmtId="0" fontId="19" fillId="4" borderId="11" xfId="3" applyFill="1" applyBorder="1" applyAlignment="1">
      <alignment vertical="center"/>
    </xf>
    <xf numFmtId="0" fontId="19" fillId="4" borderId="10" xfId="3" applyFill="1" applyBorder="1" applyAlignment="1">
      <alignment vertical="center"/>
    </xf>
    <xf numFmtId="0" fontId="19" fillId="4" borderId="9" xfId="3" applyFill="1" applyBorder="1" applyAlignment="1">
      <alignment vertical="center"/>
    </xf>
    <xf numFmtId="0" fontId="19" fillId="3" borderId="11" xfId="3" applyFill="1" applyBorder="1" applyAlignment="1">
      <alignment vertical="center"/>
    </xf>
    <xf numFmtId="0" fontId="19" fillId="3" borderId="10" xfId="3" applyFill="1" applyBorder="1" applyAlignment="1">
      <alignment vertical="center"/>
    </xf>
    <xf numFmtId="0" fontId="19" fillId="3" borderId="9" xfId="3" applyFill="1" applyBorder="1" applyAlignment="1">
      <alignment vertical="center"/>
    </xf>
    <xf numFmtId="188" fontId="20" fillId="0" borderId="0" xfId="3" applyNumberFormat="1" applyFont="1" applyBorder="1" applyAlignment="1">
      <alignment vertical="center"/>
    </xf>
    <xf numFmtId="188" fontId="20" fillId="0" borderId="0" xfId="3" quotePrefix="1" applyNumberFormat="1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0" fontId="40" fillId="3" borderId="10" xfId="3" applyFont="1" applyFill="1" applyBorder="1" applyAlignment="1"/>
    <xf numFmtId="0" fontId="40" fillId="4" borderId="10" xfId="3" applyFont="1" applyFill="1" applyBorder="1" applyAlignment="1"/>
    <xf numFmtId="0" fontId="24" fillId="0" borderId="13" xfId="3" applyFont="1" applyBorder="1" applyAlignment="1">
      <alignment vertical="center"/>
    </xf>
    <xf numFmtId="2" fontId="20" fillId="0" borderId="0" xfId="3" applyNumberFormat="1" applyFont="1" applyAlignment="1">
      <alignment horizontal="center" vertical="center"/>
    </xf>
    <xf numFmtId="0" fontId="13" fillId="3" borderId="10" xfId="6" applyFont="1" applyFill="1" applyBorder="1" applyAlignment="1">
      <alignment vertical="center"/>
    </xf>
    <xf numFmtId="0" fontId="13" fillId="3" borderId="10" xfId="6" applyFont="1" applyFill="1" applyBorder="1" applyAlignment="1">
      <alignment horizontal="right" vertical="center"/>
    </xf>
    <xf numFmtId="0" fontId="23" fillId="0" borderId="13" xfId="6" applyFont="1" applyBorder="1"/>
    <xf numFmtId="0" fontId="35" fillId="0" borderId="0" xfId="6" applyFont="1" applyBorder="1" applyAlignment="1">
      <alignment horizontal="left" vertical="center"/>
    </xf>
    <xf numFmtId="0" fontId="13" fillId="0" borderId="0" xfId="6" applyFont="1" applyBorder="1" applyAlignment="1">
      <alignment horizontal="right"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3" fillId="0" borderId="0" xfId="6" applyFont="1" applyFill="1" applyBorder="1" applyAlignment="1">
      <alignment vertical="center"/>
    </xf>
    <xf numFmtId="0" fontId="5" fillId="0" borderId="0" xfId="6" applyFont="1" applyAlignment="1">
      <alignment horizontal="left" vertical="center"/>
    </xf>
    <xf numFmtId="3" fontId="4" fillId="0" borderId="0" xfId="6" applyNumberFormat="1" applyFont="1" applyAlignment="1">
      <alignment horizontal="right" vertical="center"/>
    </xf>
    <xf numFmtId="0" fontId="13" fillId="4" borderId="10" xfId="6" applyFont="1" applyFill="1" applyBorder="1" applyAlignment="1">
      <alignment vertical="center"/>
    </xf>
    <xf numFmtId="0" fontId="13" fillId="4" borderId="10" xfId="6" applyFont="1" applyFill="1" applyBorder="1" applyAlignment="1">
      <alignment horizontal="right" vertical="center"/>
    </xf>
    <xf numFmtId="3" fontId="9" fillId="0" borderId="0" xfId="6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4" fontId="9" fillId="0" borderId="0" xfId="6" applyNumberFormat="1" applyFont="1" applyFill="1" applyBorder="1" applyAlignment="1">
      <alignment vertical="center"/>
    </xf>
    <xf numFmtId="0" fontId="43" fillId="0" borderId="0" xfId="6" applyFont="1" applyAlignment="1">
      <alignment horizontal="left" vertical="top"/>
    </xf>
    <xf numFmtId="2" fontId="9" fillId="0" borderId="0" xfId="6" applyNumberFormat="1" applyFont="1" applyFill="1" applyBorder="1" applyAlignment="1">
      <alignment vertical="center"/>
    </xf>
    <xf numFmtId="0" fontId="43" fillId="0" borderId="0" xfId="6" applyFont="1" applyAlignment="1">
      <alignment horizontal="left" vertical="center"/>
    </xf>
    <xf numFmtId="189" fontId="9" fillId="0" borderId="0" xfId="6" applyNumberFormat="1" applyFont="1" applyFill="1" applyBorder="1" applyAlignment="1">
      <alignment vertical="center"/>
    </xf>
    <xf numFmtId="1" fontId="17" fillId="0" borderId="3" xfId="6" applyNumberFormat="1" applyFont="1" applyFill="1" applyBorder="1" applyAlignment="1">
      <alignment vertical="center"/>
    </xf>
    <xf numFmtId="2" fontId="17" fillId="0" borderId="3" xfId="6" applyNumberFormat="1" applyFont="1" applyFill="1" applyBorder="1" applyAlignment="1">
      <alignment vertical="center"/>
    </xf>
    <xf numFmtId="0" fontId="14" fillId="0" borderId="0" xfId="6" applyFont="1"/>
    <xf numFmtId="0" fontId="20" fillId="0" borderId="0" xfId="6" applyFont="1" applyAlignment="1">
      <alignment horizontal="center" vertical="center"/>
    </xf>
    <xf numFmtId="190" fontId="9" fillId="0" borderId="0" xfId="6" applyNumberFormat="1" applyFont="1" applyFill="1" applyBorder="1" applyAlignment="1">
      <alignment vertical="center"/>
    </xf>
    <xf numFmtId="0" fontId="20" fillId="0" borderId="0" xfId="6" applyFont="1" applyAlignment="1">
      <alignment horizontal="left" vertical="center"/>
    </xf>
    <xf numFmtId="0" fontId="9" fillId="0" borderId="0" xfId="6" applyFont="1" applyBorder="1" applyAlignment="1">
      <alignment vertical="center"/>
    </xf>
    <xf numFmtId="0" fontId="9" fillId="0" borderId="5" xfId="6" applyFont="1" applyBorder="1" applyAlignment="1">
      <alignment vertical="center"/>
    </xf>
    <xf numFmtId="0" fontId="9" fillId="0" borderId="13" xfId="6" quotePrefix="1" applyFont="1" applyBorder="1" applyAlignment="1">
      <alignment horizontal="center" vertical="center"/>
    </xf>
    <xf numFmtId="0" fontId="47" fillId="0" borderId="3" xfId="6" applyFont="1" applyBorder="1" applyAlignment="1">
      <alignment horizontal="center" vertical="center"/>
    </xf>
    <xf numFmtId="0" fontId="2" fillId="0" borderId="0" xfId="6" quotePrefix="1" applyFont="1" applyAlignment="1">
      <alignment horizontal="center" vertical="center"/>
    </xf>
    <xf numFmtId="2" fontId="20" fillId="0" borderId="0" xfId="6" applyNumberFormat="1" applyFont="1" applyAlignment="1">
      <alignment horizontal="center" vertical="center"/>
    </xf>
    <xf numFmtId="0" fontId="9" fillId="0" borderId="0" xfId="6" quotePrefix="1" applyFont="1" applyBorder="1" applyAlignment="1">
      <alignment horizontal="right" vertical="center"/>
    </xf>
    <xf numFmtId="9" fontId="47" fillId="0" borderId="3" xfId="6" applyNumberFormat="1" applyFont="1" applyBorder="1" applyAlignment="1">
      <alignment horizontal="center" vertical="center"/>
    </xf>
    <xf numFmtId="0" fontId="9" fillId="0" borderId="12" xfId="6" quotePrefix="1" applyFont="1" applyBorder="1" applyAlignment="1">
      <alignment horizontal="center" vertical="center"/>
    </xf>
    <xf numFmtId="0" fontId="9" fillId="0" borderId="5" xfId="6" quotePrefix="1" applyFont="1" applyBorder="1" applyAlignment="1">
      <alignment horizontal="right" vertical="center"/>
    </xf>
    <xf numFmtId="0" fontId="9" fillId="0" borderId="0" xfId="6" applyFont="1" applyFill="1" applyBorder="1" applyAlignment="1">
      <alignment horizontal="left" vertical="center"/>
    </xf>
    <xf numFmtId="0" fontId="9" fillId="0" borderId="0" xfId="6" applyFont="1" applyAlignment="1">
      <alignment horizontal="left"/>
    </xf>
    <xf numFmtId="190" fontId="4" fillId="0" borderId="0" xfId="6" applyNumberFormat="1" applyFont="1" applyFill="1" applyBorder="1" applyAlignment="1">
      <alignment vertical="center"/>
    </xf>
    <xf numFmtId="2" fontId="20" fillId="0" borderId="0" xfId="6" applyNumberFormat="1" applyFont="1" applyFill="1" applyBorder="1" applyAlignment="1">
      <alignment horizontal="center" vertical="center"/>
    </xf>
    <xf numFmtId="0" fontId="2" fillId="0" borderId="5" xfId="6" applyBorder="1"/>
    <xf numFmtId="0" fontId="9" fillId="2" borderId="3" xfId="6" applyFont="1" applyFill="1" applyBorder="1" applyAlignment="1">
      <alignment horizontal="center" vertical="center"/>
    </xf>
    <xf numFmtId="0" fontId="9" fillId="2" borderId="7" xfId="6" applyFont="1" applyFill="1" applyBorder="1" applyAlignment="1">
      <alignment vertical="center"/>
    </xf>
    <xf numFmtId="0" fontId="9" fillId="2" borderId="4" xfId="6" applyFont="1" applyFill="1" applyBorder="1" applyAlignment="1">
      <alignment vertical="center"/>
    </xf>
    <xf numFmtId="0" fontId="9" fillId="2" borderId="2" xfId="6" applyFont="1" applyFill="1" applyBorder="1" applyAlignment="1">
      <alignment vertical="center"/>
    </xf>
    <xf numFmtId="0" fontId="9" fillId="2" borderId="8" xfId="6" applyFont="1" applyFill="1" applyBorder="1" applyAlignment="1">
      <alignment vertical="center"/>
    </xf>
    <xf numFmtId="1" fontId="9" fillId="0" borderId="0" xfId="6" applyNumberFormat="1" applyFont="1" applyFill="1" applyBorder="1" applyAlignment="1">
      <alignment horizontal="left" vertical="center"/>
    </xf>
    <xf numFmtId="0" fontId="2" fillId="0" borderId="10" xfId="6" applyBorder="1"/>
    <xf numFmtId="0" fontId="2" fillId="0" borderId="12" xfId="6" applyBorder="1"/>
    <xf numFmtId="0" fontId="20" fillId="0" borderId="11" xfId="3" applyFont="1" applyBorder="1" applyAlignment="1">
      <alignment vertical="center"/>
    </xf>
    <xf numFmtId="0" fontId="20" fillId="0" borderId="10" xfId="3" applyFont="1" applyBorder="1" applyAlignment="1">
      <alignment vertical="center"/>
    </xf>
    <xf numFmtId="0" fontId="20" fillId="0" borderId="13" xfId="3" applyFont="1" applyBorder="1" applyAlignment="1">
      <alignment vertical="center"/>
    </xf>
    <xf numFmtId="0" fontId="24" fillId="0" borderId="12" xfId="3" applyFont="1" applyBorder="1" applyAlignment="1">
      <alignment vertical="center"/>
    </xf>
    <xf numFmtId="0" fontId="24" fillId="0" borderId="2" xfId="3" applyFont="1" applyBorder="1" applyAlignment="1">
      <alignment vertical="center"/>
    </xf>
    <xf numFmtId="0" fontId="13" fillId="0" borderId="5" xfId="6" applyFont="1" applyBorder="1" applyAlignment="1">
      <alignment horizontal="center" vertical="center"/>
    </xf>
    <xf numFmtId="0" fontId="20" fillId="0" borderId="0" xfId="3" quotePrefix="1" applyFont="1" applyBorder="1" applyAlignment="1">
      <alignment horizontal="center" vertical="center"/>
    </xf>
    <xf numFmtId="0" fontId="9" fillId="2" borderId="7" xfId="6" applyFont="1" applyFill="1" applyBorder="1" applyAlignment="1">
      <alignment horizontal="center" vertical="center"/>
    </xf>
    <xf numFmtId="0" fontId="9" fillId="2" borderId="8" xfId="6" applyFont="1" applyFill="1" applyBorder="1" applyAlignment="1">
      <alignment horizontal="center" vertical="center"/>
    </xf>
    <xf numFmtId="0" fontId="3" fillId="0" borderId="0" xfId="6" applyFont="1" applyAlignment="1">
      <alignment horizontal="left" vertical="center"/>
    </xf>
    <xf numFmtId="3" fontId="9" fillId="0" borderId="0" xfId="6" applyNumberFormat="1" applyFont="1" applyFill="1" applyBorder="1" applyAlignment="1">
      <alignment horizontal="right" vertical="center"/>
    </xf>
    <xf numFmtId="188" fontId="9" fillId="0" borderId="0" xfId="6" applyNumberFormat="1" applyFont="1" applyFill="1" applyBorder="1" applyAlignment="1">
      <alignment vertical="center"/>
    </xf>
    <xf numFmtId="189" fontId="9" fillId="0" borderId="0" xfId="6" applyNumberFormat="1" applyFont="1" applyFill="1" applyBorder="1" applyAlignment="1">
      <alignment horizontal="center" vertical="center"/>
    </xf>
    <xf numFmtId="190" fontId="38" fillId="0" borderId="3" xfId="6" applyNumberFormat="1" applyFont="1" applyFill="1" applyBorder="1" applyAlignment="1">
      <alignment vertical="center"/>
    </xf>
    <xf numFmtId="190" fontId="9" fillId="0" borderId="3" xfId="6" applyNumberFormat="1" applyFont="1" applyFill="1" applyBorder="1" applyAlignment="1">
      <alignment vertical="center"/>
    </xf>
    <xf numFmtId="190" fontId="9" fillId="0" borderId="6" xfId="6" applyNumberFormat="1" applyFont="1" applyFill="1" applyBorder="1" applyAlignment="1">
      <alignment vertical="center"/>
    </xf>
    <xf numFmtId="2" fontId="9" fillId="0" borderId="3" xfId="6" applyNumberFormat="1" applyFont="1" applyFill="1" applyBorder="1" applyAlignment="1">
      <alignment vertical="center"/>
    </xf>
    <xf numFmtId="0" fontId="29" fillId="0" borderId="3" xfId="6" applyFont="1" applyBorder="1" applyAlignment="1">
      <alignment vertical="center"/>
    </xf>
    <xf numFmtId="190" fontId="17" fillId="0" borderId="3" xfId="6" applyNumberFormat="1" applyFont="1" applyFill="1" applyBorder="1" applyAlignment="1">
      <alignment vertical="center"/>
    </xf>
    <xf numFmtId="0" fontId="37" fillId="0" borderId="0" xfId="6" applyFont="1"/>
    <xf numFmtId="0" fontId="49" fillId="0" borderId="0" xfId="3" applyFont="1" applyAlignment="1">
      <alignment vertical="center"/>
    </xf>
    <xf numFmtId="0" fontId="20" fillId="5" borderId="11" xfId="3" applyFont="1" applyFill="1" applyBorder="1" applyAlignment="1">
      <alignment vertical="center"/>
    </xf>
    <xf numFmtId="0" fontId="20" fillId="5" borderId="9" xfId="3" applyFont="1" applyFill="1" applyBorder="1" applyAlignment="1">
      <alignment vertical="center"/>
    </xf>
    <xf numFmtId="0" fontId="2" fillId="0" borderId="9" xfId="6" applyBorder="1"/>
    <xf numFmtId="0" fontId="3" fillId="0" borderId="0" xfId="6" applyFont="1" applyBorder="1" applyAlignment="1">
      <alignment horizontal="left" vertical="center"/>
    </xf>
    <xf numFmtId="0" fontId="20" fillId="5" borderId="13" xfId="3" applyFont="1" applyFill="1" applyBorder="1" applyAlignment="1">
      <alignment vertical="center"/>
    </xf>
    <xf numFmtId="0" fontId="20" fillId="5" borderId="1" xfId="3" applyFont="1" applyFill="1" applyBorder="1" applyAlignment="1">
      <alignment vertical="center"/>
    </xf>
    <xf numFmtId="0" fontId="2" fillId="0" borderId="1" xfId="6" applyBorder="1"/>
    <xf numFmtId="0" fontId="20" fillId="6" borderId="1" xfId="3" applyFont="1" applyFill="1" applyBorder="1" applyAlignment="1">
      <alignment vertical="center"/>
    </xf>
    <xf numFmtId="0" fontId="50" fillId="0" borderId="0" xfId="3" applyFont="1" applyAlignment="1">
      <alignment vertical="center"/>
    </xf>
    <xf numFmtId="1" fontId="9" fillId="0" borderId="0" xfId="6" applyNumberFormat="1" applyFont="1" applyFill="1" applyBorder="1" applyAlignment="1">
      <alignment vertical="center"/>
    </xf>
    <xf numFmtId="0" fontId="24" fillId="5" borderId="12" xfId="3" applyFont="1" applyFill="1" applyBorder="1" applyAlignment="1">
      <alignment vertical="center"/>
    </xf>
    <xf numFmtId="0" fontId="24" fillId="5" borderId="2" xfId="3" applyFont="1" applyFill="1" applyBorder="1" applyAlignment="1">
      <alignment vertical="center"/>
    </xf>
    <xf numFmtId="0" fontId="25" fillId="0" borderId="0" xfId="6" applyFont="1" applyAlignment="1">
      <alignment vertical="center"/>
    </xf>
    <xf numFmtId="0" fontId="23" fillId="0" borderId="0" xfId="6" applyFont="1" applyFill="1"/>
    <xf numFmtId="0" fontId="24" fillId="7" borderId="13" xfId="3" applyFont="1" applyFill="1" applyBorder="1" applyAlignment="1">
      <alignment vertical="center"/>
    </xf>
    <xf numFmtId="0" fontId="24" fillId="7" borderId="1" xfId="3" applyFont="1" applyFill="1" applyBorder="1" applyAlignment="1">
      <alignment vertical="center"/>
    </xf>
    <xf numFmtId="0" fontId="18" fillId="0" borderId="0" xfId="6" applyFont="1" applyFill="1" applyBorder="1" applyAlignment="1">
      <alignment vertical="center"/>
    </xf>
    <xf numFmtId="1" fontId="51" fillId="0" borderId="0" xfId="6" applyNumberFormat="1" applyFont="1" applyFill="1" applyBorder="1" applyAlignment="1">
      <alignment horizontal="right" vertical="center"/>
    </xf>
    <xf numFmtId="0" fontId="52" fillId="0" borderId="0" xfId="6" applyFont="1" applyAlignment="1">
      <alignment horizontal="left" vertical="center"/>
    </xf>
    <xf numFmtId="0" fontId="53" fillId="0" borderId="0" xfId="3" applyFont="1" applyAlignment="1">
      <alignment vertical="center"/>
    </xf>
    <xf numFmtId="2" fontId="53" fillId="0" borderId="0" xfId="3" applyNumberFormat="1" applyFont="1" applyAlignment="1">
      <alignment vertical="center"/>
    </xf>
    <xf numFmtId="0" fontId="54" fillId="0" borderId="0" xfId="6" applyFont="1" applyAlignment="1">
      <alignment horizontal="center" vertical="center"/>
    </xf>
    <xf numFmtId="0" fontId="55" fillId="0" borderId="0" xfId="3" applyFont="1" applyAlignment="1">
      <alignment horizontal="center" vertical="center"/>
    </xf>
    <xf numFmtId="0" fontId="20" fillId="7" borderId="13" xfId="3" applyFont="1" applyFill="1" applyBorder="1" applyAlignment="1">
      <alignment vertical="center"/>
    </xf>
    <xf numFmtId="0" fontId="20" fillId="7" borderId="1" xfId="3" applyFont="1" applyFill="1" applyBorder="1" applyAlignment="1">
      <alignment vertical="center"/>
    </xf>
    <xf numFmtId="0" fontId="2" fillId="0" borderId="11" xfId="6" applyBorder="1"/>
    <xf numFmtId="0" fontId="2" fillId="6" borderId="9" xfId="6" applyFill="1" applyBorder="1"/>
    <xf numFmtId="2" fontId="20" fillId="0" borderId="0" xfId="6" applyNumberFormat="1" applyFont="1" applyAlignment="1">
      <alignment vertical="center"/>
    </xf>
    <xf numFmtId="0" fontId="24" fillId="6" borderId="1" xfId="3" applyFont="1" applyFill="1" applyBorder="1" applyAlignment="1">
      <alignment vertical="center"/>
    </xf>
    <xf numFmtId="0" fontId="2" fillId="6" borderId="2" xfId="6" applyFill="1" applyBorder="1"/>
    <xf numFmtId="0" fontId="20" fillId="0" borderId="0" xfId="3" quotePrefix="1" applyFont="1" applyAlignment="1">
      <alignment horizontal="right" vertical="center"/>
    </xf>
    <xf numFmtId="1" fontId="9" fillId="0" borderId="3" xfId="6" applyNumberFormat="1" applyFont="1" applyFill="1" applyBorder="1" applyAlignment="1">
      <alignment horizontal="center" vertical="center"/>
    </xf>
    <xf numFmtId="2" fontId="9" fillId="0" borderId="3" xfId="6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46" fillId="0" borderId="0" xfId="3" applyFont="1" applyAlignment="1">
      <alignment vertical="center"/>
    </xf>
    <xf numFmtId="0" fontId="20" fillId="0" borderId="5" xfId="6" applyFont="1" applyBorder="1" applyAlignment="1">
      <alignment horizontal="center" vertical="center"/>
    </xf>
    <xf numFmtId="0" fontId="9" fillId="0" borderId="5" xfId="6" applyFont="1" applyFill="1" applyBorder="1" applyAlignment="1">
      <alignment vertical="center"/>
    </xf>
    <xf numFmtId="0" fontId="19" fillId="0" borderId="5" xfId="3" applyBorder="1" applyAlignment="1">
      <alignment vertical="center"/>
    </xf>
    <xf numFmtId="0" fontId="20" fillId="0" borderId="5" xfId="6" applyFont="1" applyBorder="1" applyAlignment="1">
      <alignment vertical="center"/>
    </xf>
    <xf numFmtId="2" fontId="20" fillId="0" borderId="5" xfId="6" applyNumberFormat="1" applyFont="1" applyBorder="1" applyAlignment="1">
      <alignment vertical="center"/>
    </xf>
    <xf numFmtId="0" fontId="37" fillId="0" borderId="3" xfId="6" applyFont="1" applyFill="1" applyBorder="1" applyAlignment="1">
      <alignment horizontal="center" vertical="center"/>
    </xf>
    <xf numFmtId="9" fontId="9" fillId="0" borderId="0" xfId="6" applyNumberFormat="1" applyFont="1" applyBorder="1" applyAlignment="1">
      <alignment horizontal="center" vertical="center"/>
    </xf>
    <xf numFmtId="0" fontId="9" fillId="2" borderId="11" xfId="6" applyFont="1" applyFill="1" applyBorder="1" applyAlignment="1">
      <alignment horizontal="center" vertical="center"/>
    </xf>
    <xf numFmtId="0" fontId="9" fillId="2" borderId="10" xfId="6" applyFont="1" applyFill="1" applyBorder="1" applyAlignment="1">
      <alignment horizontal="center" vertical="center"/>
    </xf>
    <xf numFmtId="0" fontId="9" fillId="2" borderId="9" xfId="6" applyFont="1" applyFill="1" applyBorder="1" applyAlignment="1">
      <alignment horizontal="center" vertical="center"/>
    </xf>
    <xf numFmtId="0" fontId="9" fillId="2" borderId="12" xfId="6" applyFont="1" applyFill="1" applyBorder="1" applyAlignment="1">
      <alignment horizontal="center" vertical="center"/>
    </xf>
    <xf numFmtId="0" fontId="9" fillId="2" borderId="5" xfId="6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20" fillId="2" borderId="9" xfId="3" applyFont="1" applyFill="1" applyBorder="1" applyAlignment="1">
      <alignment horizontal="center" vertical="center"/>
    </xf>
    <xf numFmtId="0" fontId="20" fillId="2" borderId="12" xfId="3" applyFont="1" applyFill="1" applyBorder="1" applyAlignment="1">
      <alignment horizontal="center" vertical="center"/>
    </xf>
    <xf numFmtId="0" fontId="20" fillId="2" borderId="2" xfId="3" applyFont="1" applyFill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2" fontId="20" fillId="0" borderId="0" xfId="3" applyNumberFormat="1" applyFont="1" applyAlignment="1">
      <alignment horizontal="center" vertical="center"/>
    </xf>
    <xf numFmtId="2" fontId="9" fillId="0" borderId="7" xfId="6" applyNumberFormat="1" applyFont="1" applyFill="1" applyBorder="1" applyAlignment="1">
      <alignment horizontal="center" vertical="center"/>
    </xf>
    <xf numFmtId="2" fontId="9" fillId="0" borderId="8" xfId="6" applyNumberFormat="1" applyFont="1" applyFill="1" applyBorder="1" applyAlignment="1">
      <alignment horizontal="center" vertical="center"/>
    </xf>
    <xf numFmtId="0" fontId="13" fillId="0" borderId="13" xfId="6" applyFont="1" applyBorder="1" applyAlignment="1">
      <alignment horizontal="center" vertical="center"/>
    </xf>
    <xf numFmtId="0" fontId="13" fillId="0" borderId="0" xfId="6" applyFont="1" applyBorder="1" applyAlignment="1">
      <alignment horizontal="center" vertical="center"/>
    </xf>
    <xf numFmtId="0" fontId="13" fillId="0" borderId="12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13" xfId="6" applyFont="1" applyBorder="1" applyAlignment="1">
      <alignment horizontal="left" vertical="center"/>
    </xf>
    <xf numFmtId="0" fontId="13" fillId="0" borderId="0" xfId="6" applyFont="1" applyBorder="1" applyAlignment="1">
      <alignment horizontal="left" vertical="center"/>
    </xf>
    <xf numFmtId="0" fontId="13" fillId="0" borderId="12" xfId="6" applyFont="1" applyBorder="1" applyAlignment="1">
      <alignment horizontal="left" vertical="center"/>
    </xf>
    <xf numFmtId="0" fontId="13" fillId="0" borderId="5" xfId="6" applyFont="1" applyBorder="1" applyAlignment="1">
      <alignment horizontal="left" vertical="center"/>
    </xf>
    <xf numFmtId="2" fontId="20" fillId="0" borderId="13" xfId="3" applyNumberFormat="1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10" fillId="3" borderId="11" xfId="6" applyFont="1" applyFill="1" applyBorder="1" applyAlignment="1">
      <alignment horizontal="center" vertical="center"/>
    </xf>
    <xf numFmtId="0" fontId="10" fillId="3" borderId="4" xfId="6" applyFont="1" applyFill="1" applyBorder="1" applyAlignment="1">
      <alignment horizontal="center" vertical="center"/>
    </xf>
    <xf numFmtId="0" fontId="10" fillId="3" borderId="8" xfId="6" applyFont="1" applyFill="1" applyBorder="1" applyAlignment="1">
      <alignment horizontal="center" vertical="center"/>
    </xf>
    <xf numFmtId="0" fontId="26" fillId="0" borderId="11" xfId="3" applyFont="1" applyBorder="1" applyAlignment="1">
      <alignment horizontal="center" vertical="center"/>
    </xf>
    <xf numFmtId="0" fontId="26" fillId="0" borderId="10" xfId="3" applyFont="1" applyBorder="1" applyAlignment="1">
      <alignment horizontal="center" vertical="center"/>
    </xf>
    <xf numFmtId="0" fontId="26" fillId="0" borderId="9" xfId="3" applyFont="1" applyBorder="1" applyAlignment="1">
      <alignment horizontal="center" vertical="center"/>
    </xf>
    <xf numFmtId="0" fontId="57" fillId="0" borderId="3" xfId="3" applyFont="1" applyBorder="1" applyAlignment="1">
      <alignment horizontal="center" vertical="center"/>
    </xf>
    <xf numFmtId="0" fontId="58" fillId="0" borderId="0" xfId="3" applyFont="1" applyBorder="1" applyAlignment="1">
      <alignment horizontal="center" vertical="center"/>
    </xf>
    <xf numFmtId="0" fontId="58" fillId="0" borderId="0" xfId="3" applyFont="1" applyAlignment="1">
      <alignment vertical="center"/>
    </xf>
    <xf numFmtId="0" fontId="6" fillId="0" borderId="1" xfId="6" applyFont="1" applyFill="1" applyBorder="1" applyAlignment="1">
      <alignment horizontal="center" vertical="center"/>
    </xf>
    <xf numFmtId="0" fontId="59" fillId="0" borderId="12" xfId="6" applyFont="1" applyBorder="1" applyAlignment="1">
      <alignment horizontal="left" vertical="center"/>
    </xf>
    <xf numFmtId="0" fontId="59" fillId="0" borderId="5" xfId="6" applyFont="1" applyBorder="1" applyAlignment="1">
      <alignment horizontal="left" vertical="center"/>
    </xf>
    <xf numFmtId="0" fontId="59" fillId="0" borderId="2" xfId="6" applyFont="1" applyBorder="1" applyAlignment="1">
      <alignment horizontal="left" vertical="center"/>
    </xf>
    <xf numFmtId="0" fontId="36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60" fillId="0" borderId="0" xfId="6" applyFont="1"/>
    <xf numFmtId="0" fontId="59" fillId="0" borderId="7" xfId="6" applyFont="1" applyBorder="1" applyAlignment="1">
      <alignment horizontal="left" vertical="center"/>
    </xf>
    <xf numFmtId="0" fontId="59" fillId="0" borderId="4" xfId="6" applyFont="1" applyBorder="1" applyAlignment="1">
      <alignment horizontal="left" vertical="center"/>
    </xf>
    <xf numFmtId="0" fontId="59" fillId="0" borderId="8" xfId="6" applyFont="1" applyBorder="1" applyAlignment="1">
      <alignment horizontal="left" vertical="center"/>
    </xf>
    <xf numFmtId="0" fontId="13" fillId="0" borderId="0" xfId="3" applyFont="1" applyAlignment="1">
      <alignment vertical="center"/>
    </xf>
    <xf numFmtId="191" fontId="58" fillId="0" borderId="10" xfId="4" applyNumberFormat="1" applyFont="1" applyBorder="1" applyAlignment="1">
      <alignment vertical="center"/>
    </xf>
    <xf numFmtId="14" fontId="13" fillId="0" borderId="0" xfId="3" applyNumberFormat="1" applyFont="1" applyAlignment="1">
      <alignment vertical="center"/>
    </xf>
  </cellXfs>
  <cellStyles count="10">
    <cellStyle name="Comma 2" xfId="9"/>
    <cellStyle name="Normal" xfId="0" builtinId="0"/>
    <cellStyle name="Normal 2" xfId="1"/>
    <cellStyle name="Normal 2 2" xfId="6"/>
    <cellStyle name="Normal 3" xfId="5"/>
    <cellStyle name="Normal 4" xfId="8"/>
    <cellStyle name="Percent 2" xfId="7"/>
    <cellStyle name="ปกติ_Beam-GB4M1" xfId="2"/>
    <cellStyle name="ปกติ_Col" xfId="3"/>
    <cellStyle name="ปกติ_Col 2" xfId="4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  <color rgb="FFB7DEE8"/>
      <color rgb="FFFFCC99"/>
      <color rgb="FF46C224"/>
      <color rgb="FFF622E7"/>
      <color rgb="FF800000"/>
      <color rgb="FFDA9694"/>
      <color rgb="FFD8E4BC"/>
      <color rgb="FFFA9066"/>
      <color rgb="FF4A7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</xdr:row>
          <xdr:rowOff>142875</xdr:rowOff>
        </xdr:from>
        <xdr:to>
          <xdr:col>26</xdr:col>
          <xdr:colOff>47625</xdr:colOff>
          <xdr:row>5</xdr:row>
          <xdr:rowOff>95250</xdr:rowOff>
        </xdr:to>
        <xdr:sp macro="" textlink="">
          <xdr:nvSpPr>
            <xdr:cNvPr id="814081" name="Object 1" hidden="1">
              <a:extLst>
                <a:ext uri="{63B3BB69-23CF-44E3-9099-C40C66FF867C}">
                  <a14:compatExt spid="_x0000_s814081"/>
                </a:ext>
                <a:ext uri="{FF2B5EF4-FFF2-40B4-BE49-F238E27FC236}">
                  <a16:creationId xmlns:a16="http://schemas.microsoft.com/office/drawing/2014/main" id="{00000000-0008-0000-0000-000001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7</xdr:row>
          <xdr:rowOff>180975</xdr:rowOff>
        </xdr:from>
        <xdr:to>
          <xdr:col>22</xdr:col>
          <xdr:colOff>323850</xdr:colOff>
          <xdr:row>9</xdr:row>
          <xdr:rowOff>133350</xdr:rowOff>
        </xdr:to>
        <xdr:sp macro="" textlink="">
          <xdr:nvSpPr>
            <xdr:cNvPr id="814082" name="Object 2" hidden="1">
              <a:extLst>
                <a:ext uri="{63B3BB69-23CF-44E3-9099-C40C66FF867C}">
                  <a14:compatExt spid="_x0000_s814082"/>
                </a:ext>
                <a:ext uri="{FF2B5EF4-FFF2-40B4-BE49-F238E27FC236}">
                  <a16:creationId xmlns:a16="http://schemas.microsoft.com/office/drawing/2014/main" id="{00000000-0008-0000-0000-000002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</xdr:row>
          <xdr:rowOff>9525</xdr:rowOff>
        </xdr:from>
        <xdr:to>
          <xdr:col>10</xdr:col>
          <xdr:colOff>114300</xdr:colOff>
          <xdr:row>10</xdr:row>
          <xdr:rowOff>190500</xdr:rowOff>
        </xdr:to>
        <xdr:sp macro="" textlink="">
          <xdr:nvSpPr>
            <xdr:cNvPr id="814083" name="Object 3" hidden="1">
              <a:extLst>
                <a:ext uri="{63B3BB69-23CF-44E3-9099-C40C66FF867C}">
                  <a14:compatExt spid="_x0000_s814083"/>
                </a:ext>
                <a:ext uri="{FF2B5EF4-FFF2-40B4-BE49-F238E27FC236}">
                  <a16:creationId xmlns:a16="http://schemas.microsoft.com/office/drawing/2014/main" id="{00000000-0008-0000-0000-000003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20</xdr:row>
          <xdr:rowOff>38100</xdr:rowOff>
        </xdr:from>
        <xdr:to>
          <xdr:col>11</xdr:col>
          <xdr:colOff>247650</xdr:colOff>
          <xdr:row>21</xdr:row>
          <xdr:rowOff>161925</xdr:rowOff>
        </xdr:to>
        <xdr:sp macro="" textlink="">
          <xdr:nvSpPr>
            <xdr:cNvPr id="814085" name="Object 5" hidden="1">
              <a:extLst>
                <a:ext uri="{63B3BB69-23CF-44E3-9099-C40C66FF867C}">
                  <a14:compatExt spid="_x0000_s814085"/>
                </a:ext>
                <a:ext uri="{FF2B5EF4-FFF2-40B4-BE49-F238E27FC236}">
                  <a16:creationId xmlns:a16="http://schemas.microsoft.com/office/drawing/2014/main" id="{00000000-0008-0000-0000-000005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28</xdr:row>
          <xdr:rowOff>47625</xdr:rowOff>
        </xdr:from>
        <xdr:to>
          <xdr:col>10</xdr:col>
          <xdr:colOff>104775</xdr:colOff>
          <xdr:row>30</xdr:row>
          <xdr:rowOff>0</xdr:rowOff>
        </xdr:to>
        <xdr:sp macro="" textlink="">
          <xdr:nvSpPr>
            <xdr:cNvPr id="814086" name="Object 6" hidden="1">
              <a:extLst>
                <a:ext uri="{63B3BB69-23CF-44E3-9099-C40C66FF867C}">
                  <a14:compatExt spid="_x0000_s814086"/>
                </a:ext>
                <a:ext uri="{FF2B5EF4-FFF2-40B4-BE49-F238E27FC236}">
                  <a16:creationId xmlns:a16="http://schemas.microsoft.com/office/drawing/2014/main" id="{00000000-0008-0000-0000-000006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33</xdr:row>
          <xdr:rowOff>190500</xdr:rowOff>
        </xdr:from>
        <xdr:to>
          <xdr:col>11</xdr:col>
          <xdr:colOff>95250</xdr:colOff>
          <xdr:row>35</xdr:row>
          <xdr:rowOff>0</xdr:rowOff>
        </xdr:to>
        <xdr:sp macro="" textlink="">
          <xdr:nvSpPr>
            <xdr:cNvPr id="814087" name="Object 7" hidden="1">
              <a:extLst>
                <a:ext uri="{63B3BB69-23CF-44E3-9099-C40C66FF867C}">
                  <a14:compatExt spid="_x0000_s814087"/>
                </a:ext>
                <a:ext uri="{FF2B5EF4-FFF2-40B4-BE49-F238E27FC236}">
                  <a16:creationId xmlns:a16="http://schemas.microsoft.com/office/drawing/2014/main" id="{00000000-0008-0000-0000-000007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403</xdr:colOff>
      <xdr:row>27</xdr:row>
      <xdr:rowOff>82257</xdr:rowOff>
    </xdr:from>
    <xdr:to>
      <xdr:col>29</xdr:col>
      <xdr:colOff>12004</xdr:colOff>
      <xdr:row>41</xdr:row>
      <xdr:rowOff>119757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 flipV="1">
          <a:off x="8512329" y="6896056"/>
          <a:ext cx="2837850" cy="11601"/>
        </a:xfrm>
        <a:prstGeom prst="line">
          <a:avLst/>
        </a:prstGeom>
        <a:ln w="6350">
          <a:solidFill>
            <a:schemeClr val="tx2">
              <a:lumMod val="7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96813</xdr:colOff>
      <xdr:row>30</xdr:row>
      <xdr:rowOff>199658</xdr:rowOff>
    </xdr:from>
    <xdr:to>
      <xdr:col>30</xdr:col>
      <xdr:colOff>467335</xdr:colOff>
      <xdr:row>31</xdr:row>
      <xdr:rowOff>10446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10800000" flipV="1">
          <a:off x="7983513" y="6200408"/>
          <a:ext cx="2732722" cy="10813"/>
        </a:xfrm>
        <a:prstGeom prst="line">
          <a:avLst/>
        </a:prstGeom>
        <a:ln w="6350">
          <a:solidFill>
            <a:schemeClr val="tx2">
              <a:lumMod val="7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15040</xdr:colOff>
      <xdr:row>32</xdr:row>
      <xdr:rowOff>195513</xdr:rowOff>
    </xdr:from>
    <xdr:to>
      <xdr:col>30</xdr:col>
      <xdr:colOff>385562</xdr:colOff>
      <xdr:row>33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rot="10800000" flipV="1">
          <a:off x="7901740" y="6596313"/>
          <a:ext cx="2732722" cy="4512"/>
        </a:xfrm>
        <a:prstGeom prst="line">
          <a:avLst/>
        </a:prstGeom>
        <a:ln w="6350">
          <a:solidFill>
            <a:schemeClr val="tx2">
              <a:lumMod val="75000"/>
            </a:schemeClr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4053</xdr:colOff>
      <xdr:row>28</xdr:row>
      <xdr:rowOff>0</xdr:rowOff>
    </xdr:from>
    <xdr:to>
      <xdr:col>30</xdr:col>
      <xdr:colOff>4054</xdr:colOff>
      <xdr:row>28</xdr:row>
      <xdr:rowOff>4053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233653" y="5600700"/>
          <a:ext cx="2019301" cy="40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27</xdr:row>
      <xdr:rowOff>125650</xdr:rowOff>
    </xdr:from>
    <xdr:to>
      <xdr:col>24</xdr:col>
      <xdr:colOff>4053</xdr:colOff>
      <xdr:row>28</xdr:row>
      <xdr:rowOff>133756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8229600" y="5526325"/>
          <a:ext cx="4053" cy="2081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27</xdr:row>
      <xdr:rowOff>93224</xdr:rowOff>
    </xdr:from>
    <xdr:to>
      <xdr:col>26</xdr:col>
      <xdr:colOff>4053</xdr:colOff>
      <xdr:row>28</xdr:row>
      <xdr:rowOff>101330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915400" y="5493899"/>
          <a:ext cx="4053" cy="2081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2432</xdr:colOff>
      <xdr:row>27</xdr:row>
      <xdr:rowOff>91603</xdr:rowOff>
    </xdr:from>
    <xdr:to>
      <xdr:col>30</xdr:col>
      <xdr:colOff>6485</xdr:colOff>
      <xdr:row>28</xdr:row>
      <xdr:rowOff>99709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0251332" y="5492278"/>
          <a:ext cx="4053" cy="2081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338848</xdr:colOff>
      <xdr:row>27</xdr:row>
      <xdr:rowOff>75390</xdr:rowOff>
    </xdr:from>
    <xdr:to>
      <xdr:col>27</xdr:col>
      <xdr:colOff>342901</xdr:colOff>
      <xdr:row>28</xdr:row>
      <xdr:rowOff>83496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9597148" y="5476065"/>
          <a:ext cx="4053" cy="2081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303990</xdr:colOff>
      <xdr:row>27</xdr:row>
      <xdr:rowOff>158885</xdr:rowOff>
    </xdr:from>
    <xdr:to>
      <xdr:col>24</xdr:col>
      <xdr:colOff>61610</xdr:colOff>
      <xdr:row>28</xdr:row>
      <xdr:rowOff>48637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8190690" y="5559560"/>
          <a:ext cx="100520" cy="897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290209</xdr:colOff>
      <xdr:row>27</xdr:row>
      <xdr:rowOff>157265</xdr:rowOff>
    </xdr:from>
    <xdr:to>
      <xdr:col>28</xdr:col>
      <xdr:colOff>47829</xdr:colOff>
      <xdr:row>28</xdr:row>
      <xdr:rowOff>47017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9548509" y="5557940"/>
          <a:ext cx="100520" cy="897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296693</xdr:colOff>
      <xdr:row>27</xdr:row>
      <xdr:rowOff>159696</xdr:rowOff>
    </xdr:from>
    <xdr:to>
      <xdr:col>26</xdr:col>
      <xdr:colOff>54314</xdr:colOff>
      <xdr:row>28</xdr:row>
      <xdr:rowOff>49448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8869193" y="5560371"/>
          <a:ext cx="100521" cy="897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286965</xdr:colOff>
      <xdr:row>27</xdr:row>
      <xdr:rowOff>141862</xdr:rowOff>
    </xdr:from>
    <xdr:to>
      <xdr:col>30</xdr:col>
      <xdr:colOff>64852</xdr:colOff>
      <xdr:row>28</xdr:row>
      <xdr:rowOff>31614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10212015" y="5542537"/>
          <a:ext cx="101737" cy="897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343829</xdr:colOff>
      <xdr:row>26</xdr:row>
      <xdr:rowOff>194544</xdr:rowOff>
    </xdr:from>
    <xdr:to>
      <xdr:col>30</xdr:col>
      <xdr:colOff>1</xdr:colOff>
      <xdr:row>26</xdr:row>
      <xdr:rowOff>198597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8230529" y="5395194"/>
          <a:ext cx="2018372" cy="40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1978</xdr:colOff>
      <xdr:row>26</xdr:row>
      <xdr:rowOff>108141</xdr:rowOff>
    </xdr:from>
    <xdr:to>
      <xdr:col>24</xdr:col>
      <xdr:colOff>6031</xdr:colOff>
      <xdr:row>27</xdr:row>
      <xdr:rowOff>116247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231578" y="5308791"/>
          <a:ext cx="4053" cy="20813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305968</xdr:colOff>
      <xdr:row>26</xdr:row>
      <xdr:rowOff>141376</xdr:rowOff>
    </xdr:from>
    <xdr:to>
      <xdr:col>24</xdr:col>
      <xdr:colOff>63588</xdr:colOff>
      <xdr:row>27</xdr:row>
      <xdr:rowOff>31128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8192668" y="5342026"/>
          <a:ext cx="100520" cy="897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4864</xdr:colOff>
      <xdr:row>26</xdr:row>
      <xdr:rowOff>94026</xdr:rowOff>
    </xdr:from>
    <xdr:to>
      <xdr:col>30</xdr:col>
      <xdr:colOff>8917</xdr:colOff>
      <xdr:row>27</xdr:row>
      <xdr:rowOff>102133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0253764" y="5294676"/>
          <a:ext cx="4053" cy="2081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289397</xdr:colOff>
      <xdr:row>26</xdr:row>
      <xdr:rowOff>144285</xdr:rowOff>
    </xdr:from>
    <xdr:to>
      <xdr:col>30</xdr:col>
      <xdr:colOff>67284</xdr:colOff>
      <xdr:row>27</xdr:row>
      <xdr:rowOff>34038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10214447" y="5344935"/>
          <a:ext cx="101737" cy="897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114136</xdr:colOff>
      <xdr:row>30</xdr:row>
      <xdr:rowOff>165920</xdr:rowOff>
    </xdr:from>
    <xdr:to>
      <xdr:col>30</xdr:col>
      <xdr:colOff>118189</xdr:colOff>
      <xdr:row>33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6200000">
          <a:off x="10147985" y="6381721"/>
          <a:ext cx="434155" cy="40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27878</xdr:colOff>
      <xdr:row>32</xdr:row>
      <xdr:rowOff>195146</xdr:rowOff>
    </xdr:from>
    <xdr:to>
      <xdr:col>30</xdr:col>
      <xdr:colOff>185854</xdr:colOff>
      <xdr:row>32</xdr:row>
      <xdr:rowOff>195146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0276778" y="6595946"/>
          <a:ext cx="15797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36242</xdr:colOff>
      <xdr:row>31</xdr:row>
      <xdr:rowOff>3717</xdr:rowOff>
    </xdr:from>
    <xdr:to>
      <xdr:col>30</xdr:col>
      <xdr:colOff>194218</xdr:colOff>
      <xdr:row>31</xdr:row>
      <xdr:rowOff>3717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0285142" y="6204492"/>
          <a:ext cx="15797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83634</xdr:colOff>
      <xdr:row>30</xdr:row>
      <xdr:rowOff>153329</xdr:rowOff>
    </xdr:from>
    <xdr:to>
      <xdr:col>30</xdr:col>
      <xdr:colOff>186765</xdr:colOff>
      <xdr:row>31</xdr:row>
      <xdr:rowOff>43081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H="1">
          <a:off x="10332534" y="6154079"/>
          <a:ext cx="103131" cy="897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59473</xdr:colOff>
      <xdr:row>32</xdr:row>
      <xdr:rowOff>147754</xdr:rowOff>
    </xdr:from>
    <xdr:to>
      <xdr:col>30</xdr:col>
      <xdr:colOff>162604</xdr:colOff>
      <xdr:row>33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10308373" y="6548554"/>
          <a:ext cx="103131" cy="522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267888</xdr:colOff>
      <xdr:row>31</xdr:row>
      <xdr:rowOff>35718</xdr:rowOff>
    </xdr:from>
    <xdr:ext cx="875111" cy="316359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flipH="1">
          <a:off x="8840388" y="6236493"/>
          <a:ext cx="875111" cy="31635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cap="none" spc="50">
              <a:ln w="11430"/>
              <a:solidFill>
                <a:sysClr val="windowText" lastClr="00000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WALL</a:t>
          </a:r>
        </a:p>
      </xdr:txBody>
    </xdr:sp>
    <xdr:clientData/>
  </xdr:oneCellAnchor>
  <xdr:twoCellAnchor>
    <xdr:from>
      <xdr:col>23</xdr:col>
      <xdr:colOff>110289</xdr:colOff>
      <xdr:row>32</xdr:row>
      <xdr:rowOff>170447</xdr:rowOff>
    </xdr:from>
    <xdr:to>
      <xdr:col>23</xdr:col>
      <xdr:colOff>110289</xdr:colOff>
      <xdr:row>33</xdr:row>
      <xdr:rowOff>175460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V="1">
          <a:off x="7996989" y="6571247"/>
          <a:ext cx="0" cy="2050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30</xdr:row>
          <xdr:rowOff>133350</xdr:rowOff>
        </xdr:from>
        <xdr:to>
          <xdr:col>23</xdr:col>
          <xdr:colOff>257175</xdr:colOff>
          <xdr:row>31</xdr:row>
          <xdr:rowOff>152400</xdr:rowOff>
        </xdr:to>
        <xdr:sp macro="" textlink="">
          <xdr:nvSpPr>
            <xdr:cNvPr id="814088" name="Object 8" hidden="1">
              <a:extLst>
                <a:ext uri="{63B3BB69-23CF-44E3-9099-C40C66FF867C}">
                  <a14:compatExt spid="_x0000_s814088"/>
                </a:ext>
                <a:ext uri="{FF2B5EF4-FFF2-40B4-BE49-F238E27FC236}">
                  <a16:creationId xmlns:a16="http://schemas.microsoft.com/office/drawing/2014/main" id="{00000000-0008-0000-0000-000008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341835</xdr:colOff>
      <xdr:row>40</xdr:row>
      <xdr:rowOff>192380</xdr:rowOff>
    </xdr:from>
    <xdr:to>
      <xdr:col>24</xdr:col>
      <xdr:colOff>5953</xdr:colOff>
      <xdr:row>42</xdr:row>
      <xdr:rowOff>11906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8228535" y="8193380"/>
          <a:ext cx="7018" cy="219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142373</xdr:colOff>
      <xdr:row>40</xdr:row>
      <xdr:rowOff>192506</xdr:rowOff>
    </xdr:from>
    <xdr:to>
      <xdr:col>24</xdr:col>
      <xdr:colOff>147386</xdr:colOff>
      <xdr:row>42</xdr:row>
      <xdr:rowOff>12032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V="1">
          <a:off x="8371973" y="8193506"/>
          <a:ext cx="5013" cy="219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319839</xdr:colOff>
      <xdr:row>40</xdr:row>
      <xdr:rowOff>179472</xdr:rowOff>
    </xdr:from>
    <xdr:to>
      <xdr:col>24</xdr:col>
      <xdr:colOff>324852</xdr:colOff>
      <xdr:row>41</xdr:row>
      <xdr:rowOff>199524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8549439" y="8180472"/>
          <a:ext cx="5013" cy="2200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146386</xdr:colOff>
      <xdr:row>40</xdr:row>
      <xdr:rowOff>186491</xdr:rowOff>
    </xdr:from>
    <xdr:to>
      <xdr:col>25</xdr:col>
      <xdr:colOff>151399</xdr:colOff>
      <xdr:row>42</xdr:row>
      <xdr:rowOff>6017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8718886" y="8187491"/>
          <a:ext cx="5013" cy="219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333877</xdr:colOff>
      <xdr:row>40</xdr:row>
      <xdr:rowOff>181602</xdr:rowOff>
    </xdr:from>
    <xdr:to>
      <xdr:col>25</xdr:col>
      <xdr:colOff>338890</xdr:colOff>
      <xdr:row>42</xdr:row>
      <xdr:rowOff>1128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8906377" y="8182602"/>
          <a:ext cx="5013" cy="219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165433</xdr:colOff>
      <xdr:row>40</xdr:row>
      <xdr:rowOff>183608</xdr:rowOff>
    </xdr:from>
    <xdr:to>
      <xdr:col>26</xdr:col>
      <xdr:colOff>170446</xdr:colOff>
      <xdr:row>42</xdr:row>
      <xdr:rowOff>3134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9080833" y="8184608"/>
          <a:ext cx="5013" cy="219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2006</xdr:colOff>
      <xdr:row>40</xdr:row>
      <xdr:rowOff>186553</xdr:rowOff>
    </xdr:from>
    <xdr:to>
      <xdr:col>27</xdr:col>
      <xdr:colOff>7019</xdr:colOff>
      <xdr:row>42</xdr:row>
      <xdr:rowOff>6079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V="1">
          <a:off x="9260306" y="8187553"/>
          <a:ext cx="5013" cy="219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182477</xdr:colOff>
      <xdr:row>40</xdr:row>
      <xdr:rowOff>192505</xdr:rowOff>
    </xdr:from>
    <xdr:to>
      <xdr:col>27</xdr:col>
      <xdr:colOff>187490</xdr:colOff>
      <xdr:row>42</xdr:row>
      <xdr:rowOff>12031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V="1">
          <a:off x="9440777" y="8193505"/>
          <a:ext cx="5013" cy="219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4008</xdr:colOff>
      <xdr:row>40</xdr:row>
      <xdr:rowOff>188558</xdr:rowOff>
    </xdr:from>
    <xdr:to>
      <xdr:col>28</xdr:col>
      <xdr:colOff>9021</xdr:colOff>
      <xdr:row>42</xdr:row>
      <xdr:rowOff>6205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9605208" y="8189558"/>
          <a:ext cx="5013" cy="2176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181474</xdr:colOff>
      <xdr:row>40</xdr:row>
      <xdr:rowOff>196516</xdr:rowOff>
    </xdr:from>
    <xdr:to>
      <xdr:col>28</xdr:col>
      <xdr:colOff>186487</xdr:colOff>
      <xdr:row>42</xdr:row>
      <xdr:rowOff>14163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V="1">
          <a:off x="9782674" y="8197516"/>
          <a:ext cx="5013" cy="2176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8331</xdr:colOff>
      <xdr:row>40</xdr:row>
      <xdr:rowOff>192568</xdr:rowOff>
    </xdr:from>
    <xdr:to>
      <xdr:col>29</xdr:col>
      <xdr:colOff>8958</xdr:colOff>
      <xdr:row>42</xdr:row>
      <xdr:rowOff>10215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9933381" y="8193568"/>
          <a:ext cx="627" cy="2176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155091</xdr:colOff>
      <xdr:row>40</xdr:row>
      <xdr:rowOff>196453</xdr:rowOff>
    </xdr:from>
    <xdr:to>
      <xdr:col>29</xdr:col>
      <xdr:colOff>160104</xdr:colOff>
      <xdr:row>42</xdr:row>
      <xdr:rowOff>14100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 flipV="1">
          <a:off x="10080141" y="8197453"/>
          <a:ext cx="5013" cy="2176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307492</xdr:colOff>
      <xdr:row>40</xdr:row>
      <xdr:rowOff>182481</xdr:rowOff>
    </xdr:from>
    <xdr:to>
      <xdr:col>29</xdr:col>
      <xdr:colOff>312505</xdr:colOff>
      <xdr:row>42</xdr:row>
      <xdr:rowOff>2007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 flipV="1">
          <a:off x="10232542" y="8183481"/>
          <a:ext cx="5013" cy="2195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321469</xdr:colOff>
      <xdr:row>42</xdr:row>
      <xdr:rowOff>17859</xdr:rowOff>
    </xdr:from>
    <xdr:to>
      <xdr:col>30</xdr:col>
      <xdr:colOff>0</xdr:colOff>
      <xdr:row>42</xdr:row>
      <xdr:rowOff>23812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V="1">
          <a:off x="8208169" y="8418909"/>
          <a:ext cx="2040731" cy="59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35</xdr:row>
          <xdr:rowOff>19050</xdr:rowOff>
        </xdr:from>
        <xdr:to>
          <xdr:col>11</xdr:col>
          <xdr:colOff>323850</xdr:colOff>
          <xdr:row>36</xdr:row>
          <xdr:rowOff>9525</xdr:rowOff>
        </xdr:to>
        <xdr:sp macro="" textlink="">
          <xdr:nvSpPr>
            <xdr:cNvPr id="814089" name="Object 9" hidden="1">
              <a:extLst>
                <a:ext uri="{63B3BB69-23CF-44E3-9099-C40C66FF867C}">
                  <a14:compatExt spid="_x0000_s814089"/>
                </a:ext>
                <a:ext uri="{FF2B5EF4-FFF2-40B4-BE49-F238E27FC236}">
                  <a16:creationId xmlns:a16="http://schemas.microsoft.com/office/drawing/2014/main" id="{00000000-0008-0000-0000-000009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339187</xdr:colOff>
      <xdr:row>35</xdr:row>
      <xdr:rowOff>136471</xdr:rowOff>
    </xdr:from>
    <xdr:to>
      <xdr:col>30</xdr:col>
      <xdr:colOff>1</xdr:colOff>
      <xdr:row>37</xdr:row>
      <xdr:rowOff>141117</xdr:rowOff>
    </xdr:to>
    <xdr:cxnSp macro="">
      <xdr:nvCxnSpPr>
        <xdr:cNvPr id="49" name="Curved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rot="10800000" flipV="1">
          <a:off x="9597487" y="7137346"/>
          <a:ext cx="651414" cy="404696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36</xdr:row>
          <xdr:rowOff>152400</xdr:rowOff>
        </xdr:from>
        <xdr:to>
          <xdr:col>11</xdr:col>
          <xdr:colOff>152400</xdr:colOff>
          <xdr:row>38</xdr:row>
          <xdr:rowOff>47625</xdr:rowOff>
        </xdr:to>
        <xdr:sp macro="" textlink="">
          <xdr:nvSpPr>
            <xdr:cNvPr id="814090" name="Object 10" hidden="1">
              <a:extLst>
                <a:ext uri="{63B3BB69-23CF-44E3-9099-C40C66FF867C}">
                  <a14:compatExt spid="_x0000_s814090"/>
                </a:ext>
                <a:ext uri="{FF2B5EF4-FFF2-40B4-BE49-F238E27FC236}">
                  <a16:creationId xmlns:a16="http://schemas.microsoft.com/office/drawing/2014/main" id="{00000000-0008-0000-0000-00000A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180975</xdr:rowOff>
        </xdr:from>
        <xdr:to>
          <xdr:col>9</xdr:col>
          <xdr:colOff>190500</xdr:colOff>
          <xdr:row>39</xdr:row>
          <xdr:rowOff>95250</xdr:rowOff>
        </xdr:to>
        <xdr:sp macro="" textlink="">
          <xdr:nvSpPr>
            <xdr:cNvPr id="814091" name="Object 11" hidden="1">
              <a:extLst>
                <a:ext uri="{63B3BB69-23CF-44E3-9099-C40C66FF867C}">
                  <a14:compatExt spid="_x0000_s814091"/>
                </a:ext>
                <a:ext uri="{FF2B5EF4-FFF2-40B4-BE49-F238E27FC236}">
                  <a16:creationId xmlns:a16="http://schemas.microsoft.com/office/drawing/2014/main" id="{00000000-0008-0000-0000-00000B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39</xdr:row>
          <xdr:rowOff>104775</xdr:rowOff>
        </xdr:from>
        <xdr:to>
          <xdr:col>10</xdr:col>
          <xdr:colOff>285750</xdr:colOff>
          <xdr:row>40</xdr:row>
          <xdr:rowOff>180975</xdr:rowOff>
        </xdr:to>
        <xdr:sp macro="" textlink="">
          <xdr:nvSpPr>
            <xdr:cNvPr id="814092" name="Object 12" hidden="1">
              <a:extLst>
                <a:ext uri="{63B3BB69-23CF-44E3-9099-C40C66FF867C}">
                  <a14:compatExt spid="_x0000_s814092"/>
                </a:ext>
                <a:ext uri="{FF2B5EF4-FFF2-40B4-BE49-F238E27FC236}">
                  <a16:creationId xmlns:a16="http://schemas.microsoft.com/office/drawing/2014/main" id="{00000000-0008-0000-0000-00000C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304800</xdr:colOff>
          <xdr:row>40</xdr:row>
          <xdr:rowOff>152400</xdr:rowOff>
        </xdr:from>
        <xdr:to>
          <xdr:col>26</xdr:col>
          <xdr:colOff>200025</xdr:colOff>
          <xdr:row>42</xdr:row>
          <xdr:rowOff>0</xdr:rowOff>
        </xdr:to>
        <xdr:sp macro="" textlink="">
          <xdr:nvSpPr>
            <xdr:cNvPr id="814093" name="Object 13" hidden="1">
              <a:extLst>
                <a:ext uri="{63B3BB69-23CF-44E3-9099-C40C66FF867C}">
                  <a14:compatExt spid="_x0000_s814093"/>
                </a:ext>
                <a:ext uri="{FF2B5EF4-FFF2-40B4-BE49-F238E27FC236}">
                  <a16:creationId xmlns:a16="http://schemas.microsoft.com/office/drawing/2014/main" id="{00000000-0008-0000-0000-00000D6C0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31208</xdr:colOff>
      <xdr:row>40</xdr:row>
      <xdr:rowOff>139200</xdr:rowOff>
    </xdr:from>
    <xdr:to>
      <xdr:col>29</xdr:col>
      <xdr:colOff>285868</xdr:colOff>
      <xdr:row>40</xdr:row>
      <xdr:rowOff>140166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8260808" y="8140200"/>
          <a:ext cx="1950110" cy="96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81160</xdr:colOff>
      <xdr:row>40</xdr:row>
      <xdr:rowOff>59547</xdr:rowOff>
    </xdr:from>
    <xdr:to>
      <xdr:col>24</xdr:col>
      <xdr:colOff>126879</xdr:colOff>
      <xdr:row>40</xdr:row>
      <xdr:rowOff>105266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8310760" y="8060547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325713</xdr:colOff>
      <xdr:row>40</xdr:row>
      <xdr:rowOff>58640</xdr:rowOff>
    </xdr:from>
    <xdr:to>
      <xdr:col>25</xdr:col>
      <xdr:colOff>27303</xdr:colOff>
      <xdr:row>40</xdr:row>
      <xdr:rowOff>104359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8555313" y="8059640"/>
          <a:ext cx="4449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192363</xdr:colOff>
      <xdr:row>40</xdr:row>
      <xdr:rowOff>63556</xdr:rowOff>
    </xdr:from>
    <xdr:to>
      <xdr:col>25</xdr:col>
      <xdr:colOff>238082</xdr:colOff>
      <xdr:row>40</xdr:row>
      <xdr:rowOff>109275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8764863" y="8064556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71302</xdr:colOff>
      <xdr:row>40</xdr:row>
      <xdr:rowOff>62326</xdr:rowOff>
    </xdr:from>
    <xdr:to>
      <xdr:col>26</xdr:col>
      <xdr:colOff>117021</xdr:colOff>
      <xdr:row>40</xdr:row>
      <xdr:rowOff>108045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8986702" y="8063326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315880</xdr:colOff>
      <xdr:row>40</xdr:row>
      <xdr:rowOff>58023</xdr:rowOff>
    </xdr:from>
    <xdr:to>
      <xdr:col>27</xdr:col>
      <xdr:colOff>17470</xdr:colOff>
      <xdr:row>40</xdr:row>
      <xdr:rowOff>103742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9231280" y="8059023"/>
          <a:ext cx="4449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194824</xdr:colOff>
      <xdr:row>40</xdr:row>
      <xdr:rowOff>59869</xdr:rowOff>
    </xdr:from>
    <xdr:to>
      <xdr:col>27</xdr:col>
      <xdr:colOff>240543</xdr:colOff>
      <xdr:row>40</xdr:row>
      <xdr:rowOff>105588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9453124" y="8060869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67618</xdr:colOff>
      <xdr:row>40</xdr:row>
      <xdr:rowOff>61713</xdr:rowOff>
    </xdr:from>
    <xdr:to>
      <xdr:col>28</xdr:col>
      <xdr:colOff>113337</xdr:colOff>
      <xdr:row>40</xdr:row>
      <xdr:rowOff>107432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9668818" y="8062713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281470</xdr:colOff>
      <xdr:row>40</xdr:row>
      <xdr:rowOff>57411</xdr:rowOff>
    </xdr:from>
    <xdr:to>
      <xdr:col>29</xdr:col>
      <xdr:colOff>4568</xdr:colOff>
      <xdr:row>40</xdr:row>
      <xdr:rowOff>103130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9882670" y="8058411"/>
          <a:ext cx="46948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163485</xdr:colOff>
      <xdr:row>40</xdr:row>
      <xdr:rowOff>62327</xdr:rowOff>
    </xdr:from>
    <xdr:to>
      <xdr:col>29</xdr:col>
      <xdr:colOff>209204</xdr:colOff>
      <xdr:row>40</xdr:row>
      <xdr:rowOff>108046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0088535" y="8063327"/>
          <a:ext cx="45719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133756</xdr:colOff>
      <xdr:row>37</xdr:row>
      <xdr:rowOff>166181</xdr:rowOff>
    </xdr:from>
    <xdr:to>
      <xdr:col>24</xdr:col>
      <xdr:colOff>44401</xdr:colOff>
      <xdr:row>40</xdr:row>
      <xdr:rowOff>25701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8020456" y="7567106"/>
          <a:ext cx="253545" cy="459595"/>
        </a:xfrm>
        <a:prstGeom prst="line">
          <a:avLst/>
        </a:prstGeom>
        <a:ln>
          <a:solidFill>
            <a:srgbClr val="F622E7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333377</xdr:colOff>
      <xdr:row>39</xdr:row>
      <xdr:rowOff>164521</xdr:rowOff>
    </xdr:from>
    <xdr:to>
      <xdr:col>24</xdr:col>
      <xdr:colOff>212148</xdr:colOff>
      <xdr:row>40</xdr:row>
      <xdr:rowOff>177511</xdr:rowOff>
    </xdr:to>
    <xdr:sp macro="" textlink="">
      <xdr:nvSpPr>
        <xdr:cNvPr id="65" name="Donut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8220077" y="7965496"/>
          <a:ext cx="221671" cy="213015"/>
        </a:xfrm>
        <a:prstGeom prst="donut">
          <a:avLst>
            <a:gd name="adj" fmla="val 3073"/>
          </a:avLst>
        </a:prstGeom>
        <a:solidFill>
          <a:srgbClr val="F622E7"/>
        </a:solidFill>
        <a:ln>
          <a:solidFill>
            <a:srgbClr val="F622E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324256</xdr:colOff>
      <xdr:row>36</xdr:row>
      <xdr:rowOff>162127</xdr:rowOff>
    </xdr:from>
    <xdr:to>
      <xdr:col>25</xdr:col>
      <xdr:colOff>121595</xdr:colOff>
      <xdr:row>40</xdr:row>
      <xdr:rowOff>141861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8210956" y="7363027"/>
          <a:ext cx="483139" cy="779834"/>
        </a:xfrm>
        <a:prstGeom prst="line">
          <a:avLst/>
        </a:prstGeom>
        <a:ln>
          <a:solidFill>
            <a:srgbClr val="46C22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91254</xdr:colOff>
      <xdr:row>40</xdr:row>
      <xdr:rowOff>10886</xdr:rowOff>
    </xdr:from>
    <xdr:to>
      <xdr:col>25</xdr:col>
      <xdr:colOff>195943</xdr:colOff>
      <xdr:row>41</xdr:row>
      <xdr:rowOff>1507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8663754" y="8011886"/>
          <a:ext cx="104689" cy="190646"/>
        </a:xfrm>
        <a:prstGeom prst="line">
          <a:avLst/>
        </a:prstGeom>
        <a:ln>
          <a:solidFill>
            <a:srgbClr val="46C22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mments" Target="../comments1.xml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BG293"/>
  <sheetViews>
    <sheetView tabSelected="1" zoomScale="115" zoomScaleNormal="115" workbookViewId="0">
      <selection activeCell="AL7" sqref="AL7"/>
    </sheetView>
  </sheetViews>
  <sheetFormatPr defaultRowHeight="23.25" x14ac:dyDescent="0.5"/>
  <cols>
    <col min="1" max="28" width="5.140625" style="1" customWidth="1"/>
    <col min="29" max="30" width="4.85546875" style="1" customWidth="1"/>
    <col min="31" max="31" width="7.140625" style="1" customWidth="1"/>
    <col min="32" max="32" width="6" style="1" customWidth="1"/>
    <col min="33" max="33" width="6.85546875" style="1" customWidth="1"/>
    <col min="34" max="34" width="6.5703125" style="1" customWidth="1"/>
    <col min="35" max="35" width="5.28515625" style="1" customWidth="1"/>
    <col min="36" max="36" width="4.7109375" style="1" customWidth="1"/>
    <col min="37" max="37" width="3.85546875" style="1" customWidth="1"/>
    <col min="38" max="16384" width="9.140625" style="1"/>
  </cols>
  <sheetData>
    <row r="1" spans="1:37" ht="15.75" customHeight="1" x14ac:dyDescent="0.5">
      <c r="A1" s="197" t="s">
        <v>142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U1" s="113"/>
    </row>
    <row r="2" spans="1:37" ht="15.75" customHeight="1" x14ac:dyDescent="0.5">
      <c r="A2" s="27" t="s">
        <v>12</v>
      </c>
      <c r="B2" s="198"/>
      <c r="C2" s="199" t="s">
        <v>143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27" t="s">
        <v>59</v>
      </c>
      <c r="O2" s="200"/>
      <c r="P2" s="201" t="s">
        <v>108</v>
      </c>
      <c r="Q2" s="202"/>
      <c r="R2" s="202"/>
      <c r="S2" s="203"/>
      <c r="U2" s="113"/>
    </row>
    <row r="3" spans="1:37" ht="15.75" customHeight="1" x14ac:dyDescent="0.5">
      <c r="A3" s="27" t="s">
        <v>28</v>
      </c>
      <c r="B3" s="199"/>
      <c r="C3" s="199" t="s">
        <v>144</v>
      </c>
      <c r="D3" s="204"/>
      <c r="E3" s="199"/>
      <c r="F3" s="199"/>
      <c r="G3" s="199"/>
      <c r="H3" s="199"/>
      <c r="I3" s="205"/>
      <c r="J3" s="205"/>
      <c r="K3" s="206"/>
      <c r="L3" s="206"/>
      <c r="M3" s="206"/>
      <c r="N3" s="27" t="s">
        <v>57</v>
      </c>
      <c r="O3" s="200"/>
      <c r="P3" s="207" t="s">
        <v>144</v>
      </c>
      <c r="Q3" s="208"/>
      <c r="R3" s="208"/>
      <c r="S3" s="209"/>
      <c r="T3" s="46"/>
      <c r="U3" s="56"/>
      <c r="V3" s="47"/>
      <c r="W3" s="57"/>
      <c r="X3" s="52" t="s">
        <v>96</v>
      </c>
      <c r="Y3" s="47"/>
      <c r="Z3" s="47"/>
      <c r="AA3" s="47"/>
      <c r="AB3" s="48"/>
    </row>
    <row r="4" spans="1:37" ht="15.75" customHeight="1" x14ac:dyDescent="0.5">
      <c r="A4" s="27" t="s">
        <v>56</v>
      </c>
      <c r="B4" s="199"/>
      <c r="C4" s="199" t="s">
        <v>147</v>
      </c>
      <c r="D4" s="204"/>
      <c r="E4" s="199"/>
      <c r="F4" s="199"/>
      <c r="G4" s="199"/>
      <c r="H4" s="199"/>
      <c r="I4" s="199"/>
      <c r="J4" s="210"/>
      <c r="K4" s="206"/>
      <c r="L4" s="206"/>
      <c r="M4" s="206"/>
      <c r="N4" s="27" t="s">
        <v>58</v>
      </c>
      <c r="O4" s="199"/>
      <c r="P4" s="211" t="s">
        <v>145</v>
      </c>
      <c r="Q4" s="211"/>
      <c r="R4" s="212"/>
      <c r="S4" s="212"/>
      <c r="T4" s="58"/>
      <c r="U4" s="59"/>
      <c r="V4" s="11"/>
      <c r="W4" s="60" t="s">
        <v>90</v>
      </c>
      <c r="X4" s="38">
        <v>0.85</v>
      </c>
      <c r="Y4" s="39"/>
      <c r="Z4" s="39"/>
      <c r="AA4" s="39"/>
      <c r="AB4" s="40"/>
    </row>
    <row r="5" spans="1:37" s="5" customFormat="1" ht="15.75" customHeight="1" x14ac:dyDescent="0.5">
      <c r="C5" s="16"/>
      <c r="D5" s="16"/>
      <c r="E5" s="17"/>
      <c r="F5" s="17"/>
      <c r="G5" s="17"/>
      <c r="H5" s="17"/>
      <c r="I5" s="17"/>
      <c r="J5" s="18"/>
      <c r="K5" s="18"/>
      <c r="L5" s="18"/>
      <c r="M5" s="18"/>
      <c r="N5" s="19"/>
      <c r="O5" s="20"/>
      <c r="S5" s="20"/>
      <c r="T5" s="181" t="s">
        <v>91</v>
      </c>
      <c r="U5" s="182"/>
      <c r="V5" s="182"/>
      <c r="W5" s="182"/>
      <c r="X5" s="38"/>
      <c r="Y5" s="38"/>
      <c r="Z5" s="38"/>
      <c r="AA5" s="110" t="s">
        <v>14</v>
      </c>
      <c r="AB5" s="41">
        <f>0.85-(((Q7-280)*0.05)/70)</f>
        <v>0.87857142857142856</v>
      </c>
    </row>
    <row r="6" spans="1:37" s="3" customFormat="1" ht="15.75" customHeight="1" x14ac:dyDescent="0.5">
      <c r="A6" s="16" t="s">
        <v>30</v>
      </c>
      <c r="B6" s="16" t="s">
        <v>31</v>
      </c>
      <c r="C6" s="61"/>
      <c r="D6" s="61"/>
      <c r="E6" s="61"/>
      <c r="F6" s="61"/>
      <c r="G6" s="61"/>
      <c r="H6" s="61"/>
      <c r="I6" s="62"/>
      <c r="J6" s="61"/>
      <c r="K6" s="63"/>
      <c r="O6" s="29" t="s">
        <v>9</v>
      </c>
      <c r="P6" s="9"/>
      <c r="Q6" s="29" t="s">
        <v>10</v>
      </c>
      <c r="R6" s="64"/>
      <c r="S6" s="15"/>
      <c r="T6" s="183"/>
      <c r="U6" s="184"/>
      <c r="V6" s="184"/>
      <c r="W6" s="184"/>
      <c r="X6" s="6"/>
      <c r="Y6" s="6"/>
      <c r="Z6" s="6"/>
      <c r="AA6" s="6"/>
      <c r="AB6" s="42"/>
    </row>
    <row r="7" spans="1:37" s="3" customFormat="1" ht="15.75" customHeight="1" x14ac:dyDescent="0.5">
      <c r="A7" s="69" t="s">
        <v>98</v>
      </c>
      <c r="B7" s="21" t="s">
        <v>35</v>
      </c>
      <c r="C7" s="24"/>
      <c r="D7" s="21"/>
      <c r="E7" s="21"/>
      <c r="F7" s="21"/>
      <c r="G7" s="21"/>
      <c r="H7" s="21"/>
      <c r="I7" s="63"/>
      <c r="K7" s="63"/>
      <c r="M7" s="30" t="s">
        <v>8</v>
      </c>
      <c r="O7" s="31"/>
      <c r="P7" s="15"/>
      <c r="Q7" s="114">
        <v>240</v>
      </c>
      <c r="R7" s="26" t="s">
        <v>13</v>
      </c>
      <c r="S7" s="15"/>
      <c r="T7" s="43"/>
      <c r="U7" s="66"/>
      <c r="V7" s="44"/>
      <c r="W7" s="67"/>
      <c r="X7" s="53" t="s">
        <v>97</v>
      </c>
      <c r="Y7" s="44"/>
      <c r="Z7" s="44"/>
      <c r="AA7" s="44"/>
      <c r="AB7" s="45"/>
    </row>
    <row r="8" spans="1:37" s="3" customFormat="1" ht="15.75" customHeight="1" x14ac:dyDescent="0.5">
      <c r="A8" s="63"/>
      <c r="B8" s="21" t="s">
        <v>32</v>
      </c>
      <c r="C8" s="24"/>
      <c r="D8" s="21"/>
      <c r="E8" s="21"/>
      <c r="F8" s="21"/>
      <c r="G8" s="21"/>
      <c r="H8" s="21"/>
      <c r="I8" s="63"/>
      <c r="K8" s="63"/>
      <c r="M8" s="30" t="s">
        <v>8</v>
      </c>
      <c r="O8" s="65" t="s">
        <v>87</v>
      </c>
      <c r="P8" s="15"/>
      <c r="Q8" s="65" t="s">
        <v>86</v>
      </c>
      <c r="R8" s="26" t="s">
        <v>13</v>
      </c>
      <c r="S8" s="15"/>
      <c r="T8" s="181" t="s">
        <v>146</v>
      </c>
      <c r="U8" s="182"/>
      <c r="V8" s="182"/>
      <c r="W8" s="182"/>
      <c r="X8" s="50" t="s">
        <v>14</v>
      </c>
      <c r="Y8" s="49">
        <f>14/Q9</f>
        <v>3.5000000000000001E-3</v>
      </c>
      <c r="Z8" s="39"/>
      <c r="AA8" s="39"/>
      <c r="AB8" s="40"/>
    </row>
    <row r="9" spans="1:37" s="3" customFormat="1" ht="15.75" customHeight="1" x14ac:dyDescent="0.5">
      <c r="A9" s="63"/>
      <c r="B9" s="21" t="s">
        <v>11</v>
      </c>
      <c r="C9" s="21"/>
      <c r="D9" s="21"/>
      <c r="E9" s="21"/>
      <c r="F9" s="21"/>
      <c r="G9" s="63"/>
      <c r="H9" s="21"/>
      <c r="I9" s="63"/>
      <c r="K9" s="63"/>
      <c r="M9" s="30" t="s">
        <v>8</v>
      </c>
      <c r="O9" s="68">
        <v>2400</v>
      </c>
      <c r="P9" s="15"/>
      <c r="Q9" s="68">
        <v>4000</v>
      </c>
      <c r="R9" s="26" t="s">
        <v>13</v>
      </c>
      <c r="S9" s="15"/>
      <c r="T9" s="185" t="s">
        <v>95</v>
      </c>
      <c r="U9" s="186"/>
      <c r="V9" s="186"/>
      <c r="W9" s="186"/>
      <c r="X9" s="110" t="s">
        <v>14</v>
      </c>
      <c r="Y9" s="49">
        <f>(0.8*SQRT(Q7))/Q9</f>
        <v>3.0983866769659337E-3</v>
      </c>
      <c r="Z9" s="38"/>
      <c r="AA9" s="110"/>
      <c r="AB9" s="41"/>
    </row>
    <row r="10" spans="1:37" s="3" customFormat="1" ht="15.75" customHeight="1" x14ac:dyDescent="0.5">
      <c r="A10" s="69"/>
      <c r="B10" s="32" t="s">
        <v>89</v>
      </c>
      <c r="C10" s="21"/>
      <c r="D10" s="21"/>
      <c r="E10" s="21"/>
      <c r="F10" s="21"/>
      <c r="G10" s="63"/>
      <c r="H10" s="21"/>
      <c r="I10" s="63"/>
      <c r="K10" s="63"/>
      <c r="M10" s="30"/>
      <c r="O10" s="68"/>
      <c r="P10" s="15"/>
      <c r="Q10" s="70">
        <f>IF(Q7&lt;=280,0.85,IF(Q7&gt;280,AB5))</f>
        <v>0.85</v>
      </c>
      <c r="R10" s="26"/>
      <c r="S10" s="15"/>
      <c r="T10" s="187"/>
      <c r="U10" s="188"/>
      <c r="V10" s="188"/>
      <c r="W10" s="188"/>
      <c r="X10" s="6"/>
      <c r="Y10" s="6"/>
      <c r="Z10" s="6"/>
      <c r="AA10" s="6"/>
      <c r="AB10" s="42"/>
      <c r="AC10" s="5"/>
      <c r="AD10" s="5"/>
      <c r="AE10" s="5"/>
      <c r="AF10" s="5"/>
      <c r="AG10" s="5"/>
      <c r="AH10" s="5"/>
      <c r="AI10" s="5"/>
      <c r="AJ10" s="5"/>
      <c r="AK10" s="5"/>
    </row>
    <row r="11" spans="1:37" s="3" customFormat="1" ht="15.75" customHeight="1" x14ac:dyDescent="0.5">
      <c r="A11" s="27"/>
      <c r="B11" s="71" t="s">
        <v>92</v>
      </c>
      <c r="C11" s="21"/>
      <c r="D11" s="21"/>
      <c r="E11" s="21"/>
      <c r="F11" s="21"/>
      <c r="G11" s="30" t="s">
        <v>8</v>
      </c>
      <c r="H11" s="28"/>
      <c r="I11" s="28"/>
      <c r="K11" s="28"/>
      <c r="M11" s="30" t="s">
        <v>8</v>
      </c>
      <c r="O11" s="72"/>
      <c r="P11" s="15"/>
      <c r="Q11" s="115">
        <f>Q10*(((0.85*Q7)/Q9)*(6120/(6120+Q9)))</f>
        <v>2.621561264822134E-2</v>
      </c>
      <c r="R11" s="26"/>
      <c r="S11" s="15"/>
      <c r="T11" s="15"/>
      <c r="U11" s="15"/>
      <c r="V11" s="113"/>
      <c r="Z11" s="113" t="s">
        <v>0</v>
      </c>
      <c r="AA11" s="1"/>
      <c r="AB11" s="1"/>
      <c r="AC11" s="1"/>
      <c r="AD11" s="1"/>
      <c r="AE11" s="5"/>
      <c r="AF11" s="5"/>
      <c r="AG11" s="5"/>
      <c r="AH11" s="5"/>
      <c r="AI11" s="5"/>
      <c r="AJ11" s="5"/>
      <c r="AK11" s="5"/>
    </row>
    <row r="12" spans="1:37" s="3" customFormat="1" ht="15.75" customHeight="1" x14ac:dyDescent="0.5">
      <c r="A12" s="69"/>
      <c r="B12" s="73" t="s">
        <v>93</v>
      </c>
      <c r="C12" s="21"/>
      <c r="D12" s="21"/>
      <c r="E12" s="21"/>
      <c r="F12" s="21"/>
      <c r="G12" s="21"/>
      <c r="H12" s="63"/>
      <c r="I12" s="63"/>
      <c r="K12" s="63"/>
      <c r="M12" s="30"/>
      <c r="O12" s="74"/>
      <c r="P12" s="15"/>
      <c r="Q12" s="115">
        <f>Q11*0.75</f>
        <v>1.9661709486166006E-2</v>
      </c>
      <c r="R12" s="26"/>
      <c r="S12" s="15"/>
      <c r="T12" s="15"/>
      <c r="U12" s="15"/>
      <c r="V12" s="113"/>
      <c r="Z12" s="113" t="s">
        <v>1</v>
      </c>
      <c r="AA12" s="1"/>
      <c r="AB12" s="1"/>
      <c r="AC12" s="1"/>
      <c r="AD12" s="1"/>
    </row>
    <row r="13" spans="1:37" s="3" customFormat="1" ht="15.75" customHeight="1" x14ac:dyDescent="0.5">
      <c r="A13" s="69"/>
      <c r="B13" s="73" t="s">
        <v>94</v>
      </c>
      <c r="C13" s="21"/>
      <c r="D13" s="21"/>
      <c r="E13" s="21"/>
      <c r="F13" s="21"/>
      <c r="G13" s="21"/>
      <c r="H13" s="63"/>
      <c r="I13" s="63"/>
      <c r="K13" s="63"/>
      <c r="M13" s="30"/>
      <c r="O13" s="74"/>
      <c r="P13" s="15"/>
      <c r="Q13" s="115">
        <f>IF(Q7&gt;=306,Y9,IF(Q7&lt;306,Y8))</f>
        <v>3.5000000000000001E-3</v>
      </c>
      <c r="R13" s="26"/>
      <c r="S13" s="15"/>
      <c r="T13" s="15"/>
      <c r="U13" s="15"/>
      <c r="V13" s="113"/>
      <c r="Z13" s="113" t="s">
        <v>2</v>
      </c>
      <c r="AA13" s="1"/>
      <c r="AB13" s="1"/>
      <c r="AC13" s="1"/>
      <c r="AD13" s="1"/>
    </row>
    <row r="14" spans="1:37" s="3" customFormat="1" ht="15.75" customHeight="1" x14ac:dyDescent="0.5">
      <c r="A14" s="16" t="s">
        <v>33</v>
      </c>
      <c r="B14" s="16" t="s">
        <v>37</v>
      </c>
      <c r="C14" s="16"/>
      <c r="D14" s="21"/>
      <c r="E14" s="21"/>
      <c r="F14" s="21"/>
      <c r="G14" s="21"/>
      <c r="H14" s="63"/>
      <c r="I14" s="63"/>
      <c r="K14" s="63"/>
      <c r="M14" s="30"/>
      <c r="O14" s="74"/>
      <c r="P14" s="15"/>
      <c r="Q14" s="115"/>
      <c r="R14" s="26"/>
      <c r="S14" s="15"/>
      <c r="T14" s="15"/>
      <c r="U14" s="15"/>
      <c r="V14" s="113"/>
      <c r="Z14" s="113" t="s">
        <v>3</v>
      </c>
      <c r="AA14" s="1"/>
      <c r="AB14" s="1"/>
      <c r="AC14" s="1"/>
      <c r="AD14" s="1"/>
    </row>
    <row r="15" spans="1:37" s="3" customFormat="1" ht="15.75" customHeight="1" x14ac:dyDescent="0.5">
      <c r="A15" s="69"/>
      <c r="B15" s="23" t="s">
        <v>109</v>
      </c>
      <c r="C15" s="21"/>
      <c r="D15" s="21"/>
      <c r="E15" s="21"/>
      <c r="F15" s="21"/>
      <c r="G15" s="30" t="s">
        <v>8</v>
      </c>
      <c r="H15" s="63"/>
      <c r="I15" s="116" t="s">
        <v>17</v>
      </c>
      <c r="J15" s="85" t="s">
        <v>14</v>
      </c>
      <c r="K15" s="117">
        <v>13</v>
      </c>
      <c r="L15" s="26" t="s">
        <v>110</v>
      </c>
      <c r="M15" s="30" t="s">
        <v>8</v>
      </c>
      <c r="N15" s="12" t="s">
        <v>111</v>
      </c>
      <c r="O15" s="116"/>
      <c r="P15" s="85" t="s">
        <v>14</v>
      </c>
      <c r="Q15" s="118">
        <f>K15+(+H24*Q24*2.4*(Q31/100))</f>
        <v>15.975999999999999</v>
      </c>
      <c r="R15" s="26" t="s">
        <v>110</v>
      </c>
      <c r="S15" s="15"/>
      <c r="T15" s="15"/>
      <c r="U15" s="15"/>
      <c r="V15" s="113"/>
      <c r="Z15" s="113" t="s">
        <v>4</v>
      </c>
      <c r="AA15" s="5"/>
      <c r="AB15" s="5"/>
      <c r="AC15" s="5"/>
      <c r="AD15" s="5"/>
    </row>
    <row r="16" spans="1:37" s="3" customFormat="1" ht="15.75" customHeight="1" x14ac:dyDescent="0.5">
      <c r="A16" s="69"/>
      <c r="B16" s="23" t="s">
        <v>112</v>
      </c>
      <c r="C16" s="21"/>
      <c r="D16" s="21"/>
      <c r="E16" s="21"/>
      <c r="F16" s="21"/>
      <c r="G16" s="30" t="s">
        <v>8</v>
      </c>
      <c r="H16" s="63"/>
      <c r="I16" s="116" t="s">
        <v>18</v>
      </c>
      <c r="J16" s="85" t="s">
        <v>14</v>
      </c>
      <c r="K16" s="117">
        <v>15</v>
      </c>
      <c r="L16" s="26" t="s">
        <v>110</v>
      </c>
      <c r="M16" s="30" t="s">
        <v>8</v>
      </c>
      <c r="N16" s="12" t="s">
        <v>113</v>
      </c>
      <c r="O16" s="116"/>
      <c r="P16" s="85" t="s">
        <v>14</v>
      </c>
      <c r="Q16" s="118">
        <f>K16+(1.6*(V19-Q31/100)*H24*Q24)</f>
        <v>15</v>
      </c>
      <c r="R16" s="26" t="s">
        <v>110</v>
      </c>
      <c r="S16" s="15"/>
      <c r="T16" s="15"/>
      <c r="U16" s="15"/>
      <c r="V16" s="113"/>
      <c r="Z16" s="113" t="s">
        <v>5</v>
      </c>
    </row>
    <row r="17" spans="1:35" s="3" customFormat="1" ht="15.75" customHeight="1" x14ac:dyDescent="0.5">
      <c r="A17" s="69"/>
      <c r="B17" s="69" t="s">
        <v>114</v>
      </c>
      <c r="C17" s="16"/>
      <c r="D17" s="16"/>
      <c r="E17" s="17"/>
      <c r="F17" s="17"/>
      <c r="G17" s="30" t="s">
        <v>8</v>
      </c>
      <c r="H17" s="63"/>
      <c r="I17" s="63"/>
      <c r="K17" s="63"/>
      <c r="M17" s="30" t="s">
        <v>8</v>
      </c>
      <c r="N17" s="12"/>
      <c r="O17" s="116" t="s">
        <v>115</v>
      </c>
      <c r="P17" s="85" t="s">
        <v>14</v>
      </c>
      <c r="Q17" s="118">
        <f>Q15+Q16</f>
        <v>30.975999999999999</v>
      </c>
      <c r="R17" s="26" t="s">
        <v>110</v>
      </c>
      <c r="S17" s="15"/>
      <c r="T17" s="15"/>
      <c r="U17" s="15"/>
      <c r="V17" s="113"/>
      <c r="Z17" s="113"/>
      <c r="AA17" s="113" t="s">
        <v>79</v>
      </c>
      <c r="AB17" s="113"/>
    </row>
    <row r="18" spans="1:35" s="5" customFormat="1" ht="15.75" customHeight="1" x14ac:dyDescent="0.5">
      <c r="A18" s="16"/>
      <c r="B18" s="69" t="s">
        <v>106</v>
      </c>
      <c r="C18" s="16"/>
      <c r="D18" s="16"/>
      <c r="E18" s="17"/>
      <c r="F18" s="17"/>
      <c r="G18" s="30" t="s">
        <v>8</v>
      </c>
      <c r="H18" s="17"/>
      <c r="I18" s="37" t="s">
        <v>148</v>
      </c>
      <c r="J18" s="18"/>
      <c r="K18" s="18"/>
      <c r="L18" s="18"/>
      <c r="M18" s="30" t="s">
        <v>8</v>
      </c>
      <c r="N18" s="19"/>
      <c r="O18" s="116" t="s">
        <v>116</v>
      </c>
      <c r="P18" s="85" t="s">
        <v>14</v>
      </c>
      <c r="Q18" s="119">
        <f>(1.4*Q15)+(1.7*Q16)</f>
        <v>47.866399999999999</v>
      </c>
      <c r="R18" s="26" t="s">
        <v>110</v>
      </c>
      <c r="S18" s="20"/>
      <c r="T18" s="20"/>
      <c r="U18" s="20"/>
      <c r="Z18" s="15"/>
      <c r="AA18" s="113" t="s">
        <v>80</v>
      </c>
      <c r="AB18" s="113"/>
      <c r="AC18" s="3"/>
      <c r="AD18" s="3"/>
    </row>
    <row r="19" spans="1:35" s="5" customFormat="1" ht="15.75" customHeight="1" x14ac:dyDescent="0.5">
      <c r="A19" s="16"/>
      <c r="B19" s="32" t="s">
        <v>68</v>
      </c>
      <c r="C19" s="16"/>
      <c r="D19" s="16"/>
      <c r="E19" s="17"/>
      <c r="F19" s="17"/>
      <c r="G19" s="17"/>
      <c r="H19" s="17"/>
      <c r="I19" s="17"/>
      <c r="K19" s="18"/>
      <c r="L19" s="18"/>
      <c r="M19" s="30" t="s">
        <v>8</v>
      </c>
      <c r="N19" s="12" t="s">
        <v>117</v>
      </c>
      <c r="O19" s="20"/>
      <c r="Q19" s="120">
        <f>(+H24*Q24*2.4*(Q31/100))+(1.6*(V19-Q31/100)*H24*Q24)</f>
        <v>2.976</v>
      </c>
      <c r="R19" s="26" t="s">
        <v>49</v>
      </c>
      <c r="S19" s="20"/>
      <c r="T19" s="32" t="s">
        <v>66</v>
      </c>
      <c r="V19" s="121">
        <v>0.4</v>
      </c>
      <c r="W19" s="32" t="s">
        <v>15</v>
      </c>
      <c r="Z19" s="15"/>
      <c r="AA19" s="113" t="s">
        <v>81</v>
      </c>
      <c r="AB19" s="113"/>
      <c r="AC19" s="3"/>
      <c r="AD19" s="3"/>
    </row>
    <row r="20" spans="1:35" s="3" customFormat="1" ht="15.75" customHeight="1" x14ac:dyDescent="0.5">
      <c r="A20" s="69"/>
      <c r="B20" s="32" t="s">
        <v>47</v>
      </c>
      <c r="C20" s="21"/>
      <c r="D20" s="21"/>
      <c r="E20" s="30"/>
      <c r="F20" s="21"/>
      <c r="G20" s="21"/>
      <c r="H20" s="63"/>
      <c r="I20" s="63"/>
      <c r="K20" s="63"/>
      <c r="L20" s="74"/>
      <c r="M20" s="36" t="s">
        <v>8</v>
      </c>
      <c r="O20" s="15"/>
      <c r="P20" s="15"/>
      <c r="Q20" s="122">
        <v>10</v>
      </c>
      <c r="R20" s="26" t="s">
        <v>48</v>
      </c>
      <c r="S20" s="15"/>
      <c r="T20" s="123" t="s">
        <v>67</v>
      </c>
      <c r="U20" s="15"/>
      <c r="Z20" s="15"/>
      <c r="AA20" s="113" t="s">
        <v>82</v>
      </c>
      <c r="AB20" s="113"/>
      <c r="AE20" s="1"/>
      <c r="AF20" s="1"/>
      <c r="AG20" s="1"/>
      <c r="AH20" s="1"/>
      <c r="AI20" s="1"/>
    </row>
    <row r="21" spans="1:35" s="3" customFormat="1" ht="15.75" customHeight="1" x14ac:dyDescent="0.5">
      <c r="A21" s="69"/>
      <c r="B21" s="32" t="s">
        <v>38</v>
      </c>
      <c r="C21" s="21"/>
      <c r="D21" s="21"/>
      <c r="E21" s="21"/>
      <c r="F21" s="21"/>
      <c r="G21" s="21"/>
      <c r="H21" s="63"/>
      <c r="I21" s="63"/>
      <c r="K21" s="63"/>
      <c r="L21" s="74"/>
      <c r="M21" s="30" t="s">
        <v>8</v>
      </c>
      <c r="O21" s="15"/>
      <c r="P21" s="15"/>
      <c r="Q21" s="122">
        <v>0</v>
      </c>
      <c r="R21" s="26" t="s">
        <v>27</v>
      </c>
      <c r="S21" s="15"/>
      <c r="T21" s="15"/>
      <c r="U21" s="15"/>
      <c r="Z21" s="15"/>
      <c r="AA21" s="113" t="s">
        <v>83</v>
      </c>
      <c r="AB21" s="113"/>
      <c r="AE21" s="1"/>
      <c r="AF21" s="1"/>
      <c r="AG21" s="1"/>
      <c r="AH21" s="1"/>
      <c r="AI21" s="1"/>
    </row>
    <row r="22" spans="1:35" s="3" customFormat="1" ht="15.75" customHeight="1" x14ac:dyDescent="0.5">
      <c r="A22" s="69"/>
      <c r="B22" s="32" t="s">
        <v>118</v>
      </c>
      <c r="C22" s="21"/>
      <c r="D22" s="21"/>
      <c r="E22" s="30"/>
      <c r="F22" s="21"/>
      <c r="G22" s="30" t="s">
        <v>8</v>
      </c>
      <c r="H22" s="63" t="s">
        <v>119</v>
      </c>
      <c r="I22" s="63"/>
      <c r="K22" s="63"/>
      <c r="L22" s="74"/>
      <c r="M22" s="36" t="s">
        <v>8</v>
      </c>
      <c r="O22" s="15"/>
      <c r="P22" s="34" t="s">
        <v>120</v>
      </c>
      <c r="Q22" s="120">
        <f>Q17/Q20</f>
        <v>3.0975999999999999</v>
      </c>
      <c r="R22" s="26" t="s">
        <v>15</v>
      </c>
      <c r="S22" s="15"/>
      <c r="T22" s="15"/>
      <c r="U22" s="15"/>
      <c r="Z22" s="15"/>
      <c r="AA22" s="113" t="s">
        <v>84</v>
      </c>
      <c r="AB22" s="113"/>
      <c r="AE22" s="1"/>
      <c r="AF22" s="1"/>
      <c r="AG22" s="1"/>
      <c r="AH22" s="1"/>
      <c r="AI22" s="1"/>
    </row>
    <row r="23" spans="1:35" s="3" customFormat="1" ht="15.75" customHeight="1" x14ac:dyDescent="0.5">
      <c r="A23" s="69"/>
      <c r="B23" s="32" t="s">
        <v>50</v>
      </c>
      <c r="C23" s="21"/>
      <c r="D23" s="21"/>
      <c r="E23" s="30"/>
      <c r="F23" s="21"/>
      <c r="G23" s="21"/>
      <c r="H23" s="63"/>
      <c r="I23" s="63"/>
      <c r="J23" s="30"/>
      <c r="K23" s="63"/>
      <c r="L23" s="74"/>
      <c r="M23" s="30" t="s">
        <v>8</v>
      </c>
      <c r="O23" s="15"/>
      <c r="Q23" s="79">
        <f>Q20/Q22</f>
        <v>3.2283057851239669</v>
      </c>
      <c r="R23" s="26" t="s">
        <v>51</v>
      </c>
      <c r="S23" s="15"/>
      <c r="T23" s="22" t="str">
        <f xml:space="preserve"> "recommend width footing size ="</f>
        <v>recommend width footing size =</v>
      </c>
      <c r="U23" s="15"/>
      <c r="X23" s="7">
        <f>Q22</f>
        <v>3.0975999999999999</v>
      </c>
      <c r="Y23" s="3" t="s">
        <v>15</v>
      </c>
      <c r="Z23" s="15"/>
      <c r="AA23" s="113" t="s">
        <v>85</v>
      </c>
      <c r="AB23" s="113"/>
      <c r="AE23" s="1"/>
      <c r="AF23" s="1"/>
      <c r="AG23" s="1"/>
      <c r="AH23" s="1"/>
      <c r="AI23" s="1"/>
    </row>
    <row r="24" spans="1:35" s="3" customFormat="1" ht="15.75" customHeight="1" x14ac:dyDescent="0.5">
      <c r="A24" s="69"/>
      <c r="B24" s="32" t="s">
        <v>121</v>
      </c>
      <c r="C24" s="21"/>
      <c r="F24" s="21" t="s">
        <v>52</v>
      </c>
      <c r="G24" s="30" t="s">
        <v>8</v>
      </c>
      <c r="H24" s="76">
        <v>3.1</v>
      </c>
      <c r="I24" s="21" t="s">
        <v>15</v>
      </c>
      <c r="J24" s="30"/>
      <c r="K24" s="69"/>
      <c r="L24" s="69" t="s">
        <v>53</v>
      </c>
      <c r="M24" s="30" t="s">
        <v>8</v>
      </c>
      <c r="N24" s="124" t="s">
        <v>122</v>
      </c>
      <c r="O24" s="77"/>
      <c r="P24" s="15"/>
      <c r="Q24" s="72">
        <v>1</v>
      </c>
      <c r="R24" s="21" t="s">
        <v>15</v>
      </c>
      <c r="S24" s="15"/>
      <c r="T24" s="15"/>
      <c r="U24" s="15"/>
      <c r="AD24" s="113"/>
      <c r="AE24" s="5"/>
      <c r="AF24" s="5"/>
      <c r="AG24" s="5"/>
      <c r="AH24" s="5"/>
      <c r="AI24" s="5"/>
    </row>
    <row r="25" spans="1:35" s="3" customFormat="1" ht="15.75" customHeight="1" x14ac:dyDescent="0.5">
      <c r="A25" s="69"/>
      <c r="B25" s="32" t="s">
        <v>123</v>
      </c>
      <c r="C25" s="21"/>
      <c r="F25" s="30"/>
      <c r="G25" s="69"/>
      <c r="H25" s="69"/>
      <c r="I25" s="30"/>
      <c r="J25" s="30"/>
      <c r="K25" s="69"/>
      <c r="L25" s="69"/>
      <c r="M25" s="30" t="s">
        <v>8</v>
      </c>
      <c r="N25" s="3" t="s">
        <v>124</v>
      </c>
      <c r="O25" s="21"/>
      <c r="P25" s="30"/>
      <c r="Q25" s="76">
        <v>0.2</v>
      </c>
      <c r="R25" s="21" t="s">
        <v>15</v>
      </c>
      <c r="S25" s="15"/>
      <c r="T25" s="15"/>
      <c r="U25" s="15"/>
      <c r="AD25" s="113"/>
    </row>
    <row r="26" spans="1:35" s="3" customFormat="1" ht="15.75" customHeight="1" x14ac:dyDescent="0.45">
      <c r="A26" s="69"/>
      <c r="B26" s="32" t="s">
        <v>72</v>
      </c>
      <c r="C26" s="21"/>
      <c r="D26" s="21"/>
      <c r="E26" s="30"/>
      <c r="F26" s="79"/>
      <c r="G26" s="30" t="s">
        <v>8</v>
      </c>
      <c r="H26" s="69"/>
      <c r="I26" s="69"/>
      <c r="J26" s="69" t="s">
        <v>69</v>
      </c>
      <c r="K26" s="69"/>
      <c r="M26" s="30" t="s">
        <v>8</v>
      </c>
      <c r="N26" s="69"/>
      <c r="O26" s="74"/>
      <c r="Q26" s="79">
        <f>Q17/(Q24*H24)</f>
        <v>9.992258064516129</v>
      </c>
      <c r="R26" s="26" t="s">
        <v>62</v>
      </c>
      <c r="T26" s="77"/>
      <c r="U26" s="77"/>
      <c r="AD26" s="113"/>
      <c r="AE26" s="113"/>
    </row>
    <row r="27" spans="1:35" s="3" customFormat="1" ht="15.75" customHeight="1" x14ac:dyDescent="0.45">
      <c r="A27" s="69"/>
      <c r="B27" s="32" t="s">
        <v>73</v>
      </c>
      <c r="C27" s="21"/>
      <c r="D27" s="21"/>
      <c r="E27" s="30"/>
      <c r="F27" s="79"/>
      <c r="G27" s="30" t="s">
        <v>8</v>
      </c>
      <c r="H27" s="69"/>
      <c r="I27" s="69"/>
      <c r="J27" s="69" t="s">
        <v>70</v>
      </c>
      <c r="K27" s="69"/>
      <c r="M27" s="30" t="s">
        <v>8</v>
      </c>
      <c r="N27" s="69"/>
      <c r="O27" s="74"/>
      <c r="Q27" s="79">
        <f>6*Q21/(H24*Q24^2)</f>
        <v>0</v>
      </c>
      <c r="R27" s="26" t="s">
        <v>62</v>
      </c>
      <c r="S27" s="26"/>
      <c r="T27" s="77"/>
      <c r="U27" s="77"/>
      <c r="Y27" s="178">
        <f>H24</f>
        <v>3.1</v>
      </c>
      <c r="Z27" s="177"/>
      <c r="AA27" s="177"/>
      <c r="AB27" s="177"/>
      <c r="AC27" s="177"/>
      <c r="AD27" s="177"/>
      <c r="AE27" s="113"/>
    </row>
    <row r="28" spans="1:35" s="3" customFormat="1" ht="15.75" customHeight="1" x14ac:dyDescent="0.45">
      <c r="A28" s="69"/>
      <c r="B28" s="32" t="s">
        <v>71</v>
      </c>
      <c r="C28" s="21"/>
      <c r="D28" s="21"/>
      <c r="E28" s="30"/>
      <c r="F28" s="79"/>
      <c r="G28" s="30" t="s">
        <v>8</v>
      </c>
      <c r="H28" s="69"/>
      <c r="I28" s="69"/>
      <c r="J28" s="69" t="s">
        <v>74</v>
      </c>
      <c r="K28" s="69"/>
      <c r="M28" s="30" t="s">
        <v>8</v>
      </c>
      <c r="N28" s="69"/>
      <c r="O28" s="74"/>
      <c r="Q28" s="79">
        <f>+Q26+Q27</f>
        <v>9.992258064516129</v>
      </c>
      <c r="R28" s="26" t="s">
        <v>62</v>
      </c>
      <c r="S28" s="26" t="str">
        <f>IF(Q28&lt;=Q20,"OK","NG")</f>
        <v>OK</v>
      </c>
      <c r="T28" s="77"/>
      <c r="U28" s="77"/>
      <c r="Y28" s="177">
        <f>(Y27-AA28)/2</f>
        <v>1.45</v>
      </c>
      <c r="Z28" s="177"/>
      <c r="AA28" s="178">
        <f>Q25</f>
        <v>0.2</v>
      </c>
      <c r="AB28" s="177"/>
      <c r="AC28" s="55">
        <f>Q33/100</f>
        <v>0.31</v>
      </c>
      <c r="AD28" s="8">
        <f>(Y27-AA28)/2-(AC28)</f>
        <v>1.1399999999999999</v>
      </c>
      <c r="AE28" s="113"/>
    </row>
    <row r="29" spans="1:35" s="3" customFormat="1" ht="15.75" customHeight="1" x14ac:dyDescent="0.5">
      <c r="A29" s="69"/>
      <c r="B29" s="32" t="s">
        <v>75</v>
      </c>
      <c r="C29" s="21"/>
      <c r="D29" s="21"/>
      <c r="E29" s="30"/>
      <c r="F29" s="79"/>
      <c r="G29" s="30" t="s">
        <v>8</v>
      </c>
      <c r="H29" s="69"/>
      <c r="I29" s="69"/>
      <c r="J29" s="69" t="s">
        <v>76</v>
      </c>
      <c r="K29" s="69"/>
      <c r="M29" s="30" t="s">
        <v>8</v>
      </c>
      <c r="N29" s="69"/>
      <c r="O29" s="74"/>
      <c r="Q29" s="79">
        <f>+Q26-Q27</f>
        <v>9.992258064516129</v>
      </c>
      <c r="R29" s="26" t="s">
        <v>62</v>
      </c>
      <c r="S29" s="26"/>
      <c r="T29" s="77"/>
      <c r="U29" s="77"/>
      <c r="AD29" s="15"/>
      <c r="AE29" s="113"/>
    </row>
    <row r="30" spans="1:35" s="3" customFormat="1" ht="15.75" customHeight="1" x14ac:dyDescent="0.5">
      <c r="A30" s="69"/>
      <c r="B30" s="32" t="s">
        <v>125</v>
      </c>
      <c r="C30" s="21"/>
      <c r="D30" s="21"/>
      <c r="E30" s="30"/>
      <c r="F30" s="79"/>
      <c r="G30" s="30" t="s">
        <v>8</v>
      </c>
      <c r="H30" s="69"/>
      <c r="I30" s="69"/>
      <c r="M30" s="30" t="s">
        <v>8</v>
      </c>
      <c r="N30" s="69"/>
      <c r="O30" s="74"/>
      <c r="Q30" s="79">
        <f>Q18/(H24*Q24)</f>
        <v>15.440774193548386</v>
      </c>
      <c r="R30" s="26" t="s">
        <v>62</v>
      </c>
      <c r="S30" s="26"/>
      <c r="T30" s="77"/>
      <c r="U30" s="77"/>
      <c r="Y30" s="104"/>
      <c r="Z30" s="105"/>
      <c r="AA30" s="125"/>
      <c r="AB30" s="126"/>
      <c r="AC30" s="105"/>
      <c r="AD30" s="127"/>
      <c r="AE30" s="128"/>
    </row>
    <row r="31" spans="1:35" s="3" customFormat="1" ht="15.75" customHeight="1" x14ac:dyDescent="0.5">
      <c r="A31" s="69"/>
      <c r="B31" s="32" t="s">
        <v>39</v>
      </c>
      <c r="C31" s="21"/>
      <c r="D31" s="21"/>
      <c r="E31" s="21"/>
      <c r="F31" s="21"/>
      <c r="G31" s="21"/>
      <c r="H31" s="63"/>
      <c r="I31" s="63"/>
      <c r="K31" s="63"/>
      <c r="L31" s="74"/>
      <c r="M31" s="30" t="s">
        <v>8</v>
      </c>
      <c r="P31" s="15"/>
      <c r="Q31" s="75">
        <v>40</v>
      </c>
      <c r="R31" s="26" t="s">
        <v>16</v>
      </c>
      <c r="S31" s="15"/>
      <c r="T31" s="101" t="s">
        <v>6</v>
      </c>
      <c r="U31" s="15"/>
      <c r="Y31" s="106"/>
      <c r="Z31" s="38"/>
      <c r="AA31" s="129"/>
      <c r="AB31" s="130"/>
      <c r="AC31" s="38"/>
      <c r="AD31" s="131"/>
      <c r="AE31" s="128"/>
    </row>
    <row r="32" spans="1:35" s="3" customFormat="1" ht="15.75" customHeight="1" x14ac:dyDescent="0.5">
      <c r="A32" s="69"/>
      <c r="B32" s="32" t="s">
        <v>20</v>
      </c>
      <c r="C32" s="21"/>
      <c r="D32" s="21"/>
      <c r="E32" s="21"/>
      <c r="F32" s="21"/>
      <c r="G32" s="21"/>
      <c r="H32" s="63"/>
      <c r="I32" s="63"/>
      <c r="K32" s="63"/>
      <c r="L32" s="74"/>
      <c r="M32" s="30" t="s">
        <v>8</v>
      </c>
      <c r="P32" s="15"/>
      <c r="Q32" s="122">
        <v>9</v>
      </c>
      <c r="R32" s="26" t="s">
        <v>16</v>
      </c>
      <c r="S32" s="15"/>
      <c r="T32" s="15"/>
      <c r="U32" s="15"/>
      <c r="Y32" s="106"/>
      <c r="Z32" s="38"/>
      <c r="AA32" s="129"/>
      <c r="AB32" s="130"/>
      <c r="AC32" s="38"/>
      <c r="AD32" s="132"/>
      <c r="AE32" s="189">
        <f>Q24</f>
        <v>1</v>
      </c>
      <c r="AF32" s="133" t="s">
        <v>126</v>
      </c>
    </row>
    <row r="33" spans="1:32" s="3" customFormat="1" ht="15.75" customHeight="1" x14ac:dyDescent="0.5">
      <c r="A33" s="69"/>
      <c r="B33" s="32" t="s">
        <v>54</v>
      </c>
      <c r="C33" s="21"/>
      <c r="D33" s="21"/>
      <c r="E33" s="30"/>
      <c r="F33" s="21"/>
      <c r="G33" s="21"/>
      <c r="H33" s="63"/>
      <c r="I33" s="63"/>
      <c r="K33" s="63"/>
      <c r="L33" s="74"/>
      <c r="M33" s="30" t="s">
        <v>8</v>
      </c>
      <c r="P33" s="15"/>
      <c r="Q33" s="134">
        <f>Q31-Q32</f>
        <v>31</v>
      </c>
      <c r="R33" s="26" t="s">
        <v>16</v>
      </c>
      <c r="S33" s="26"/>
      <c r="T33" s="15"/>
      <c r="U33" s="15"/>
      <c r="Y33" s="106"/>
      <c r="Z33" s="38"/>
      <c r="AA33" s="129"/>
      <c r="AB33" s="130"/>
      <c r="AC33" s="38"/>
      <c r="AD33" s="132"/>
      <c r="AE33" s="190"/>
      <c r="AF33" s="133" t="s">
        <v>127</v>
      </c>
    </row>
    <row r="34" spans="1:32" s="5" customFormat="1" ht="15.75" customHeight="1" x14ac:dyDescent="0.5">
      <c r="A34" s="16" t="s">
        <v>34</v>
      </c>
      <c r="B34" s="16" t="s">
        <v>149</v>
      </c>
      <c r="C34" s="16"/>
      <c r="D34" s="16"/>
      <c r="E34" s="17"/>
      <c r="F34" s="17"/>
      <c r="G34" s="17"/>
      <c r="H34" s="17"/>
      <c r="I34" s="17"/>
      <c r="J34" s="18"/>
      <c r="K34" s="18"/>
      <c r="L34" s="18"/>
      <c r="M34" s="18"/>
      <c r="N34" s="19"/>
      <c r="O34" s="20"/>
      <c r="S34" s="20"/>
      <c r="T34" s="20"/>
      <c r="U34" s="20"/>
      <c r="Y34" s="107"/>
      <c r="Z34" s="10"/>
      <c r="AA34" s="135"/>
      <c r="AB34" s="136"/>
      <c r="AC34" s="10"/>
      <c r="AD34" s="108"/>
      <c r="AE34" s="39"/>
    </row>
    <row r="35" spans="1:32" s="5" customFormat="1" ht="15.75" customHeight="1" x14ac:dyDescent="0.5">
      <c r="A35" s="69" t="s">
        <v>99</v>
      </c>
      <c r="B35" s="137" t="s">
        <v>40</v>
      </c>
      <c r="C35" s="137"/>
      <c r="D35" s="137"/>
      <c r="E35" s="137"/>
      <c r="F35" s="137"/>
      <c r="G35" s="137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32" s="5" customFormat="1" ht="15.75" customHeight="1" x14ac:dyDescent="0.5">
      <c r="A36" s="69"/>
      <c r="B36" s="21" t="s">
        <v>125</v>
      </c>
      <c r="C36" s="137"/>
      <c r="D36" s="137"/>
      <c r="E36" s="137"/>
      <c r="F36" s="137"/>
      <c r="G36" s="30" t="s">
        <v>8</v>
      </c>
      <c r="H36" s="21"/>
      <c r="I36" s="20"/>
      <c r="J36" s="20"/>
      <c r="K36" s="20"/>
      <c r="L36" s="20"/>
      <c r="M36" s="30" t="s">
        <v>8</v>
      </c>
      <c r="N36" s="20"/>
      <c r="O36" s="20"/>
      <c r="P36" s="20"/>
      <c r="Q36" s="72">
        <f>Q30*Q24*AD28</f>
        <v>17.602482580645159</v>
      </c>
      <c r="R36" s="26" t="s">
        <v>49</v>
      </c>
      <c r="S36" s="20"/>
      <c r="T36" s="138"/>
      <c r="U36" s="20"/>
      <c r="AA36" s="139"/>
      <c r="AB36" s="140"/>
      <c r="AE36" s="133" t="s">
        <v>128</v>
      </c>
    </row>
    <row r="37" spans="1:32" s="5" customFormat="1" ht="15.75" customHeight="1" x14ac:dyDescent="0.5">
      <c r="A37" s="141"/>
      <c r="B37" s="21" t="s">
        <v>41</v>
      </c>
      <c r="C37" s="137"/>
      <c r="D37" s="137"/>
      <c r="E37" s="137"/>
      <c r="F37" s="137"/>
      <c r="G37" s="30" t="s">
        <v>8</v>
      </c>
      <c r="H37" s="21"/>
      <c r="I37" s="20"/>
      <c r="J37" s="20"/>
      <c r="K37" s="20"/>
      <c r="L37" s="20"/>
      <c r="M37" s="30"/>
      <c r="N37" s="20"/>
      <c r="O37" s="20"/>
      <c r="P37" s="20"/>
      <c r="Q37" s="72">
        <f>(0.85*0.53*(SQRT(Q7))*100*Q33)/1000</f>
        <v>21.635259568583876</v>
      </c>
      <c r="R37" s="26" t="s">
        <v>77</v>
      </c>
      <c r="S37" s="37" t="str">
        <f>IF(Q36&lt;Q37,"&lt;vc OK.","&gt;vc NG.")</f>
        <v>&lt;vc OK.</v>
      </c>
      <c r="T37" s="142"/>
      <c r="U37" s="143" t="str">
        <f>E51&amp;" "&amp;"Main steel"&amp;"     "&amp;" @ "&amp;""</f>
        <v xml:space="preserve">DB16 Main steel      @ </v>
      </c>
      <c r="V37" s="144"/>
      <c r="W37" s="144"/>
      <c r="X37" s="145">
        <f>H52</f>
        <v>14.285714285714286</v>
      </c>
      <c r="Y37" s="144" t="s">
        <v>36</v>
      </c>
      <c r="AA37" s="139"/>
      <c r="AB37" s="140"/>
    </row>
    <row r="38" spans="1:32" s="3" customFormat="1" ht="15.75" customHeight="1" x14ac:dyDescent="0.5">
      <c r="A38" s="16" t="s">
        <v>64</v>
      </c>
      <c r="B38" s="16" t="s">
        <v>42</v>
      </c>
      <c r="C38" s="21"/>
      <c r="D38" s="21"/>
      <c r="G38" s="30"/>
      <c r="H38" s="21"/>
      <c r="I38" s="63"/>
      <c r="K38" s="63"/>
      <c r="L38" s="35"/>
      <c r="M38" s="30"/>
      <c r="Q38" s="72"/>
      <c r="R38" s="26"/>
      <c r="S38" s="26"/>
      <c r="T38" s="15"/>
      <c r="U38" s="146"/>
      <c r="V38" s="8"/>
      <c r="W38" s="147" t="str">
        <f>L52 &amp;" - "&amp;L51&amp;"Temp steel"&amp;""</f>
        <v>12 - DB16Temp steel</v>
      </c>
      <c r="AA38" s="148"/>
      <c r="AB38" s="149"/>
    </row>
    <row r="39" spans="1:32" s="15" customFormat="1" ht="15.75" customHeight="1" x14ac:dyDescent="0.5">
      <c r="A39" s="69" t="s">
        <v>100</v>
      </c>
      <c r="B39" s="21" t="s">
        <v>129</v>
      </c>
      <c r="E39" s="1"/>
      <c r="F39" s="1"/>
      <c r="G39" s="30" t="s">
        <v>8</v>
      </c>
      <c r="H39" s="21"/>
      <c r="J39" s="1"/>
      <c r="M39" s="30" t="s">
        <v>8</v>
      </c>
      <c r="N39" s="1"/>
      <c r="O39" s="1"/>
      <c r="P39" s="1"/>
      <c r="Q39" s="33">
        <f>0.5*Q30*(Y28^2)</f>
        <v>16.232113870967741</v>
      </c>
      <c r="R39" s="26" t="s">
        <v>27</v>
      </c>
      <c r="Y39" s="150"/>
      <c r="Z39" s="102"/>
      <c r="AC39" s="102"/>
      <c r="AD39" s="151"/>
    </row>
    <row r="40" spans="1:32" s="5" customFormat="1" ht="15.75" customHeight="1" x14ac:dyDescent="0.5">
      <c r="A40" s="141"/>
      <c r="B40" s="137"/>
      <c r="C40" s="137"/>
      <c r="D40" s="137"/>
      <c r="E40" s="137"/>
      <c r="F40" s="137"/>
      <c r="G40" s="30" t="s">
        <v>8</v>
      </c>
      <c r="H40" s="20"/>
      <c r="I40" s="20"/>
      <c r="K40" s="20"/>
      <c r="L40" s="20"/>
      <c r="M40" s="30" t="s">
        <v>8</v>
      </c>
      <c r="N40" s="20"/>
      <c r="O40" s="20"/>
      <c r="P40" s="20"/>
      <c r="Q40" s="152">
        <f>Q39*1000*100/(0.9*100*Q33^2)</f>
        <v>18.767619228775281</v>
      </c>
      <c r="R40" s="37" t="s">
        <v>130</v>
      </c>
      <c r="S40" s="20"/>
      <c r="T40" s="20"/>
      <c r="U40" s="20"/>
      <c r="Y40" s="54"/>
      <c r="Z40" s="39"/>
      <c r="AD40" s="153"/>
    </row>
    <row r="41" spans="1:32" s="15" customFormat="1" ht="15.75" customHeight="1" x14ac:dyDescent="0.5">
      <c r="B41" s="21"/>
      <c r="D41" s="21"/>
      <c r="E41" s="1"/>
      <c r="F41" s="1"/>
      <c r="G41" s="30"/>
      <c r="H41" s="21"/>
      <c r="I41" s="13"/>
      <c r="J41" s="69"/>
      <c r="K41" s="69"/>
      <c r="L41" s="74"/>
      <c r="M41" s="30"/>
      <c r="N41" s="1"/>
      <c r="O41" s="72"/>
      <c r="P41" s="13"/>
      <c r="Q41" s="72"/>
      <c r="R41" s="21"/>
      <c r="Y41" s="103"/>
      <c r="Z41" s="95"/>
      <c r="AA41" s="95"/>
      <c r="AB41" s="95"/>
      <c r="AC41" s="95"/>
      <c r="AD41" s="154"/>
      <c r="AE41" s="25"/>
      <c r="AF41" s="25"/>
    </row>
    <row r="42" spans="1:32" s="15" customFormat="1" ht="15.75" customHeight="1" x14ac:dyDescent="0.5">
      <c r="B42" s="21"/>
      <c r="D42" s="21"/>
      <c r="E42" s="30"/>
      <c r="F42" s="79"/>
      <c r="G42" s="30" t="s">
        <v>8</v>
      </c>
      <c r="H42" s="69"/>
      <c r="I42" s="69"/>
      <c r="J42" s="30"/>
      <c r="K42" s="69"/>
      <c r="L42" s="74"/>
      <c r="M42" s="30" t="s">
        <v>8</v>
      </c>
      <c r="N42" s="21"/>
      <c r="O42" s="77"/>
      <c r="Q42" s="115">
        <f>((0.85*Q7)/Q9)*(1-(SQRT(1-((2*Q40)/(0.85*Q7)))))</f>
        <v>4.9302082741170773E-3</v>
      </c>
      <c r="R42" s="21"/>
    </row>
    <row r="43" spans="1:32" s="3" customFormat="1" ht="15.75" customHeight="1" x14ac:dyDescent="0.5">
      <c r="A43" s="69"/>
      <c r="B43" s="91" t="s">
        <v>131</v>
      </c>
      <c r="C43" s="16"/>
      <c r="D43" s="16"/>
      <c r="E43" s="78"/>
      <c r="F43" s="78"/>
      <c r="G43" s="30" t="s">
        <v>8</v>
      </c>
      <c r="H43" s="92"/>
      <c r="I43" s="78" t="s">
        <v>102</v>
      </c>
      <c r="J43" s="86" t="str">
        <f>V47</f>
        <v>1ρbd</v>
      </c>
      <c r="K43" s="78"/>
      <c r="L43" s="78"/>
      <c r="M43" s="30" t="s">
        <v>8</v>
      </c>
      <c r="N43" s="78"/>
      <c r="O43" s="78"/>
      <c r="P43" s="78" t="s">
        <v>107</v>
      </c>
      <c r="Q43" s="86">
        <f>(Q42*100*Q33)*W46</f>
        <v>15.283645649762938</v>
      </c>
      <c r="R43" s="21" t="s">
        <v>43</v>
      </c>
      <c r="S43" s="15"/>
      <c r="T43" s="15"/>
      <c r="U43" s="15"/>
      <c r="AA43" s="155" t="s">
        <v>14</v>
      </c>
      <c r="AB43" s="4">
        <f>Q30</f>
        <v>15.440774193548386</v>
      </c>
      <c r="AC43" s="3" t="s">
        <v>132</v>
      </c>
    </row>
    <row r="44" spans="1:32" s="3" customFormat="1" ht="15.75" customHeight="1" x14ac:dyDescent="0.5">
      <c r="A44" s="69"/>
      <c r="B44" s="91" t="s">
        <v>46</v>
      </c>
      <c r="C44" s="91"/>
      <c r="D44" s="16"/>
      <c r="E44" s="14"/>
      <c r="F44" s="14"/>
      <c r="G44" s="30" t="s">
        <v>8</v>
      </c>
      <c r="H44" s="93"/>
      <c r="I44" s="93" t="s">
        <v>44</v>
      </c>
      <c r="J44" s="14"/>
      <c r="K44" s="14"/>
      <c r="L44" s="14"/>
      <c r="M44" s="30" t="s">
        <v>8</v>
      </c>
      <c r="N44" s="14"/>
      <c r="O44" s="18"/>
      <c r="P44" s="78" t="s">
        <v>107</v>
      </c>
      <c r="Q44" s="94">
        <f>IF(Q9&lt;=4000,0.0018*100*Q31,0.002*100*Q31)</f>
        <v>7.1999999999999993</v>
      </c>
      <c r="R44" s="21" t="s">
        <v>43</v>
      </c>
      <c r="S44" s="26"/>
      <c r="T44" s="191" t="s">
        <v>104</v>
      </c>
      <c r="U44" s="192"/>
      <c r="V44" s="192"/>
      <c r="W44" s="192"/>
      <c r="X44" s="192"/>
      <c r="Y44" s="192"/>
      <c r="Z44" s="192"/>
      <c r="AA44" s="193"/>
    </row>
    <row r="45" spans="1:32" s="15" customFormat="1" ht="15.75" customHeight="1" x14ac:dyDescent="0.5">
      <c r="B45" s="91" t="s">
        <v>133</v>
      </c>
      <c r="C45" s="16"/>
      <c r="D45" s="16"/>
      <c r="E45" s="78"/>
      <c r="F45" s="78"/>
      <c r="G45" s="30" t="s">
        <v>8</v>
      </c>
      <c r="H45" s="92"/>
      <c r="I45" s="93" t="s">
        <v>44</v>
      </c>
      <c r="J45" s="86"/>
      <c r="K45" s="78"/>
      <c r="L45" s="78"/>
      <c r="M45" s="30" t="s">
        <v>8</v>
      </c>
      <c r="N45" s="78"/>
      <c r="O45" s="78"/>
      <c r="P45" s="78" t="s">
        <v>103</v>
      </c>
      <c r="Q45" s="86">
        <f>IF(Q9&lt;=4000,0.0018*H24*100*Q31,0.002*H24*100*Q31)</f>
        <v>22.319999999999997</v>
      </c>
      <c r="R45" s="21" t="s">
        <v>43</v>
      </c>
      <c r="T45" s="194" t="s">
        <v>134</v>
      </c>
      <c r="U45" s="195"/>
      <c r="V45" s="195"/>
      <c r="W45" s="195"/>
      <c r="X45" s="195"/>
      <c r="Y45" s="195"/>
      <c r="Z45" s="195"/>
      <c r="AA45" s="196"/>
    </row>
    <row r="46" spans="1:32" s="5" customFormat="1" ht="15.75" customHeight="1" x14ac:dyDescent="0.5">
      <c r="A46" s="16"/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83"/>
      <c r="U46" s="87" t="s">
        <v>65</v>
      </c>
      <c r="V46" s="88">
        <v>0</v>
      </c>
      <c r="W46" s="166">
        <f>V46+1</f>
        <v>1</v>
      </c>
      <c r="X46" s="2"/>
      <c r="Y46" s="38"/>
      <c r="Z46" s="38"/>
      <c r="AA46" s="41"/>
    </row>
    <row r="47" spans="1:32" s="15" customFormat="1" ht="15.75" customHeight="1" x14ac:dyDescent="0.5">
      <c r="B47" s="91"/>
      <c r="C47" s="167" t="s">
        <v>60</v>
      </c>
      <c r="D47" s="168"/>
      <c r="E47" s="169"/>
      <c r="F47" s="173" t="s">
        <v>61</v>
      </c>
      <c r="G47" s="174"/>
      <c r="H47" s="111" t="s">
        <v>21</v>
      </c>
      <c r="I47" s="112" t="s">
        <v>135</v>
      </c>
      <c r="J47" s="111" t="s">
        <v>22</v>
      </c>
      <c r="K47" s="112" t="s">
        <v>136</v>
      </c>
      <c r="L47" s="111" t="s">
        <v>24</v>
      </c>
      <c r="M47" s="112" t="s">
        <v>136</v>
      </c>
      <c r="N47" s="111" t="s">
        <v>25</v>
      </c>
      <c r="O47" s="112" t="s">
        <v>136</v>
      </c>
      <c r="P47" s="111" t="s">
        <v>26</v>
      </c>
      <c r="Q47" s="112" t="s">
        <v>135</v>
      </c>
      <c r="R47" s="111" t="s">
        <v>78</v>
      </c>
      <c r="S47" s="112" t="s">
        <v>135</v>
      </c>
      <c r="T47" s="83"/>
      <c r="U47" s="87" t="s">
        <v>105</v>
      </c>
      <c r="V47" s="78" t="str">
        <f>V46+1&amp;"ρbd"</f>
        <v>1ρbd</v>
      </c>
      <c r="W47" s="81"/>
      <c r="X47" s="2"/>
      <c r="Y47" s="38"/>
      <c r="Z47" s="38"/>
      <c r="AA47" s="41"/>
    </row>
    <row r="48" spans="1:32" s="5" customFormat="1" ht="15.75" customHeight="1" x14ac:dyDescent="0.5">
      <c r="A48" s="16"/>
      <c r="B48" s="91"/>
      <c r="C48" s="170"/>
      <c r="D48" s="171"/>
      <c r="E48" s="172"/>
      <c r="F48" s="175" t="s">
        <v>29</v>
      </c>
      <c r="G48" s="176"/>
      <c r="H48" s="96" t="s">
        <v>23</v>
      </c>
      <c r="I48" s="96" t="s">
        <v>19</v>
      </c>
      <c r="J48" s="96" t="s">
        <v>23</v>
      </c>
      <c r="K48" s="96" t="s">
        <v>19</v>
      </c>
      <c r="L48" s="96" t="s">
        <v>23</v>
      </c>
      <c r="M48" s="96" t="s">
        <v>19</v>
      </c>
      <c r="N48" s="96" t="s">
        <v>23</v>
      </c>
      <c r="O48" s="96" t="s">
        <v>19</v>
      </c>
      <c r="P48" s="96" t="s">
        <v>23</v>
      </c>
      <c r="Q48" s="96" t="s">
        <v>19</v>
      </c>
      <c r="R48" s="96" t="s">
        <v>23</v>
      </c>
      <c r="S48" s="96" t="s">
        <v>19</v>
      </c>
      <c r="T48" s="89"/>
      <c r="U48" s="90"/>
      <c r="V48" s="109"/>
      <c r="W48" s="82"/>
      <c r="X48" s="51"/>
      <c r="Y48" s="6"/>
      <c r="Z48" s="6"/>
      <c r="AA48" s="42"/>
    </row>
    <row r="49" spans="1:59" s="5" customFormat="1" ht="15.75" customHeight="1" x14ac:dyDescent="0.5">
      <c r="A49" s="16"/>
      <c r="C49" s="97" t="s">
        <v>45</v>
      </c>
      <c r="D49" s="98"/>
      <c r="E49" s="99"/>
      <c r="F49" s="179">
        <f>MAX(Q43,Q44)</f>
        <v>15.283645649762938</v>
      </c>
      <c r="G49" s="180"/>
      <c r="H49" s="156">
        <f>ROUNDUP(F49/1.13,0)</f>
        <v>14</v>
      </c>
      <c r="I49" s="157">
        <f>H49*1.13</f>
        <v>15.819999999999999</v>
      </c>
      <c r="J49" s="165">
        <f>ROUNDUP($F49/2.01,0)</f>
        <v>8</v>
      </c>
      <c r="K49" s="158">
        <f>+J49*2.01</f>
        <v>16.079999999999998</v>
      </c>
      <c r="L49" s="158">
        <f>ROUNDUP($F49/3.14,0)</f>
        <v>5</v>
      </c>
      <c r="M49" s="158">
        <f>+L49*3.14</f>
        <v>15.700000000000001</v>
      </c>
      <c r="N49" s="158">
        <f>ROUNDUP($F49/4.91,0)</f>
        <v>4</v>
      </c>
      <c r="O49" s="158">
        <f>+N49*4.91</f>
        <v>19.64</v>
      </c>
      <c r="P49" s="158">
        <f>ROUNDUP($F49/6.15,0)</f>
        <v>3</v>
      </c>
      <c r="Q49" s="158">
        <f>+P49*6.15</f>
        <v>18.450000000000003</v>
      </c>
      <c r="R49" s="158">
        <f>ROUNDUP($F49/8.04,0)</f>
        <v>2</v>
      </c>
      <c r="S49" s="158">
        <f>+R49*8.04</f>
        <v>16.079999999999998</v>
      </c>
      <c r="T49" s="101" t="s">
        <v>7</v>
      </c>
      <c r="U49" s="20"/>
      <c r="V49" s="20"/>
      <c r="W49" s="20"/>
    </row>
    <row r="50" spans="1:59" s="5" customFormat="1" ht="15.75" customHeight="1" x14ac:dyDescent="0.5">
      <c r="A50" s="16"/>
      <c r="C50" s="97" t="s">
        <v>55</v>
      </c>
      <c r="D50" s="98"/>
      <c r="E50" s="100"/>
      <c r="F50" s="179">
        <f>Q45</f>
        <v>22.319999999999997</v>
      </c>
      <c r="G50" s="180"/>
      <c r="H50" s="156">
        <f>ROUNDUP(F50/1.13,0)</f>
        <v>20</v>
      </c>
      <c r="I50" s="157">
        <f>H50*1.13</f>
        <v>22.599999999999998</v>
      </c>
      <c r="J50" s="165">
        <f>ROUNDUP($F50/2.01,0)</f>
        <v>12</v>
      </c>
      <c r="K50" s="158">
        <f>+J50*2.01</f>
        <v>24.119999999999997</v>
      </c>
      <c r="L50" s="158">
        <f>ROUNDUP($F50/3.14,0)</f>
        <v>8</v>
      </c>
      <c r="M50" s="158">
        <f>+L50*3.14</f>
        <v>25.12</v>
      </c>
      <c r="N50" s="158">
        <f>ROUNDUP($F50/4.91,0)</f>
        <v>5</v>
      </c>
      <c r="O50" s="158">
        <f>+N50*4.91</f>
        <v>24.55</v>
      </c>
      <c r="P50" s="158">
        <f>ROUNDUP($F50/6.15,0)</f>
        <v>4</v>
      </c>
      <c r="Q50" s="158">
        <f>+P50*6.15</f>
        <v>24.6</v>
      </c>
      <c r="R50" s="158">
        <f>ROUNDUP($F50/8.04,0)</f>
        <v>3</v>
      </c>
      <c r="S50" s="158">
        <f>+R50*8.04</f>
        <v>24.119999999999997</v>
      </c>
      <c r="W50" s="20"/>
    </row>
    <row r="51" spans="1:59" s="5" customFormat="1" ht="15.75" customHeight="1" x14ac:dyDescent="0.5">
      <c r="A51" s="16" t="s">
        <v>63</v>
      </c>
      <c r="B51" s="159" t="s">
        <v>137</v>
      </c>
      <c r="C51" s="15"/>
      <c r="D51" s="78" t="s">
        <v>138</v>
      </c>
      <c r="E51" s="84" t="s">
        <v>22</v>
      </c>
      <c r="F51" s="80" t="s">
        <v>139</v>
      </c>
      <c r="G51" s="78"/>
      <c r="H51" s="37"/>
      <c r="I51" s="78"/>
      <c r="J51" s="37"/>
      <c r="K51" s="78" t="s">
        <v>138</v>
      </c>
      <c r="L51" s="84" t="s">
        <v>22</v>
      </c>
      <c r="M51" s="80" t="s">
        <v>140</v>
      </c>
      <c r="N51" s="78"/>
      <c r="O51" s="37"/>
      <c r="P51" s="37"/>
      <c r="Q51" s="37"/>
      <c r="R51" s="37"/>
      <c r="S51" s="37"/>
      <c r="T51" s="15"/>
      <c r="U51" s="15"/>
      <c r="V51" s="15"/>
      <c r="W51" s="20"/>
    </row>
    <row r="52" spans="1:59" s="15" customFormat="1" ht="15.75" customHeight="1" x14ac:dyDescent="0.5">
      <c r="A52" s="161" t="s">
        <v>101</v>
      </c>
      <c r="B52" s="162"/>
      <c r="C52" s="95"/>
      <c r="D52" s="163" t="s">
        <v>23</v>
      </c>
      <c r="E52" s="84">
        <f>IF(E51=H47,H49,IF(E51=J47,J49,IF(E51=L47,L49,IF(E51=N47,N49,IF(E51=P47,P49,IF(E51=R47,R49))))))</f>
        <v>8</v>
      </c>
      <c r="F52" s="163" t="s">
        <v>141</v>
      </c>
      <c r="G52" s="160" t="s">
        <v>88</v>
      </c>
      <c r="H52" s="164">
        <f>100/(E52-1)</f>
        <v>14.285714285714286</v>
      </c>
      <c r="I52" s="163" t="s">
        <v>36</v>
      </c>
      <c r="J52" s="163"/>
      <c r="K52" s="163" t="s">
        <v>23</v>
      </c>
      <c r="L52" s="84">
        <f>IF(L51=H47,H50,IF(L51=J47,J50,IF(L51=L47,L50,IF(L51=N47,N50,IF(L51=P47,P50,IF(L51=R47,R50))))))</f>
        <v>12</v>
      </c>
      <c r="M52" s="163" t="s">
        <v>141</v>
      </c>
      <c r="N52" s="160" t="s">
        <v>88</v>
      </c>
      <c r="O52" s="164">
        <f>(H24*100)/(L52-1)</f>
        <v>28.181818181818183</v>
      </c>
      <c r="P52" s="163" t="s">
        <v>36</v>
      </c>
      <c r="Q52" s="163"/>
      <c r="R52" s="163"/>
      <c r="S52" s="163"/>
      <c r="T52" s="5"/>
      <c r="U52" s="5"/>
      <c r="V52" s="5"/>
    </row>
    <row r="53" spans="1:59" s="5" customFormat="1" ht="15.75" customHeight="1" x14ac:dyDescent="0.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59" s="15" customFormat="1" ht="16.5" customHeight="1" x14ac:dyDescent="0.5"/>
    <row r="55" spans="1:59" s="15" customFormat="1" ht="16.5" customHeight="1" x14ac:dyDescent="0.5"/>
    <row r="56" spans="1:59" s="15" customFormat="1" ht="16.5" customHeight="1" x14ac:dyDescent="0.5"/>
    <row r="57" spans="1:59" s="15" customFormat="1" ht="16.5" customHeight="1" x14ac:dyDescent="0.5"/>
    <row r="58" spans="1:59" s="15" customFormat="1" ht="16.5" customHeight="1" x14ac:dyDescent="0.5"/>
    <row r="59" spans="1:59" s="15" customFormat="1" ht="16.5" customHeight="1" x14ac:dyDescent="0.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59" s="15" customFormat="1" ht="16.5" customHeight="1" x14ac:dyDescent="0.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59" s="15" customFormat="1" ht="16.5" customHeight="1" x14ac:dyDescent="0.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59" s="3" customFormat="1" ht="16.5" customHeight="1" x14ac:dyDescent="0.5">
      <c r="A62" s="15"/>
      <c r="B62" s="15"/>
      <c r="C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</row>
    <row r="63" spans="1:59" s="3" customFormat="1" ht="16.5" customHeight="1" x14ac:dyDescent="0.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</row>
    <row r="64" spans="1:59" s="3" customFormat="1" ht="16.5" customHeight="1" x14ac:dyDescent="0.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</row>
    <row r="65" spans="1:59" s="3" customFormat="1" ht="16.5" customHeight="1" x14ac:dyDescent="0.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1:59" s="3" customFormat="1" ht="16.5" customHeight="1" x14ac:dyDescent="0.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</row>
    <row r="67" spans="1:59" s="3" customFormat="1" ht="16.5" customHeight="1" x14ac:dyDescent="0.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</row>
    <row r="68" spans="1:59" s="3" customFormat="1" ht="16.5" customHeight="1" x14ac:dyDescent="0.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</row>
    <row r="69" spans="1:59" s="3" customFormat="1" ht="16.5" customHeight="1" x14ac:dyDescent="0.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</row>
    <row r="70" spans="1:59" s="3" customFormat="1" ht="16.5" customHeight="1" x14ac:dyDescent="0.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</row>
    <row r="71" spans="1:59" s="3" customFormat="1" ht="16.5" customHeight="1" x14ac:dyDescent="0.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</row>
    <row r="72" spans="1:59" s="3" customFormat="1" ht="16.5" customHeight="1" x14ac:dyDescent="0.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</row>
    <row r="73" spans="1:59" s="3" customFormat="1" ht="16.5" customHeight="1" x14ac:dyDescent="0.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</row>
    <row r="74" spans="1:59" s="3" customFormat="1" ht="16.5" customHeight="1" x14ac:dyDescent="0.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</row>
    <row r="75" spans="1:59" s="3" customFormat="1" ht="16.5" customHeight="1" x14ac:dyDescent="0.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</row>
    <row r="76" spans="1:59" s="3" customFormat="1" ht="16.5" customHeight="1" x14ac:dyDescent="0.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</row>
    <row r="77" spans="1:59" s="3" customFormat="1" ht="16.5" customHeight="1" x14ac:dyDescent="0.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</row>
    <row r="78" spans="1:59" s="3" customFormat="1" ht="16.5" customHeight="1" x14ac:dyDescent="0.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</row>
    <row r="79" spans="1:59" s="3" customFormat="1" ht="16.5" customHeight="1" x14ac:dyDescent="0.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</row>
    <row r="80" spans="1:59" s="3" customFormat="1" ht="16.5" customHeight="1" x14ac:dyDescent="0.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</row>
    <row r="81" spans="1:59" s="3" customFormat="1" ht="16.5" customHeight="1" x14ac:dyDescent="0.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</row>
    <row r="82" spans="1:59" s="3" customFormat="1" ht="16.5" customHeight="1" x14ac:dyDescent="0.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</row>
    <row r="83" spans="1:59" s="3" customFormat="1" ht="16.5" customHeight="1" x14ac:dyDescent="0.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</row>
    <row r="84" spans="1:59" s="3" customFormat="1" ht="16.5" customHeight="1" x14ac:dyDescent="0.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</row>
    <row r="85" spans="1:59" s="3" customFormat="1" ht="16.5" customHeight="1" x14ac:dyDescent="0.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</row>
    <row r="86" spans="1:59" s="3" customFormat="1" ht="16.5" customHeight="1" x14ac:dyDescent="0.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</row>
    <row r="87" spans="1:59" s="3" customFormat="1" ht="16.5" customHeight="1" x14ac:dyDescent="0.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</row>
    <row r="88" spans="1:59" s="3" customFormat="1" ht="16.5" customHeight="1" x14ac:dyDescent="0.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</row>
    <row r="89" spans="1:59" s="3" customFormat="1" ht="16.5" customHeight="1" x14ac:dyDescent="0.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</row>
    <row r="90" spans="1:59" s="3" customFormat="1" ht="16.5" customHeight="1" x14ac:dyDescent="0.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</row>
    <row r="91" spans="1:59" s="3" customFormat="1" ht="16.5" customHeight="1" x14ac:dyDescent="0.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</row>
    <row r="92" spans="1:59" s="3" customFormat="1" ht="16.5" customHeight="1" x14ac:dyDescent="0.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</row>
    <row r="93" spans="1:59" s="3" customFormat="1" ht="16.5" customHeight="1" x14ac:dyDescent="0.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</row>
    <row r="94" spans="1:59" s="3" customFormat="1" ht="16.5" customHeight="1" x14ac:dyDescent="0.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</row>
    <row r="95" spans="1:59" s="3" customFormat="1" ht="16.5" customHeight="1" x14ac:dyDescent="0.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</row>
    <row r="96" spans="1:59" s="3" customFormat="1" ht="16.5" customHeight="1" x14ac:dyDescent="0.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</row>
    <row r="97" spans="1:59" s="3" customFormat="1" ht="16.5" customHeight="1" x14ac:dyDescent="0.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</row>
    <row r="98" spans="1:59" s="3" customFormat="1" ht="16.5" customHeight="1" x14ac:dyDescent="0.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</row>
    <row r="99" spans="1:59" s="3" customFormat="1" ht="16.5" customHeight="1" x14ac:dyDescent="0.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</row>
    <row r="100" spans="1:59" s="3" customFormat="1" ht="16.5" customHeight="1" x14ac:dyDescent="0.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</row>
    <row r="101" spans="1:59" s="3" customFormat="1" ht="16.5" customHeight="1" x14ac:dyDescent="0.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</row>
    <row r="102" spans="1:59" s="3" customFormat="1" ht="16.5" customHeight="1" x14ac:dyDescent="0.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</row>
    <row r="103" spans="1:59" s="3" customFormat="1" ht="16.5" customHeight="1" x14ac:dyDescent="0.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</row>
    <row r="104" spans="1:59" s="3" customFormat="1" ht="16.5" customHeight="1" x14ac:dyDescent="0.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</row>
    <row r="105" spans="1:59" s="3" customFormat="1" ht="16.5" customHeight="1" x14ac:dyDescent="0.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</row>
    <row r="106" spans="1:59" s="3" customFormat="1" ht="16.5" customHeight="1" x14ac:dyDescent="0.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</row>
    <row r="107" spans="1:59" s="3" customFormat="1" ht="16.5" customHeight="1" x14ac:dyDescent="0.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</row>
    <row r="108" spans="1:59" s="3" customFormat="1" ht="16.5" customHeight="1" x14ac:dyDescent="0.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</row>
    <row r="109" spans="1:59" s="3" customFormat="1" ht="16.5" customHeight="1" x14ac:dyDescent="0.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</row>
    <row r="110" spans="1:59" s="3" customFormat="1" ht="16.5" customHeight="1" x14ac:dyDescent="0.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</row>
    <row r="111" spans="1:59" s="3" customFormat="1" ht="16.5" customHeight="1" x14ac:dyDescent="0.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</row>
    <row r="112" spans="1:59" s="3" customFormat="1" ht="16.5" customHeight="1" x14ac:dyDescent="0.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</row>
    <row r="113" spans="1:59" s="3" customFormat="1" ht="16.5" customHeight="1" x14ac:dyDescent="0.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</row>
    <row r="114" spans="1:59" s="3" customFormat="1" ht="16.5" customHeight="1" x14ac:dyDescent="0.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</row>
    <row r="115" spans="1:59" s="3" customFormat="1" ht="16.5" customHeight="1" x14ac:dyDescent="0.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</row>
    <row r="116" spans="1:59" s="3" customFormat="1" ht="16.5" customHeight="1" x14ac:dyDescent="0.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</row>
    <row r="117" spans="1:59" s="3" customFormat="1" ht="16.5" customHeight="1" x14ac:dyDescent="0.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</row>
    <row r="118" spans="1:59" s="3" customFormat="1" ht="16.5" customHeight="1" x14ac:dyDescent="0.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</row>
    <row r="119" spans="1:59" s="3" customFormat="1" ht="16.5" customHeight="1" x14ac:dyDescent="0.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</row>
    <row r="120" spans="1:59" s="3" customFormat="1" ht="16.5" customHeight="1" x14ac:dyDescent="0.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</row>
    <row r="121" spans="1:59" s="3" customFormat="1" ht="16.5" customHeight="1" x14ac:dyDescent="0.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</row>
    <row r="122" spans="1:59" s="3" customFormat="1" ht="16.5" customHeight="1" x14ac:dyDescent="0.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</row>
    <row r="123" spans="1:59" s="3" customFormat="1" ht="16.5" customHeight="1" x14ac:dyDescent="0.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</row>
    <row r="124" spans="1:59" s="3" customFormat="1" ht="16.5" customHeight="1" x14ac:dyDescent="0.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</row>
    <row r="125" spans="1:59" s="3" customFormat="1" ht="16.5" customHeight="1" x14ac:dyDescent="0.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</row>
    <row r="126" spans="1:59" s="3" customFormat="1" ht="16.5" customHeight="1" x14ac:dyDescent="0.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</row>
    <row r="127" spans="1:59" s="3" customFormat="1" ht="16.5" customHeight="1" x14ac:dyDescent="0.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</row>
    <row r="128" spans="1:59" s="3" customFormat="1" ht="16.5" customHeight="1" x14ac:dyDescent="0.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</row>
    <row r="129" spans="1:59" s="3" customFormat="1" ht="16.5" customHeight="1" x14ac:dyDescent="0.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</row>
    <row r="130" spans="1:59" s="3" customFormat="1" ht="16.5" customHeight="1" x14ac:dyDescent="0.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</row>
    <row r="131" spans="1:59" s="3" customFormat="1" ht="16.5" customHeight="1" x14ac:dyDescent="0.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</row>
    <row r="132" spans="1:59" s="3" customFormat="1" ht="16.5" customHeight="1" x14ac:dyDescent="0.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</row>
    <row r="133" spans="1:59" s="3" customFormat="1" ht="16.5" customHeight="1" x14ac:dyDescent="0.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</row>
    <row r="134" spans="1:59" s="3" customFormat="1" ht="16.5" customHeight="1" x14ac:dyDescent="0.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</row>
    <row r="135" spans="1:59" s="3" customFormat="1" ht="16.5" customHeight="1" x14ac:dyDescent="0.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</row>
    <row r="136" spans="1:59" s="3" customFormat="1" ht="16.5" customHeight="1" x14ac:dyDescent="0.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</row>
    <row r="137" spans="1:59" s="3" customFormat="1" ht="16.5" customHeight="1" x14ac:dyDescent="0.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</row>
    <row r="138" spans="1:59" s="3" customFormat="1" ht="21.75" x14ac:dyDescent="0.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</row>
    <row r="139" spans="1:59" s="3" customFormat="1" ht="21.75" x14ac:dyDescent="0.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</row>
    <row r="140" spans="1:59" s="3" customFormat="1" ht="21.75" x14ac:dyDescent="0.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</row>
    <row r="141" spans="1:59" s="3" customFormat="1" ht="21.75" x14ac:dyDescent="0.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</row>
    <row r="142" spans="1:59" s="3" customFormat="1" ht="21.75" x14ac:dyDescent="0.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</row>
    <row r="143" spans="1:59" s="3" customFormat="1" ht="21.75" x14ac:dyDescent="0.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</row>
    <row r="144" spans="1:59" s="3" customFormat="1" ht="21.75" x14ac:dyDescent="0.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</row>
    <row r="145" spans="1:59" s="3" customFormat="1" ht="21.75" x14ac:dyDescent="0.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</row>
    <row r="146" spans="1:59" s="3" customFormat="1" ht="21.75" x14ac:dyDescent="0.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</row>
    <row r="147" spans="1:59" s="3" customFormat="1" ht="21.75" x14ac:dyDescent="0.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</row>
    <row r="148" spans="1:59" s="3" customFormat="1" ht="21.75" x14ac:dyDescent="0.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</row>
    <row r="149" spans="1:59" s="3" customFormat="1" ht="21.75" x14ac:dyDescent="0.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</row>
    <row r="150" spans="1:59" s="3" customFormat="1" ht="21.75" x14ac:dyDescent="0.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</row>
    <row r="151" spans="1:59" s="3" customFormat="1" ht="21.75" x14ac:dyDescent="0.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</row>
    <row r="152" spans="1:59" s="3" customFormat="1" ht="21.75" x14ac:dyDescent="0.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</row>
    <row r="153" spans="1:59" s="3" customFormat="1" ht="21.75" x14ac:dyDescent="0.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</row>
    <row r="154" spans="1:59" s="3" customFormat="1" ht="21.75" x14ac:dyDescent="0.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</row>
    <row r="155" spans="1:59" s="3" customFormat="1" ht="21.75" x14ac:dyDescent="0.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</row>
    <row r="156" spans="1:59" s="3" customFormat="1" ht="21.75" x14ac:dyDescent="0.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</row>
    <row r="157" spans="1:59" s="3" customFormat="1" ht="21.75" x14ac:dyDescent="0.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</row>
    <row r="158" spans="1:59" s="3" customFormat="1" ht="21.75" x14ac:dyDescent="0.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</row>
    <row r="159" spans="1:59" s="3" customFormat="1" ht="21.75" x14ac:dyDescent="0.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</row>
    <row r="160" spans="1:59" s="3" customFormat="1" ht="21.75" x14ac:dyDescent="0.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</row>
    <row r="161" spans="1:59" s="3" customFormat="1" ht="21.75" x14ac:dyDescent="0.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</row>
    <row r="162" spans="1:59" s="3" customFormat="1" ht="21.75" x14ac:dyDescent="0.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</row>
    <row r="163" spans="1:59" s="3" customFormat="1" ht="21.75" x14ac:dyDescent="0.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</row>
    <row r="164" spans="1:59" s="3" customFormat="1" ht="21.75" x14ac:dyDescent="0.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</row>
    <row r="165" spans="1:59" s="3" customFormat="1" ht="21.75" x14ac:dyDescent="0.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</row>
    <row r="166" spans="1:59" s="3" customFormat="1" ht="21.75" x14ac:dyDescent="0.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</row>
    <row r="167" spans="1:59" s="3" customFormat="1" ht="21.75" x14ac:dyDescent="0.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</row>
    <row r="168" spans="1:59" s="3" customFormat="1" ht="21.75" x14ac:dyDescent="0.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</row>
    <row r="169" spans="1:59" s="3" customFormat="1" ht="21.75" x14ac:dyDescent="0.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</row>
    <row r="170" spans="1:59" s="3" customFormat="1" ht="21.75" x14ac:dyDescent="0.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</row>
    <row r="171" spans="1:59" s="3" customFormat="1" ht="21.75" x14ac:dyDescent="0.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</row>
    <row r="172" spans="1:59" s="3" customFormat="1" ht="21.75" x14ac:dyDescent="0.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</row>
    <row r="173" spans="1:59" s="3" customFormat="1" ht="21.75" x14ac:dyDescent="0.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</row>
    <row r="174" spans="1:59" s="3" customFormat="1" ht="21.75" x14ac:dyDescent="0.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</row>
    <row r="175" spans="1:59" s="3" customFormat="1" ht="21.75" x14ac:dyDescent="0.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</row>
    <row r="176" spans="1:59" s="3" customFormat="1" ht="21.75" x14ac:dyDescent="0.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</row>
    <row r="177" spans="1:59" s="3" customFormat="1" ht="21.75" x14ac:dyDescent="0.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</row>
    <row r="178" spans="1:59" s="3" customFormat="1" ht="21.75" x14ac:dyDescent="0.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</row>
    <row r="179" spans="1:59" s="3" customFormat="1" ht="21.75" x14ac:dyDescent="0.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</row>
    <row r="180" spans="1:59" s="3" customFormat="1" ht="21.75" x14ac:dyDescent="0.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</row>
    <row r="181" spans="1:59" s="3" customFormat="1" ht="21.75" x14ac:dyDescent="0.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</row>
    <row r="182" spans="1:59" s="3" customFormat="1" ht="21.75" x14ac:dyDescent="0.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</row>
    <row r="183" spans="1:59" s="3" customFormat="1" ht="21.75" x14ac:dyDescent="0.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</row>
    <row r="184" spans="1:59" s="3" customFormat="1" ht="21.75" x14ac:dyDescent="0.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</row>
    <row r="185" spans="1:59" s="3" customFormat="1" ht="21.75" x14ac:dyDescent="0.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</row>
    <row r="186" spans="1:59" s="3" customFormat="1" ht="21.75" x14ac:dyDescent="0.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</row>
    <row r="187" spans="1:59" s="3" customFormat="1" ht="21.75" x14ac:dyDescent="0.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</row>
    <row r="188" spans="1:59" s="3" customFormat="1" ht="21.75" x14ac:dyDescent="0.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</row>
    <row r="189" spans="1:59" s="3" customFormat="1" ht="21.75" x14ac:dyDescent="0.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</row>
    <row r="190" spans="1:59" s="3" customFormat="1" ht="21.75" x14ac:dyDescent="0.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</row>
    <row r="191" spans="1:59" s="3" customFormat="1" ht="21.75" x14ac:dyDescent="0.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</row>
    <row r="192" spans="1:59" s="3" customFormat="1" ht="21.75" x14ac:dyDescent="0.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</row>
    <row r="193" spans="1:59" s="3" customFormat="1" ht="21.75" x14ac:dyDescent="0.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</row>
    <row r="194" spans="1:59" s="3" customFormat="1" ht="21.75" x14ac:dyDescent="0.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</row>
    <row r="195" spans="1:59" s="3" customFormat="1" ht="21.75" x14ac:dyDescent="0.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</row>
    <row r="196" spans="1:59" s="3" customFormat="1" ht="21.75" x14ac:dyDescent="0.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</row>
    <row r="197" spans="1:59" s="3" customFormat="1" ht="21.75" x14ac:dyDescent="0.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</row>
    <row r="198" spans="1:59" s="3" customFormat="1" ht="21.75" x14ac:dyDescent="0.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</row>
    <row r="199" spans="1:59" s="3" customFormat="1" ht="21.75" x14ac:dyDescent="0.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</row>
    <row r="200" spans="1:59" s="3" customFormat="1" ht="21.75" x14ac:dyDescent="0.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</row>
    <row r="201" spans="1:59" s="3" customFormat="1" ht="21.75" x14ac:dyDescent="0.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</row>
    <row r="202" spans="1:59" s="3" customFormat="1" ht="21.75" x14ac:dyDescent="0.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</row>
    <row r="203" spans="1:59" s="3" customFormat="1" ht="21.75" x14ac:dyDescent="0.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</row>
    <row r="204" spans="1:59" s="3" customFormat="1" ht="21.75" x14ac:dyDescent="0.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</row>
    <row r="205" spans="1:59" s="3" customFormat="1" ht="21.75" x14ac:dyDescent="0.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</row>
    <row r="206" spans="1:59" s="3" customFormat="1" ht="21.75" x14ac:dyDescent="0.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</row>
    <row r="207" spans="1:59" s="3" customFormat="1" ht="21.75" x14ac:dyDescent="0.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</row>
    <row r="208" spans="1:59" s="3" customFormat="1" ht="21.75" x14ac:dyDescent="0.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</row>
    <row r="209" spans="1:59" s="3" customFormat="1" ht="21.75" x14ac:dyDescent="0.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</row>
    <row r="210" spans="1:59" s="3" customFormat="1" ht="21.75" x14ac:dyDescent="0.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</row>
    <row r="211" spans="1:59" s="3" customFormat="1" ht="21.75" x14ac:dyDescent="0.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</row>
    <row r="212" spans="1:59" s="3" customFormat="1" ht="21.75" x14ac:dyDescent="0.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</row>
    <row r="213" spans="1:59" s="3" customFormat="1" ht="21.75" x14ac:dyDescent="0.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</row>
    <row r="214" spans="1:59" s="3" customFormat="1" ht="21.75" x14ac:dyDescent="0.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</row>
    <row r="215" spans="1:59" s="3" customFormat="1" ht="21.75" x14ac:dyDescent="0.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</row>
    <row r="216" spans="1:59" s="3" customFormat="1" ht="21.75" x14ac:dyDescent="0.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</row>
    <row r="217" spans="1:59" s="3" customFormat="1" ht="21.75" x14ac:dyDescent="0.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</row>
    <row r="218" spans="1:59" s="3" customFormat="1" ht="21.75" x14ac:dyDescent="0.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</row>
    <row r="219" spans="1:59" s="3" customFormat="1" ht="21.75" x14ac:dyDescent="0.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</row>
    <row r="220" spans="1:59" x14ac:dyDescent="0.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</row>
    <row r="221" spans="1:59" x14ac:dyDescent="0.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</row>
    <row r="222" spans="1:59" x14ac:dyDescent="0.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</row>
    <row r="223" spans="1:59" x14ac:dyDescent="0.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</row>
    <row r="224" spans="1:59" x14ac:dyDescent="0.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</row>
    <row r="225" spans="1:59" x14ac:dyDescent="0.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</row>
    <row r="226" spans="1:59" x14ac:dyDescent="0.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</row>
    <row r="227" spans="1:59" x14ac:dyDescent="0.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</row>
    <row r="228" spans="1:59" x14ac:dyDescent="0.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</row>
    <row r="229" spans="1:59" x14ac:dyDescent="0.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</row>
    <row r="230" spans="1:59" x14ac:dyDescent="0.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</row>
    <row r="231" spans="1:59" x14ac:dyDescent="0.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</row>
    <row r="232" spans="1:59" x14ac:dyDescent="0.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</row>
    <row r="233" spans="1:59" x14ac:dyDescent="0.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</row>
    <row r="234" spans="1:59" x14ac:dyDescent="0.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</row>
    <row r="235" spans="1:59" x14ac:dyDescent="0.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</row>
    <row r="236" spans="1:59" x14ac:dyDescent="0.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</row>
    <row r="237" spans="1:59" x14ac:dyDescent="0.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</row>
    <row r="238" spans="1:59" x14ac:dyDescent="0.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</row>
    <row r="239" spans="1:59" x14ac:dyDescent="0.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</row>
    <row r="240" spans="1:59" x14ac:dyDescent="0.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</row>
    <row r="241" spans="1:59" x14ac:dyDescent="0.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</row>
    <row r="242" spans="1:59" x14ac:dyDescent="0.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</row>
    <row r="243" spans="1:59" x14ac:dyDescent="0.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</row>
    <row r="244" spans="1:59" x14ac:dyDescent="0.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</row>
    <row r="245" spans="1:59" x14ac:dyDescent="0.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</row>
    <row r="246" spans="1:59" x14ac:dyDescent="0.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</row>
    <row r="247" spans="1:59" x14ac:dyDescent="0.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</row>
    <row r="248" spans="1:59" x14ac:dyDescent="0.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</row>
    <row r="249" spans="1:59" x14ac:dyDescent="0.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</row>
    <row r="250" spans="1:59" x14ac:dyDescent="0.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</row>
    <row r="251" spans="1:59" x14ac:dyDescent="0.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</row>
    <row r="252" spans="1:59" x14ac:dyDescent="0.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</row>
    <row r="253" spans="1:59" x14ac:dyDescent="0.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</row>
    <row r="254" spans="1:59" x14ac:dyDescent="0.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</row>
    <row r="255" spans="1:59" x14ac:dyDescent="0.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</row>
    <row r="256" spans="1:59" x14ac:dyDescent="0.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</row>
    <row r="257" spans="1:59" x14ac:dyDescent="0.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</row>
    <row r="258" spans="1:59" x14ac:dyDescent="0.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</row>
    <row r="259" spans="1:59" x14ac:dyDescent="0.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</row>
    <row r="260" spans="1:59" x14ac:dyDescent="0.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</row>
    <row r="261" spans="1:59" x14ac:dyDescent="0.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</row>
    <row r="262" spans="1:59" x14ac:dyDescent="0.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</row>
    <row r="263" spans="1:59" x14ac:dyDescent="0.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</row>
    <row r="264" spans="1:59" x14ac:dyDescent="0.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</row>
    <row r="265" spans="1:59" x14ac:dyDescent="0.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</row>
    <row r="266" spans="1:59" x14ac:dyDescent="0.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</row>
    <row r="267" spans="1:59" x14ac:dyDescent="0.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</row>
    <row r="268" spans="1:59" x14ac:dyDescent="0.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</row>
    <row r="269" spans="1:59" x14ac:dyDescent="0.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</row>
    <row r="270" spans="1:59" x14ac:dyDescent="0.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</row>
    <row r="271" spans="1:59" x14ac:dyDescent="0.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</row>
    <row r="272" spans="1:59" x14ac:dyDescent="0.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</row>
    <row r="273" spans="1:59" x14ac:dyDescent="0.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</row>
    <row r="274" spans="1:59" x14ac:dyDescent="0.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</row>
    <row r="275" spans="1:59" x14ac:dyDescent="0.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</row>
    <row r="276" spans="1:59" x14ac:dyDescent="0.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</row>
    <row r="277" spans="1:59" x14ac:dyDescent="0.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</row>
    <row r="278" spans="1:59" x14ac:dyDescent="0.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</row>
    <row r="279" spans="1:59" x14ac:dyDescent="0.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</row>
    <row r="280" spans="1:59" x14ac:dyDescent="0.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</row>
    <row r="281" spans="1:59" x14ac:dyDescent="0.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</row>
    <row r="282" spans="1:59" x14ac:dyDescent="0.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</row>
    <row r="283" spans="1:59" x14ac:dyDescent="0.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</row>
    <row r="284" spans="1:59" x14ac:dyDescent="0.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</row>
    <row r="285" spans="1:59" x14ac:dyDescent="0.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</row>
    <row r="286" spans="1:59" x14ac:dyDescent="0.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</row>
    <row r="287" spans="1:59" x14ac:dyDescent="0.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</row>
    <row r="288" spans="1:59" x14ac:dyDescent="0.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</row>
    <row r="289" spans="1:59" x14ac:dyDescent="0.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</row>
    <row r="290" spans="1:59" x14ac:dyDescent="0.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</row>
    <row r="291" spans="1:59" x14ac:dyDescent="0.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</row>
    <row r="292" spans="1:59" x14ac:dyDescent="0.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</row>
    <row r="293" spans="1:59" x14ac:dyDescent="0.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</row>
  </sheetData>
  <mergeCells count="17">
    <mergeCell ref="AE32:AE33"/>
    <mergeCell ref="T44:AA44"/>
    <mergeCell ref="T45:AA45"/>
    <mergeCell ref="A1:S1"/>
    <mergeCell ref="P2:S2"/>
    <mergeCell ref="P3:S3"/>
    <mergeCell ref="T8:W8"/>
    <mergeCell ref="F49:G49"/>
    <mergeCell ref="F50:G50"/>
    <mergeCell ref="T5:W6"/>
    <mergeCell ref="T9:W10"/>
    <mergeCell ref="Y27:AD27"/>
    <mergeCell ref="C47:E48"/>
    <mergeCell ref="F47:G47"/>
    <mergeCell ref="F48:G48"/>
    <mergeCell ref="Y28:Z28"/>
    <mergeCell ref="AA28:AB28"/>
  </mergeCells>
  <conditionalFormatting sqref="S33 S28">
    <cfRule type="cellIs" dxfId="4" priority="5" stopIfTrue="1" operator="equal">
      <formula>"NG"</formula>
    </cfRule>
  </conditionalFormatting>
  <conditionalFormatting sqref="S38 S44">
    <cfRule type="cellIs" dxfId="3" priority="4" stopIfTrue="1" operator="equal">
      <formula>"&gt;vc NG."</formula>
    </cfRule>
  </conditionalFormatting>
  <conditionalFormatting sqref="F51">
    <cfRule type="cellIs" dxfId="2" priority="3" stopIfTrue="1" operator="equal">
      <formula>"Exten.Footing"</formula>
    </cfRule>
  </conditionalFormatting>
  <conditionalFormatting sqref="M51">
    <cfRule type="cellIs" dxfId="1" priority="2" stopIfTrue="1" operator="equal">
      <formula>"Exten.Footing"</formula>
    </cfRule>
  </conditionalFormatting>
  <conditionalFormatting sqref="S4:S46">
    <cfRule type="containsText" dxfId="0" priority="1" operator="containsText" text="NG">
      <formula>NOT(ISERROR(SEARCH("NG",S4)))</formula>
    </cfRule>
  </conditionalFormatting>
  <dataValidations disablePrompts="1" count="1">
    <dataValidation type="list" allowBlank="1" showInputMessage="1" showErrorMessage="1" sqref="E51 L51">
      <formula1>"DB12,DB16,DB20,DB25,DB28,DB32"</formula1>
    </dataValidation>
  </dataValidations>
  <printOptions horizontalCentered="1"/>
  <pageMargins left="0.78740157480314965" right="0.39370078740157483" top="0.59055118110236227" bottom="0.59055118110236227" header="0.19685039370078741" footer="0.19685039370078741"/>
  <pageSetup paperSize="9" scale="95" orientation="portrait" horizontalDpi="300" verticalDpi="300" r:id="rId1"/>
  <headerFooter alignWithMargins="0">
    <oddFooter>&amp;L&amp;"Angsana New,Regular"&amp;12R.2013&amp;R&amp;"Angsana New,Regular"&amp;12Print Date: &amp;D, Sheet: &amp;A, File: &amp;F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814081" r:id="rId4">
          <objectPr defaultSize="0" autoPict="0" r:id="rId5">
            <anchor moveWithCells="1">
              <from>
                <xdr:col>23</xdr:col>
                <xdr:colOff>104775</xdr:colOff>
                <xdr:row>3</xdr:row>
                <xdr:rowOff>142875</xdr:rowOff>
              </from>
              <to>
                <xdr:col>26</xdr:col>
                <xdr:colOff>47625</xdr:colOff>
                <xdr:row>5</xdr:row>
                <xdr:rowOff>95250</xdr:rowOff>
              </to>
            </anchor>
          </objectPr>
        </oleObject>
      </mc:Choice>
      <mc:Fallback>
        <oleObject progId="Equation.3" shapeId="814081" r:id="rId4"/>
      </mc:Fallback>
    </mc:AlternateContent>
    <mc:AlternateContent xmlns:mc="http://schemas.openxmlformats.org/markup-compatibility/2006">
      <mc:Choice Requires="x14">
        <oleObject progId="Equation.3" shapeId="814082" r:id="rId6">
          <objectPr defaultSize="0" autoPict="0" r:id="rId7">
            <anchor moveWithCells="1">
              <from>
                <xdr:col>21</xdr:col>
                <xdr:colOff>95250</xdr:colOff>
                <xdr:row>7</xdr:row>
                <xdr:rowOff>180975</xdr:rowOff>
              </from>
              <to>
                <xdr:col>22</xdr:col>
                <xdr:colOff>323850</xdr:colOff>
                <xdr:row>9</xdr:row>
                <xdr:rowOff>133350</xdr:rowOff>
              </to>
            </anchor>
          </objectPr>
        </oleObject>
      </mc:Choice>
      <mc:Fallback>
        <oleObject progId="Equation.3" shapeId="814082" r:id="rId6"/>
      </mc:Fallback>
    </mc:AlternateContent>
    <mc:AlternateContent xmlns:mc="http://schemas.openxmlformats.org/markup-compatibility/2006">
      <mc:Choice Requires="x14">
        <oleObject progId="Equation.3" shapeId="814083" r:id="rId8">
          <objectPr defaultSize="0" autoPict="0" r:id="rId9">
            <anchor moveWithCells="1">
              <from>
                <xdr:col>7</xdr:col>
                <xdr:colOff>66675</xdr:colOff>
                <xdr:row>9</xdr:row>
                <xdr:rowOff>9525</xdr:rowOff>
              </from>
              <to>
                <xdr:col>10</xdr:col>
                <xdr:colOff>114300</xdr:colOff>
                <xdr:row>10</xdr:row>
                <xdr:rowOff>190500</xdr:rowOff>
              </to>
            </anchor>
          </objectPr>
        </oleObject>
      </mc:Choice>
      <mc:Fallback>
        <oleObject progId="Equation.3" shapeId="814083" r:id="rId8"/>
      </mc:Fallback>
    </mc:AlternateContent>
    <mc:AlternateContent xmlns:mc="http://schemas.openxmlformats.org/markup-compatibility/2006">
      <mc:Choice Requires="x14">
        <oleObject progId="Equation.3" shapeId="814085" r:id="rId10">
          <objectPr defaultSize="0" autoPict="0" r:id="rId11">
            <anchor moveWithCells="1">
              <from>
                <xdr:col>9</xdr:col>
                <xdr:colOff>247650</xdr:colOff>
                <xdr:row>20</xdr:row>
                <xdr:rowOff>38100</xdr:rowOff>
              </from>
              <to>
                <xdr:col>11</xdr:col>
                <xdr:colOff>247650</xdr:colOff>
                <xdr:row>21</xdr:row>
                <xdr:rowOff>161925</xdr:rowOff>
              </to>
            </anchor>
          </objectPr>
        </oleObject>
      </mc:Choice>
      <mc:Fallback>
        <oleObject progId="Equation.3" shapeId="814085" r:id="rId10"/>
      </mc:Fallback>
    </mc:AlternateContent>
    <mc:AlternateContent xmlns:mc="http://schemas.openxmlformats.org/markup-compatibility/2006">
      <mc:Choice Requires="x14">
        <oleObject progId="Equation.3" shapeId="814086" r:id="rId12">
          <objectPr defaultSize="0" autoPict="0" r:id="rId13">
            <anchor moveWithCells="1">
              <from>
                <xdr:col>8</xdr:col>
                <xdr:colOff>219075</xdr:colOff>
                <xdr:row>28</xdr:row>
                <xdr:rowOff>47625</xdr:rowOff>
              </from>
              <to>
                <xdr:col>10</xdr:col>
                <xdr:colOff>104775</xdr:colOff>
                <xdr:row>30</xdr:row>
                <xdr:rowOff>0</xdr:rowOff>
              </to>
            </anchor>
          </objectPr>
        </oleObject>
      </mc:Choice>
      <mc:Fallback>
        <oleObject progId="Equation.3" shapeId="814086" r:id="rId12"/>
      </mc:Fallback>
    </mc:AlternateContent>
    <mc:AlternateContent xmlns:mc="http://schemas.openxmlformats.org/markup-compatibility/2006">
      <mc:Choice Requires="x14">
        <oleObject progId="Equation.3" shapeId="814087" r:id="rId14">
          <objectPr defaultSize="0" autoPict="0" r:id="rId15">
            <anchor moveWithCells="1">
              <from>
                <xdr:col>8</xdr:col>
                <xdr:colOff>219075</xdr:colOff>
                <xdr:row>33</xdr:row>
                <xdr:rowOff>190500</xdr:rowOff>
              </from>
              <to>
                <xdr:col>11</xdr:col>
                <xdr:colOff>95250</xdr:colOff>
                <xdr:row>35</xdr:row>
                <xdr:rowOff>0</xdr:rowOff>
              </to>
            </anchor>
          </objectPr>
        </oleObject>
      </mc:Choice>
      <mc:Fallback>
        <oleObject progId="Equation.3" shapeId="814087" r:id="rId14"/>
      </mc:Fallback>
    </mc:AlternateContent>
    <mc:AlternateContent xmlns:mc="http://schemas.openxmlformats.org/markup-compatibility/2006">
      <mc:Choice Requires="x14">
        <oleObject progId="Equation.3" shapeId="814088" r:id="rId16">
          <objectPr defaultSize="0" autoPict="0" r:id="rId17">
            <anchor moveWithCells="1">
              <from>
                <xdr:col>22</xdr:col>
                <xdr:colOff>285750</xdr:colOff>
                <xdr:row>30</xdr:row>
                <xdr:rowOff>133350</xdr:rowOff>
              </from>
              <to>
                <xdr:col>23</xdr:col>
                <xdr:colOff>257175</xdr:colOff>
                <xdr:row>31</xdr:row>
                <xdr:rowOff>152400</xdr:rowOff>
              </to>
            </anchor>
          </objectPr>
        </oleObject>
      </mc:Choice>
      <mc:Fallback>
        <oleObject progId="Equation.3" shapeId="814088" r:id="rId16"/>
      </mc:Fallback>
    </mc:AlternateContent>
    <mc:AlternateContent xmlns:mc="http://schemas.openxmlformats.org/markup-compatibility/2006">
      <mc:Choice Requires="x14">
        <oleObject progId="Equation.3" shapeId="814089" r:id="rId18">
          <objectPr defaultSize="0" autoPict="0" r:id="rId19">
            <anchor moveWithCells="1">
              <from>
                <xdr:col>7</xdr:col>
                <xdr:colOff>161925</xdr:colOff>
                <xdr:row>35</xdr:row>
                <xdr:rowOff>19050</xdr:rowOff>
              </from>
              <to>
                <xdr:col>11</xdr:col>
                <xdr:colOff>323850</xdr:colOff>
                <xdr:row>36</xdr:row>
                <xdr:rowOff>9525</xdr:rowOff>
              </to>
            </anchor>
          </objectPr>
        </oleObject>
      </mc:Choice>
      <mc:Fallback>
        <oleObject progId="Equation.3" shapeId="814089" r:id="rId18"/>
      </mc:Fallback>
    </mc:AlternateContent>
    <mc:AlternateContent xmlns:mc="http://schemas.openxmlformats.org/markup-compatibility/2006">
      <mc:Choice Requires="x14">
        <oleObject progId="Equation.3" shapeId="814090" r:id="rId20">
          <objectPr defaultSize="0" autoPict="0" r:id="rId21">
            <anchor moveWithCells="1">
              <from>
                <xdr:col>7</xdr:col>
                <xdr:colOff>180975</xdr:colOff>
                <xdr:row>36</xdr:row>
                <xdr:rowOff>152400</xdr:rowOff>
              </from>
              <to>
                <xdr:col>11</xdr:col>
                <xdr:colOff>152400</xdr:colOff>
                <xdr:row>38</xdr:row>
                <xdr:rowOff>47625</xdr:rowOff>
              </to>
            </anchor>
          </objectPr>
        </oleObject>
      </mc:Choice>
      <mc:Fallback>
        <oleObject progId="Equation.3" shapeId="814090" r:id="rId20"/>
      </mc:Fallback>
    </mc:AlternateContent>
    <mc:AlternateContent xmlns:mc="http://schemas.openxmlformats.org/markup-compatibility/2006">
      <mc:Choice Requires="x14">
        <oleObject progId="Equation.3" shapeId="814091" r:id="rId22">
          <objectPr defaultSize="0" autoPict="0" r:id="rId23">
            <anchor moveWithCells="1">
              <from>
                <xdr:col>8</xdr:col>
                <xdr:colOff>0</xdr:colOff>
                <xdr:row>37</xdr:row>
                <xdr:rowOff>180975</xdr:rowOff>
              </from>
              <to>
                <xdr:col>9</xdr:col>
                <xdr:colOff>190500</xdr:colOff>
                <xdr:row>39</xdr:row>
                <xdr:rowOff>95250</xdr:rowOff>
              </to>
            </anchor>
          </objectPr>
        </oleObject>
      </mc:Choice>
      <mc:Fallback>
        <oleObject progId="Equation.3" shapeId="814091" r:id="rId22"/>
      </mc:Fallback>
    </mc:AlternateContent>
    <mc:AlternateContent xmlns:mc="http://schemas.openxmlformats.org/markup-compatibility/2006">
      <mc:Choice Requires="x14">
        <oleObject progId="Equation.3" shapeId="814092" r:id="rId24">
          <objectPr defaultSize="0" autoPict="0" r:id="rId25">
            <anchor moveWithCells="1">
              <from>
                <xdr:col>7</xdr:col>
                <xdr:colOff>161925</xdr:colOff>
                <xdr:row>39</xdr:row>
                <xdr:rowOff>104775</xdr:rowOff>
              </from>
              <to>
                <xdr:col>10</xdr:col>
                <xdr:colOff>285750</xdr:colOff>
                <xdr:row>40</xdr:row>
                <xdr:rowOff>180975</xdr:rowOff>
              </to>
            </anchor>
          </objectPr>
        </oleObject>
      </mc:Choice>
      <mc:Fallback>
        <oleObject progId="Equation.3" shapeId="814092" r:id="rId24"/>
      </mc:Fallback>
    </mc:AlternateContent>
    <mc:AlternateContent xmlns:mc="http://schemas.openxmlformats.org/markup-compatibility/2006">
      <mc:Choice Requires="x14">
        <oleObject progId="Equation.3" shapeId="814093" r:id="rId26">
          <objectPr defaultSize="0" autoPict="0" r:id="rId27">
            <anchor moveWithCells="1">
              <from>
                <xdr:col>25</xdr:col>
                <xdr:colOff>304800</xdr:colOff>
                <xdr:row>40</xdr:row>
                <xdr:rowOff>152400</xdr:rowOff>
              </from>
              <to>
                <xdr:col>26</xdr:col>
                <xdr:colOff>200025</xdr:colOff>
                <xdr:row>42</xdr:row>
                <xdr:rowOff>0</xdr:rowOff>
              </to>
            </anchor>
          </objectPr>
        </oleObject>
      </mc:Choice>
      <mc:Fallback>
        <oleObject progId="Equation.3" shapeId="814093" r:id="rId2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Foundation Wall (SDM)</vt:lpstr>
      <vt:lpstr>'Foundation Wall (SDM)'!Print_Area</vt:lpstr>
      <vt:lpstr>'Foundation Wall (SDM)'!Print_Titles</vt:lpstr>
    </vt:vector>
  </TitlesOfParts>
  <Company>Chulalongkron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Transportation Engineering</dc:creator>
  <cp:lastModifiedBy>KUNAKORN</cp:lastModifiedBy>
  <cp:lastPrinted>2017-07-24T06:34:07Z</cp:lastPrinted>
  <dcterms:created xsi:type="dcterms:W3CDTF">2000-12-31T23:38:47Z</dcterms:created>
  <dcterms:modified xsi:type="dcterms:W3CDTF">2017-07-24T06:34:21Z</dcterms:modified>
</cp:coreProperties>
</file>