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 activeTab="1"/>
  </bookViews>
  <sheets>
    <sheet name="Long Column" sheetId="2" r:id="rId1"/>
    <sheet name="Short Column" sheetId="12" r:id="rId2"/>
    <sheet name="Sheet5" sheetId="11" r:id="rId3"/>
  </sheets>
  <calcPr calcId="144525"/>
</workbook>
</file>

<file path=xl/calcChain.xml><?xml version="1.0" encoding="utf-8"?>
<calcChain xmlns="http://schemas.openxmlformats.org/spreadsheetml/2006/main">
  <c r="S53" i="2" l="1"/>
  <c r="S50" i="2"/>
  <c r="S49" i="2"/>
  <c r="S51" i="2"/>
  <c r="G21" i="12" l="1"/>
  <c r="J11" i="12" l="1"/>
  <c r="J16" i="12" s="1"/>
  <c r="J52" i="12"/>
  <c r="I52" i="12"/>
  <c r="H52" i="12"/>
  <c r="G52" i="12"/>
  <c r="J38" i="12"/>
  <c r="I38" i="12"/>
  <c r="H38" i="12"/>
  <c r="G38" i="12"/>
  <c r="J35" i="12"/>
  <c r="I35" i="12"/>
  <c r="H35" i="12"/>
  <c r="G35" i="12"/>
  <c r="J33" i="12"/>
  <c r="I33" i="12"/>
  <c r="H33" i="12"/>
  <c r="G33" i="12"/>
  <c r="J32" i="12"/>
  <c r="J34" i="12" s="1"/>
  <c r="I32" i="12"/>
  <c r="I34" i="12" s="1"/>
  <c r="H32" i="12"/>
  <c r="H34" i="12" s="1"/>
  <c r="G32" i="12"/>
  <c r="G34" i="12" s="1"/>
  <c r="J21" i="12"/>
  <c r="J20" i="12" s="1"/>
  <c r="I21" i="12"/>
  <c r="H21" i="12"/>
  <c r="I20" i="12"/>
  <c r="H20" i="12"/>
  <c r="J15" i="12"/>
  <c r="I15" i="12"/>
  <c r="H15" i="12"/>
  <c r="G15" i="12"/>
  <c r="C13" i="12"/>
  <c r="I11" i="12" l="1"/>
  <c r="I16" i="12" s="1"/>
  <c r="J56" i="12"/>
  <c r="G11" i="12"/>
  <c r="G16" i="12" s="1"/>
  <c r="H11" i="12"/>
  <c r="H16" i="12" s="1"/>
  <c r="I14" i="12"/>
  <c r="I50" i="12"/>
  <c r="I51" i="12" s="1"/>
  <c r="G56" i="12"/>
  <c r="I56" i="12"/>
  <c r="J14" i="12"/>
  <c r="H50" i="12"/>
  <c r="H51" i="12" s="1"/>
  <c r="J50" i="12"/>
  <c r="J51" i="12" s="1"/>
  <c r="H56" i="12"/>
  <c r="G14" i="12" l="1"/>
  <c r="G53" i="12" s="1"/>
  <c r="G54" i="12" s="1"/>
  <c r="H14" i="12"/>
  <c r="J53" i="12"/>
  <c r="J54" i="12" s="1"/>
  <c r="J55" i="12" s="1"/>
  <c r="J57" i="12" s="1"/>
  <c r="I53" i="12"/>
  <c r="I54" i="12" s="1"/>
  <c r="I55" i="12" s="1"/>
  <c r="I57" i="12" s="1"/>
  <c r="H53" i="12"/>
  <c r="H54" i="12" s="1"/>
  <c r="H55" i="12" s="1"/>
  <c r="H57" i="12" s="1"/>
  <c r="I25" i="12" l="1"/>
  <c r="I36" i="12" s="1"/>
  <c r="I63" i="12"/>
  <c r="I64" i="12" s="1"/>
  <c r="I78" i="12"/>
  <c r="I74" i="12"/>
  <c r="I62" i="12"/>
  <c r="I29" i="12"/>
  <c r="I61" i="12"/>
  <c r="I79" i="12"/>
  <c r="I41" i="12"/>
  <c r="I59" i="12"/>
  <c r="I27" i="12"/>
  <c r="I28" i="12"/>
  <c r="I77" i="12"/>
  <c r="H41" i="12"/>
  <c r="H59" i="12"/>
  <c r="H27" i="12"/>
  <c r="H28" i="12"/>
  <c r="H29" i="12"/>
  <c r="H61" i="12"/>
  <c r="H79" i="12"/>
  <c r="H77" i="12"/>
  <c r="H25" i="12"/>
  <c r="H36" i="12" s="1"/>
  <c r="H74" i="12"/>
  <c r="H62" i="12"/>
  <c r="H63" i="12"/>
  <c r="H64" i="12" s="1"/>
  <c r="H78" i="12"/>
  <c r="J41" i="12"/>
  <c r="J59" i="12"/>
  <c r="J27" i="12"/>
  <c r="J29" i="12"/>
  <c r="J25" i="12"/>
  <c r="J36" i="12" s="1"/>
  <c r="J61" i="12"/>
  <c r="J63" i="12"/>
  <c r="J79" i="12"/>
  <c r="J78" i="12"/>
  <c r="J77" i="12"/>
  <c r="J74" i="12"/>
  <c r="J68" i="12"/>
  <c r="J66" i="12"/>
  <c r="J64" i="12"/>
  <c r="J69" i="12" s="1"/>
  <c r="J62" i="12"/>
  <c r="J28" i="12"/>
  <c r="J67" i="12"/>
  <c r="J65" i="12"/>
  <c r="J40" i="12"/>
  <c r="J58" i="12" s="1"/>
  <c r="J44" i="12"/>
  <c r="J43" i="12"/>
  <c r="I66" i="12" l="1"/>
  <c r="I69" i="12"/>
  <c r="I75" i="12" s="1"/>
  <c r="I67" i="12"/>
  <c r="I68" i="12" s="1"/>
  <c r="I65" i="12"/>
  <c r="H67" i="12"/>
  <c r="H68" i="12" s="1"/>
  <c r="H66" i="12"/>
  <c r="H65" i="12"/>
  <c r="H39" i="12"/>
  <c r="H40" i="12" s="1"/>
  <c r="H37" i="12"/>
  <c r="I39" i="12"/>
  <c r="I40" i="12" s="1"/>
  <c r="I37" i="12"/>
  <c r="J42" i="12"/>
  <c r="J45" i="12" s="1"/>
  <c r="J46" i="12" s="1"/>
  <c r="J47" i="12" s="1"/>
  <c r="J75" i="12"/>
  <c r="J37" i="12"/>
  <c r="J39" i="12"/>
  <c r="H69" i="12"/>
  <c r="H75" i="12" s="1"/>
  <c r="E11" i="2"/>
  <c r="F30" i="2"/>
  <c r="G30" i="2"/>
  <c r="H30" i="2"/>
  <c r="I44" i="12" l="1"/>
  <c r="I43" i="12"/>
  <c r="I58" i="12"/>
  <c r="I42" i="12"/>
  <c r="I45" i="12" s="1"/>
  <c r="I46" i="12" s="1"/>
  <c r="I47" i="12" s="1"/>
  <c r="H44" i="12"/>
  <c r="H45" i="12"/>
  <c r="H43" i="12"/>
  <c r="H58" i="12"/>
  <c r="H46" i="12"/>
  <c r="H47" i="12" s="1"/>
  <c r="H42" i="12"/>
  <c r="E27" i="2"/>
  <c r="E30" i="2" l="1"/>
  <c r="E24" i="2" l="1"/>
  <c r="H38" i="2" l="1"/>
  <c r="E36" i="2"/>
  <c r="F36" i="2"/>
  <c r="G36" i="2"/>
  <c r="H36" i="2"/>
  <c r="E37" i="2"/>
  <c r="F37" i="2"/>
  <c r="G37" i="2"/>
  <c r="H37" i="2"/>
  <c r="F11" i="2" l="1"/>
  <c r="G11" i="2"/>
  <c r="H11" i="2"/>
  <c r="H27" i="2" s="1"/>
  <c r="F27" i="2" l="1"/>
  <c r="G27" i="2"/>
  <c r="H22" i="2" l="1"/>
  <c r="H17" i="2"/>
  <c r="H18" i="2"/>
  <c r="H33" i="2" s="1"/>
  <c r="H21" i="2"/>
  <c r="H24" i="2"/>
  <c r="H28" i="2" s="1"/>
  <c r="H25" i="2"/>
  <c r="H26" i="2"/>
  <c r="H42" i="2"/>
  <c r="H45" i="2"/>
  <c r="H46" i="2"/>
  <c r="H47" i="2"/>
  <c r="H34" i="2" l="1"/>
  <c r="H43" i="2"/>
  <c r="H29" i="2"/>
  <c r="H31" i="2" s="1"/>
  <c r="H23" i="2"/>
  <c r="H32" i="2" l="1"/>
  <c r="G47" i="2"/>
  <c r="F47" i="2"/>
  <c r="E47" i="2"/>
  <c r="G46" i="2"/>
  <c r="F46" i="2"/>
  <c r="E46" i="2"/>
  <c r="G45" i="2"/>
  <c r="F45" i="2"/>
  <c r="E45" i="2"/>
  <c r="G42" i="2"/>
  <c r="F42" i="2"/>
  <c r="E42" i="2"/>
  <c r="G26" i="2"/>
  <c r="F26" i="2"/>
  <c r="E26" i="2"/>
  <c r="E28" i="2" s="1"/>
  <c r="G25" i="2"/>
  <c r="F25" i="2"/>
  <c r="E25" i="2"/>
  <c r="G24" i="2"/>
  <c r="F24" i="2"/>
  <c r="E22" i="2"/>
  <c r="G21" i="2"/>
  <c r="F21" i="2"/>
  <c r="E21" i="2"/>
  <c r="G18" i="2"/>
  <c r="F18" i="2"/>
  <c r="E18" i="2"/>
  <c r="E38" i="2" s="1"/>
  <c r="G17" i="2"/>
  <c r="F17" i="2"/>
  <c r="E17" i="2"/>
  <c r="G22" i="2"/>
  <c r="E29" i="2" l="1"/>
  <c r="E31" i="2" s="1"/>
  <c r="F28" i="2"/>
  <c r="F29" i="2" s="1"/>
  <c r="F31" i="2" s="1"/>
  <c r="G28" i="2"/>
  <c r="G29" i="2" s="1"/>
  <c r="G33" i="2"/>
  <c r="G38" i="2"/>
  <c r="G43" i="2" s="1"/>
  <c r="F33" i="2"/>
  <c r="F38" i="2"/>
  <c r="G34" i="2"/>
  <c r="E33" i="2"/>
  <c r="E43" i="2"/>
  <c r="E23" i="2"/>
  <c r="G23" i="2"/>
  <c r="F22" i="2"/>
  <c r="F34" i="2" s="1"/>
  <c r="F43" i="2" l="1"/>
  <c r="G31" i="2"/>
  <c r="G32" i="2" s="1"/>
  <c r="F32" i="2"/>
  <c r="F23" i="2"/>
  <c r="E32" i="2" l="1"/>
  <c r="E34" i="2" s="1"/>
  <c r="G55" i="12"/>
  <c r="G57" i="12" s="1"/>
  <c r="G20" i="12"/>
  <c r="G29" i="12" l="1"/>
  <c r="G27" i="12"/>
  <c r="G61" i="12"/>
  <c r="G79" i="12"/>
  <c r="G77" i="12"/>
  <c r="G63" i="12"/>
  <c r="G64" i="12" s="1"/>
  <c r="G78" i="12"/>
  <c r="G41" i="12"/>
  <c r="G59" i="12"/>
  <c r="G28" i="12"/>
  <c r="G25" i="12"/>
  <c r="G36" i="12" s="1"/>
  <c r="G74" i="12"/>
  <c r="G62" i="12"/>
  <c r="G50" i="12"/>
  <c r="G51" i="12" s="1"/>
  <c r="G67" i="12" l="1"/>
  <c r="G68" i="12" s="1"/>
  <c r="G66" i="12"/>
  <c r="G65" i="12"/>
  <c r="G39" i="12"/>
  <c r="G40" i="12" s="1"/>
  <c r="G45" i="12" s="1"/>
  <c r="G37" i="12"/>
  <c r="G69" i="12"/>
  <c r="G75" i="12" s="1"/>
  <c r="G43" i="12"/>
  <c r="G46" i="12"/>
  <c r="G47" i="12" s="1"/>
  <c r="G42" i="12"/>
  <c r="G58" i="12"/>
  <c r="G44" i="12"/>
</calcChain>
</file>

<file path=xl/comments1.xml><?xml version="1.0" encoding="utf-8"?>
<comments xmlns="http://schemas.openxmlformats.org/spreadsheetml/2006/main">
  <authors>
    <author>Author</author>
  </authors>
  <commentList>
    <comment ref="E65" authorId="0">
      <text>
        <r>
          <rPr>
            <sz val="8"/>
            <color indexed="81"/>
            <rFont val="Tahoma"/>
            <family val="2"/>
          </rPr>
          <t xml:space="preserve">a ที่สมมุติต้องเท่ากับค่า a ที่ได้จากสูตรหากยังไม่เท่ากันหรือใกล้เคียงกับค่า a สมมุติ หากไม่เท่ากันให้ทำการสุ่มค่า a ใหม่จนมีค่าที่ใกล้เคียงหรือเท่ากัน
</t>
        </r>
      </text>
    </comment>
  </commentList>
</comments>
</file>

<file path=xl/sharedStrings.xml><?xml version="1.0" encoding="utf-8"?>
<sst xmlns="http://schemas.openxmlformats.org/spreadsheetml/2006/main" count="233" uniqueCount="136">
  <si>
    <t>Nos.</t>
  </si>
  <si>
    <t>JOB NO.</t>
  </si>
  <si>
    <t>CUSTOMER</t>
  </si>
  <si>
    <t>CALC. BY</t>
  </si>
  <si>
    <t>CHECKER BY</t>
  </si>
  <si>
    <t>( RECTANGULAR SECTION)</t>
  </si>
  <si>
    <r>
      <t>C1(G - 2</t>
    </r>
    <r>
      <rPr>
        <b/>
        <vertAlign val="superscript"/>
        <sz val="14"/>
        <rFont val="Times New Roman"/>
        <family val="1"/>
        <charset val="222"/>
      </rPr>
      <t xml:space="preserve">nd </t>
    </r>
    <r>
      <rPr>
        <b/>
        <sz val="14"/>
        <rFont val="Times New Roman"/>
        <family val="1"/>
        <charset val="222"/>
      </rPr>
      <t>)</t>
    </r>
  </si>
  <si>
    <r>
      <t>C1(2</t>
    </r>
    <r>
      <rPr>
        <b/>
        <vertAlign val="superscript"/>
        <sz val="14"/>
        <rFont val="Times New Roman"/>
        <family val="1"/>
        <charset val="222"/>
      </rPr>
      <t>nd</t>
    </r>
    <r>
      <rPr>
        <b/>
        <sz val="14"/>
        <rFont val="Times New Roman"/>
        <family val="1"/>
      </rPr>
      <t xml:space="preserve"> - 3</t>
    </r>
    <r>
      <rPr>
        <b/>
        <vertAlign val="superscript"/>
        <sz val="14"/>
        <rFont val="Times New Roman"/>
        <family val="1"/>
        <charset val="222"/>
      </rPr>
      <t xml:space="preserve">rd </t>
    </r>
    <r>
      <rPr>
        <b/>
        <sz val="14"/>
        <rFont val="Times New Roman"/>
        <family val="1"/>
        <charset val="222"/>
      </rPr>
      <t>)</t>
    </r>
  </si>
  <si>
    <t>fc'(ksc.)</t>
  </si>
  <si>
    <t>Pu</t>
  </si>
  <si>
    <t>(T)</t>
  </si>
  <si>
    <t>fy(ksc)</t>
  </si>
  <si>
    <t>M1</t>
  </si>
  <si>
    <t>(T.m)</t>
  </si>
  <si>
    <t>M2</t>
  </si>
  <si>
    <t>b</t>
  </si>
  <si>
    <t>(cm)</t>
  </si>
  <si>
    <t>h</t>
  </si>
  <si>
    <t>d'</t>
  </si>
  <si>
    <r>
      <t>g</t>
    </r>
    <r>
      <rPr>
        <sz val="11"/>
        <rFont val="Times New Roman"/>
        <family val="1"/>
      </rPr>
      <t xml:space="preserve"> = (h-2d')/h</t>
    </r>
  </si>
  <si>
    <t>SECTION</t>
  </si>
  <si>
    <r>
      <t>A</t>
    </r>
    <r>
      <rPr>
        <vertAlign val="subscript"/>
        <sz val="12"/>
        <rFont val="Times New Roman"/>
        <family val="1"/>
      </rPr>
      <t>g</t>
    </r>
    <r>
      <rPr>
        <sz val="11"/>
        <rFont val="Times New Roman"/>
        <family val="1"/>
      </rPr>
      <t xml:space="preserve"> = b.h</t>
    </r>
  </si>
  <si>
    <r>
      <t>(cm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</si>
  <si>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t>0.5 = &lt; k = &lt; 1</t>
  </si>
  <si>
    <t>L</t>
  </si>
  <si>
    <r>
      <t>k.L</t>
    </r>
    <r>
      <rPr>
        <sz val="11"/>
        <rFont val="Times New Roman"/>
        <family val="1"/>
      </rPr>
      <t>/ 0.3h</t>
    </r>
  </si>
  <si>
    <t>34-12(M1/M2)&lt;40</t>
  </si>
  <si>
    <t>Ec</t>
  </si>
  <si>
    <t>(ksc)</t>
  </si>
  <si>
    <r>
      <t>(k. L)</t>
    </r>
    <r>
      <rPr>
        <vertAlign val="superscript"/>
        <sz val="11"/>
        <rFont val="Times New Roman"/>
        <family val="1"/>
        <charset val="222"/>
      </rPr>
      <t>2</t>
    </r>
  </si>
  <si>
    <r>
      <t>I</t>
    </r>
    <r>
      <rPr>
        <vertAlign val="subscript"/>
        <sz val="12"/>
        <rFont val="Times New Roman"/>
        <family val="1"/>
      </rPr>
      <t>g</t>
    </r>
    <r>
      <rPr>
        <sz val="11"/>
        <rFont val="Times New Roman"/>
        <family val="1"/>
      </rPr>
      <t xml:space="preserve"> = b . h</t>
    </r>
    <r>
      <rPr>
        <vertAlign val="superscript"/>
        <sz val="12"/>
        <rFont val="Times New Roman"/>
        <family val="1"/>
      </rPr>
      <t>3</t>
    </r>
    <r>
      <rPr>
        <sz val="11"/>
        <rFont val="Times New Roman"/>
        <family val="1"/>
      </rPr>
      <t xml:space="preserve"> /12</t>
    </r>
  </si>
  <si>
    <r>
      <t>(cm</t>
    </r>
    <r>
      <rPr>
        <vertAlign val="superscript"/>
        <sz val="11"/>
        <rFont val="Times New Roman"/>
        <family val="1"/>
      </rPr>
      <t>4</t>
    </r>
    <r>
      <rPr>
        <sz val="11"/>
        <rFont val="Times New Roman"/>
        <family val="1"/>
      </rPr>
      <t>)</t>
    </r>
  </si>
  <si>
    <r>
      <t>b</t>
    </r>
    <r>
      <rPr>
        <vertAlign val="subscript"/>
        <sz val="12"/>
        <rFont val="Times New Roman"/>
        <family val="1"/>
      </rPr>
      <t>d</t>
    </r>
    <r>
      <rPr>
        <sz val="11"/>
        <rFont val="Times New Roman"/>
        <family val="1"/>
      </rPr>
      <t xml:space="preserve"> = 1.4P</t>
    </r>
    <r>
      <rPr>
        <vertAlign val="subscript"/>
        <sz val="12"/>
        <rFont val="Times New Roman"/>
        <family val="1"/>
      </rPr>
      <t>d</t>
    </r>
    <r>
      <rPr>
        <sz val="11"/>
        <rFont val="Times New Roman"/>
        <family val="1"/>
      </rPr>
      <t xml:space="preserve"> / P</t>
    </r>
    <r>
      <rPr>
        <vertAlign val="subscript"/>
        <sz val="12"/>
        <rFont val="Times New Roman"/>
        <family val="1"/>
      </rPr>
      <t>u</t>
    </r>
    <r>
      <rPr>
        <sz val="11"/>
        <rFont val="Times New Roman"/>
        <family val="1"/>
      </rPr>
      <t xml:space="preserve">        &lt;= 1</t>
    </r>
  </si>
  <si>
    <r>
      <t>EI = (E</t>
    </r>
    <r>
      <rPr>
        <vertAlign val="subscript"/>
        <sz val="12"/>
        <rFont val="Times New Roman"/>
        <family val="1"/>
      </rPr>
      <t>c</t>
    </r>
    <r>
      <rPr>
        <sz val="11"/>
        <rFont val="Times New Roman"/>
        <family val="1"/>
      </rPr>
      <t xml:space="preserve"> . I</t>
    </r>
    <r>
      <rPr>
        <vertAlign val="subscript"/>
        <sz val="12"/>
        <rFont val="Times New Roman"/>
        <family val="1"/>
      </rPr>
      <t>g</t>
    </r>
    <r>
      <rPr>
        <sz val="11"/>
        <rFont val="Times New Roman"/>
        <family val="1"/>
      </rPr>
      <t xml:space="preserve"> / 2.5) / (1+</t>
    </r>
    <r>
      <rPr>
        <sz val="11"/>
        <rFont val="Symbol"/>
        <family val="1"/>
        <charset val="2"/>
      </rPr>
      <t>b</t>
    </r>
    <r>
      <rPr>
        <vertAlign val="subscript"/>
        <sz val="12"/>
        <rFont val="Times New Roman"/>
        <family val="1"/>
      </rPr>
      <t>d</t>
    </r>
    <r>
      <rPr>
        <sz val="11"/>
        <rFont val="Times New Roman"/>
        <family val="1"/>
      </rPr>
      <t>)</t>
    </r>
  </si>
  <si>
    <r>
      <t>P</t>
    </r>
    <r>
      <rPr>
        <vertAlign val="subscript"/>
        <sz val="12"/>
        <rFont val="Times New Roman"/>
        <family val="1"/>
      </rPr>
      <t>c</t>
    </r>
    <r>
      <rPr>
        <sz val="11"/>
        <rFont val="Times New Roman"/>
        <family val="1"/>
      </rPr>
      <t xml:space="preserve"> =  </t>
    </r>
    <r>
      <rPr>
        <sz val="11"/>
        <rFont val="Symbol"/>
        <family val="1"/>
        <charset val="2"/>
      </rPr>
      <t>p</t>
    </r>
    <r>
      <rPr>
        <vertAlign val="superscript"/>
        <sz val="11"/>
        <rFont val="Symbol"/>
        <family val="1"/>
        <charset val="2"/>
      </rPr>
      <t>2</t>
    </r>
    <r>
      <rPr>
        <sz val="11"/>
        <rFont val="Times New Roman"/>
        <family val="1"/>
      </rPr>
      <t>.EI / (k.L)</t>
    </r>
    <r>
      <rPr>
        <vertAlign val="superscript"/>
        <sz val="11"/>
        <rFont val="Times New Roman"/>
        <family val="1"/>
        <charset val="222"/>
      </rPr>
      <t>2</t>
    </r>
    <r>
      <rPr>
        <sz val="12"/>
        <rFont val="Times New Roman"/>
        <family val="1"/>
      </rPr>
      <t>.10</t>
    </r>
    <r>
      <rPr>
        <vertAlign val="superscript"/>
        <sz val="12"/>
        <rFont val="Times New Roman"/>
        <family val="1"/>
      </rPr>
      <t>-3</t>
    </r>
    <r>
      <rPr>
        <sz val="12"/>
        <rFont val="Times New Roman"/>
        <family val="1"/>
      </rPr>
      <t xml:space="preserve"> </t>
    </r>
    <r>
      <rPr>
        <sz val="11"/>
        <rFont val="Times New Roman"/>
        <family val="1"/>
      </rPr>
      <t xml:space="preserve">    </t>
    </r>
  </si>
  <si>
    <r>
      <t>C</t>
    </r>
    <r>
      <rPr>
        <vertAlign val="subscript"/>
        <sz val="12"/>
        <rFont val="Times New Roman"/>
        <family val="1"/>
      </rPr>
      <t>m</t>
    </r>
    <r>
      <rPr>
        <sz val="11"/>
        <rFont val="Times New Roman"/>
        <family val="1"/>
      </rPr>
      <t xml:space="preserve"> = 0.6 +0.4.M</t>
    </r>
    <r>
      <rPr>
        <vertAlign val="subscript"/>
        <sz val="12"/>
        <rFont val="Times New Roman"/>
        <family val="1"/>
      </rPr>
      <t>1</t>
    </r>
    <r>
      <rPr>
        <sz val="11"/>
        <rFont val="Times New Roman"/>
        <family val="1"/>
      </rPr>
      <t>/M</t>
    </r>
    <r>
      <rPr>
        <vertAlign val="subscript"/>
        <sz val="12"/>
        <rFont val="Times New Roman"/>
        <family val="1"/>
      </rPr>
      <t xml:space="preserve">2 </t>
    </r>
    <r>
      <rPr>
        <sz val="11"/>
        <rFont val="Times New Roman"/>
        <family val="1"/>
      </rPr>
      <t xml:space="preserve"> &gt; 0.4</t>
    </r>
  </si>
  <si>
    <r>
      <t>d</t>
    </r>
    <r>
      <rPr>
        <sz val="11"/>
        <rFont val="Times New Roman"/>
        <family val="1"/>
      </rPr>
      <t>ns = C</t>
    </r>
    <r>
      <rPr>
        <vertAlign val="subscript"/>
        <sz val="12"/>
        <rFont val="Times New Roman"/>
        <family val="1"/>
      </rPr>
      <t>m</t>
    </r>
    <r>
      <rPr>
        <sz val="11"/>
        <rFont val="Times New Roman"/>
        <family val="1"/>
      </rPr>
      <t xml:space="preserve"> / [1 - P</t>
    </r>
    <r>
      <rPr>
        <vertAlign val="subscript"/>
        <sz val="12"/>
        <rFont val="Times New Roman"/>
        <family val="1"/>
      </rPr>
      <t>u</t>
    </r>
    <r>
      <rPr>
        <sz val="11"/>
        <rFont val="Times New Roman"/>
        <family val="1"/>
      </rPr>
      <t xml:space="preserve"> /(0.7P</t>
    </r>
    <r>
      <rPr>
        <vertAlign val="subscript"/>
        <sz val="12"/>
        <rFont val="Times New Roman"/>
        <family val="1"/>
      </rPr>
      <t>c</t>
    </r>
    <r>
      <rPr>
        <sz val="11"/>
        <rFont val="Times New Roman"/>
        <family val="1"/>
      </rPr>
      <t>)]  &gt; =1</t>
    </r>
  </si>
  <si>
    <r>
      <t>M</t>
    </r>
    <r>
      <rPr>
        <vertAlign val="subscript"/>
        <sz val="11"/>
        <rFont val="Times New Roman"/>
        <family val="1"/>
      </rPr>
      <t>c</t>
    </r>
    <r>
      <rPr>
        <sz val="11"/>
        <rFont val="Times New Roman"/>
        <family val="1"/>
      </rPr>
      <t xml:space="preserve"> = </t>
    </r>
    <r>
      <rPr>
        <sz val="11"/>
        <rFont val="Symbol"/>
        <family val="1"/>
        <charset val="2"/>
      </rPr>
      <t>d</t>
    </r>
    <r>
      <rPr>
        <sz val="11"/>
        <rFont val="Times New Roman"/>
        <family val="1"/>
      </rPr>
      <t>ns.M</t>
    </r>
    <r>
      <rPr>
        <vertAlign val="subscript"/>
        <sz val="11"/>
        <rFont val="Times New Roman"/>
        <family val="1"/>
      </rPr>
      <t>2</t>
    </r>
  </si>
  <si>
    <t>BAR ARRANGEMENT</t>
  </si>
  <si>
    <t xml:space="preserve">Main bar    </t>
  </si>
  <si>
    <t>(mm)</t>
  </si>
  <si>
    <t>Number of Bars</t>
  </si>
  <si>
    <t>As provided</t>
  </si>
  <si>
    <r>
      <t xml:space="preserve">Tie bar  </t>
    </r>
    <r>
      <rPr>
        <sz val="11"/>
        <rFont val="Symbol"/>
        <family val="1"/>
        <charset val="2"/>
      </rPr>
      <t>f</t>
    </r>
    <r>
      <rPr>
        <sz val="11"/>
        <rFont val="Times New Roman"/>
        <family val="1"/>
      </rPr>
      <t xml:space="preserve">   </t>
    </r>
  </si>
  <si>
    <t xml:space="preserve">&lt; 16 Main bar </t>
  </si>
  <si>
    <t>S</t>
  </si>
  <si>
    <t xml:space="preserve">&lt; 48 Tie bar   </t>
  </si>
  <si>
    <t xml:space="preserve">&lt;The least of column </t>
  </si>
  <si>
    <t>INTERACTION CHART FOR RC. COLUMN</t>
  </si>
  <si>
    <t>fc'</t>
  </si>
  <si>
    <t>=</t>
  </si>
  <si>
    <t>Ksc.</t>
  </si>
  <si>
    <t>fy</t>
  </si>
  <si>
    <t>m</t>
  </si>
  <si>
    <r>
      <t xml:space="preserve">Pu / ( </t>
    </r>
    <r>
      <rPr>
        <sz val="14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 xml:space="preserve"> bhfc')</t>
    </r>
  </si>
  <si>
    <r>
      <t xml:space="preserve">Mu / ( </t>
    </r>
    <r>
      <rPr>
        <sz val="14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 xml:space="preserve"> bh</t>
    </r>
    <r>
      <rPr>
        <vertAlign val="superscript"/>
        <sz val="14"/>
        <rFont val="Cordia New"/>
        <family val="2"/>
        <charset val="222"/>
      </rPr>
      <t>2</t>
    </r>
    <r>
      <rPr>
        <sz val="14"/>
        <rFont val="Cordia New"/>
        <family val="2"/>
        <charset val="222"/>
      </rPr>
      <t>fc')</t>
    </r>
  </si>
  <si>
    <t>d</t>
  </si>
  <si>
    <t>Check As.prov.&gt;=As.Req.</t>
  </si>
  <si>
    <r>
      <t>C1(4</t>
    </r>
    <r>
      <rPr>
        <b/>
        <vertAlign val="superscript"/>
        <sz val="14"/>
        <rFont val="Times New Roman"/>
        <family val="1"/>
        <charset val="222"/>
      </rPr>
      <t>rd</t>
    </r>
    <r>
      <rPr>
        <b/>
        <sz val="14"/>
        <rFont val="Times New Roman"/>
        <family val="1"/>
      </rPr>
      <t xml:space="preserve"> - R</t>
    </r>
    <r>
      <rPr>
        <b/>
        <vertAlign val="superscript"/>
        <sz val="14"/>
        <rFont val="Times New Roman"/>
        <family val="1"/>
        <charset val="222"/>
      </rPr>
      <t xml:space="preserve"> </t>
    </r>
    <r>
      <rPr>
        <b/>
        <sz val="14"/>
        <rFont val="Times New Roman"/>
        <family val="1"/>
        <charset val="222"/>
      </rPr>
      <t>)</t>
    </r>
  </si>
  <si>
    <t>น้ำหนัก Pu แต่ละชั้น</t>
  </si>
  <si>
    <r>
      <t>C1(3</t>
    </r>
    <r>
      <rPr>
        <b/>
        <vertAlign val="superscript"/>
        <sz val="14"/>
        <rFont val="Times New Roman"/>
        <family val="1"/>
        <charset val="222"/>
      </rPr>
      <t>nd</t>
    </r>
    <r>
      <rPr>
        <b/>
        <sz val="14"/>
        <rFont val="Times New Roman"/>
        <family val="1"/>
      </rPr>
      <t xml:space="preserve"> - 4</t>
    </r>
    <r>
      <rPr>
        <b/>
        <vertAlign val="superscript"/>
        <sz val="14"/>
        <rFont val="Times New Roman"/>
        <family val="1"/>
        <charset val="222"/>
      </rPr>
      <t xml:space="preserve"> </t>
    </r>
    <r>
      <rPr>
        <b/>
        <sz val="14"/>
        <rFont val="Times New Roman"/>
        <family val="1"/>
        <charset val="222"/>
      </rPr>
      <t>)</t>
    </r>
  </si>
  <si>
    <t>Dia.</t>
  </si>
  <si>
    <r>
      <t>r</t>
    </r>
    <r>
      <rPr>
        <sz val="11"/>
        <rFont val="Times New Roman"/>
        <family val="1"/>
      </rPr>
      <t xml:space="preserve"> tm</t>
    </r>
  </si>
  <si>
    <t>Design Parameter</t>
  </si>
  <si>
    <t>f</t>
  </si>
  <si>
    <r>
      <t>Pn=Pu/</t>
    </r>
    <r>
      <rPr>
        <sz val="11"/>
        <color theme="1"/>
        <rFont val="Symbol"/>
        <family val="1"/>
        <charset val="2"/>
      </rPr>
      <t>f</t>
    </r>
  </si>
  <si>
    <t>T.</t>
  </si>
  <si>
    <r>
      <t>Mn=Mu/</t>
    </r>
    <r>
      <rPr>
        <sz val="11"/>
        <rFont val="Symbol"/>
        <family val="1"/>
        <charset val="2"/>
      </rPr>
      <t>f</t>
    </r>
  </si>
  <si>
    <t>e=Mu/Pu</t>
  </si>
  <si>
    <t>Es</t>
  </si>
  <si>
    <r>
      <t>ab=</t>
    </r>
    <r>
      <rPr>
        <sz val="11"/>
        <rFont val="Symbol"/>
        <family val="1"/>
        <charset val="2"/>
      </rPr>
      <t>b</t>
    </r>
    <r>
      <rPr>
        <sz val="11"/>
        <rFont val="Times New Roman"/>
        <family val="1"/>
      </rPr>
      <t>1c</t>
    </r>
    <r>
      <rPr>
        <vertAlign val="subscript"/>
        <sz val="11"/>
        <rFont val="Times New Roman"/>
        <family val="1"/>
      </rPr>
      <t>b</t>
    </r>
  </si>
  <si>
    <r>
      <rPr>
        <sz val="11"/>
        <rFont val="Symbol"/>
        <family val="1"/>
        <charset val="2"/>
      </rPr>
      <t>b</t>
    </r>
    <r>
      <rPr>
        <sz val="11"/>
        <rFont val="Times New Roman"/>
        <family val="1"/>
      </rPr>
      <t>1</t>
    </r>
  </si>
  <si>
    <t>(cm.)</t>
  </si>
  <si>
    <t>(kg.)</t>
  </si>
  <si>
    <t>PuD</t>
  </si>
  <si>
    <t>(0.85.fc')/3000</t>
  </si>
  <si>
    <t>(Design by interraction diagram)</t>
  </si>
  <si>
    <r>
      <t xml:space="preserve">r </t>
    </r>
    <r>
      <rPr>
        <sz val="11"/>
        <rFont val="Times New Roman"/>
        <family val="1"/>
      </rPr>
      <t xml:space="preserve">t/b.h  , m=fy /(0.85.fc') :    </t>
    </r>
    <r>
      <rPr>
        <sz val="11"/>
        <rFont val="Symbol"/>
        <family val="1"/>
        <charset val="2"/>
      </rPr>
      <t xml:space="preserve"> r</t>
    </r>
    <r>
      <rPr>
        <sz val="11"/>
        <rFont val="Times New Roman"/>
        <family val="1"/>
      </rPr>
      <t xml:space="preserve"> t/b.h </t>
    </r>
  </si>
  <si>
    <t>M2b</t>
  </si>
  <si>
    <t>M1b</t>
  </si>
  <si>
    <r>
      <t>Pub/(</t>
    </r>
    <r>
      <rPr>
        <sz val="11"/>
        <rFont val="Symbol"/>
        <family val="1"/>
        <charset val="2"/>
      </rPr>
      <t>f</t>
    </r>
    <r>
      <rPr>
        <sz val="11"/>
        <rFont val="Times New Roman"/>
        <family val="1"/>
      </rPr>
      <t xml:space="preserve"> .Ag.fc' )                </t>
    </r>
  </si>
  <si>
    <r>
      <t>Mc/(</t>
    </r>
    <r>
      <rPr>
        <sz val="11"/>
        <rFont val="Symbol"/>
        <family val="1"/>
        <charset val="2"/>
      </rPr>
      <t>f</t>
    </r>
    <r>
      <rPr>
        <sz val="11"/>
        <rFont val="Times New Roman"/>
        <family val="1"/>
      </rPr>
      <t>bh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.fc' )</t>
    </r>
  </si>
  <si>
    <r>
      <t xml:space="preserve">Ast= </t>
    </r>
    <r>
      <rPr>
        <sz val="11"/>
        <rFont val="Symbol"/>
        <family val="1"/>
        <charset val="2"/>
      </rPr>
      <t>r</t>
    </r>
    <r>
      <rPr>
        <sz val="11"/>
        <rFont val="Times New Roman"/>
        <family val="1"/>
      </rPr>
      <t>.b.h.85.(fc'/fy)</t>
    </r>
  </si>
  <si>
    <t>check</t>
  </si>
  <si>
    <t>cm.</t>
  </si>
  <si>
    <t>Pn=Cc+Cs'-Ts</t>
  </si>
  <si>
    <t>Pn</t>
  </si>
  <si>
    <t>covering</t>
  </si>
  <si>
    <t>Roof</t>
  </si>
  <si>
    <t>ksc.</t>
  </si>
  <si>
    <t>Unit</t>
  </si>
  <si>
    <t xml:space="preserve">Cb=(0.003/(0.003+fy/Es))(d)  </t>
  </si>
  <si>
    <t>Tension control</t>
  </si>
  <si>
    <t>0.85fc'bd</t>
  </si>
  <si>
    <t>(h-2e)/2d</t>
  </si>
  <si>
    <r>
      <t>2m</t>
    </r>
    <r>
      <rPr>
        <sz val="14"/>
        <rFont val="Symbol"/>
        <family val="1"/>
        <charset val="2"/>
      </rPr>
      <t>r</t>
    </r>
    <r>
      <rPr>
        <sz val="11"/>
        <rFont val="Times New Roman"/>
        <family val="1"/>
      </rPr>
      <t>.(1-d'/d)</t>
    </r>
  </si>
  <si>
    <r>
      <rPr>
        <sz val="11"/>
        <rFont val="Symbol"/>
        <family val="1"/>
        <charset val="2"/>
      </rPr>
      <t>r</t>
    </r>
    <r>
      <rPr>
        <sz val="11"/>
        <rFont val="Times New Roman"/>
        <family val="1"/>
      </rPr>
      <t>=</t>
    </r>
    <r>
      <rPr>
        <sz val="12"/>
        <rFont val="Symbol"/>
        <family val="1"/>
        <charset val="2"/>
      </rPr>
      <t>r</t>
    </r>
    <r>
      <rPr>
        <sz val="11"/>
        <rFont val="Times New Roman"/>
        <family val="1"/>
      </rPr>
      <t>'=As/bd</t>
    </r>
  </si>
  <si>
    <r>
      <t>check Pn&gt;Pn/</t>
    </r>
    <r>
      <rPr>
        <sz val="11"/>
        <rFont val="Symbol"/>
        <family val="1"/>
        <charset val="2"/>
      </rPr>
      <t>f</t>
    </r>
  </si>
  <si>
    <r>
      <t>eb=(0.20+0.77</t>
    </r>
    <r>
      <rPr>
        <sz val="12"/>
        <color theme="1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>tm)h</t>
    </r>
  </si>
  <si>
    <t>Pt=Ast/bh</t>
  </si>
  <si>
    <t>m=fy/0.85fc'</t>
  </si>
  <si>
    <t>Ag</t>
  </si>
  <si>
    <t>check eb&gt;e :compresstion Control ;eb&lt;e :Tension Control</t>
  </si>
  <si>
    <r>
      <t>check 0.01&lt;</t>
    </r>
    <r>
      <rPr>
        <sz val="11"/>
        <rFont val="Symbol"/>
        <family val="1"/>
        <charset val="2"/>
      </rPr>
      <t>r</t>
    </r>
    <r>
      <rPr>
        <sz val="11"/>
        <rFont val="Times New Roman"/>
        <family val="1"/>
      </rPr>
      <t>t=Ast/Ag&lt;0.08</t>
    </r>
  </si>
  <si>
    <r>
      <t>Pnb=0.85fc'ba</t>
    </r>
    <r>
      <rPr>
        <vertAlign val="subscript"/>
        <sz val="11"/>
        <rFont val="Times New Roman"/>
        <family val="1"/>
      </rPr>
      <t xml:space="preserve">b </t>
    </r>
    <r>
      <rPr>
        <sz val="11"/>
        <rFont val="Times New Roman"/>
        <family val="1"/>
      </rPr>
      <t>; Cc=0.85.fc'.ba</t>
    </r>
  </si>
  <si>
    <t>a=Pn/Cc</t>
  </si>
  <si>
    <r>
      <t>c=a/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1</t>
    </r>
  </si>
  <si>
    <t>Check Compression failure</t>
  </si>
  <si>
    <r>
      <rPr>
        <sz val="16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s'=</t>
    </r>
    <r>
      <rPr>
        <sz val="14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c(c-d'/c)</t>
    </r>
  </si>
  <si>
    <t xml:space="preserve">Check </t>
  </si>
  <si>
    <t>Compresssion Control</t>
  </si>
  <si>
    <t>Trial</t>
  </si>
  <si>
    <t>a</t>
  </si>
  <si>
    <r>
      <t>c=a/</t>
    </r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1</t>
    </r>
  </si>
  <si>
    <r>
      <rPr>
        <sz val="16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y=fy/</t>
    </r>
    <r>
      <rPr>
        <sz val="16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s</t>
    </r>
  </si>
  <si>
    <t xml:space="preserve">Point Load </t>
  </si>
  <si>
    <r>
      <rPr>
        <b/>
        <sz val="22"/>
        <color theme="1"/>
        <rFont val="Calibri"/>
        <family val="2"/>
        <scheme val="minor"/>
      </rPr>
      <t>C</t>
    </r>
    <r>
      <rPr>
        <sz val="22"/>
        <color theme="1"/>
        <rFont val="Calibri"/>
        <family val="2"/>
        <scheme val="minor"/>
      </rPr>
      <t>5</t>
    </r>
  </si>
  <si>
    <t>fs'=fy</t>
  </si>
  <si>
    <t>As=As'</t>
  </si>
  <si>
    <t>a=(Pn-As',fs'+As.fs)/0.85fc'b</t>
  </si>
  <si>
    <t>Pn=0.85fc'.b.h+As.fs-As'fs'</t>
  </si>
  <si>
    <t>Pn=((0.85fc'.ba.(d-a/2)+As'fs'.(d-d'))/e'</t>
  </si>
  <si>
    <r>
      <t>Check Pn&gt;Pu/</t>
    </r>
    <r>
      <rPr>
        <sz val="11"/>
        <rFont val="Symbol"/>
        <family val="1"/>
        <charset val="2"/>
      </rPr>
      <t>f</t>
    </r>
  </si>
  <si>
    <r>
      <t>fs=Es.(0.003(a-</t>
    </r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1d')/a)</t>
    </r>
    <r>
      <rPr>
        <sz val="11"/>
        <color rgb="FFFF0000"/>
        <rFont val="Calibri"/>
        <family val="2"/>
        <scheme val="minor"/>
      </rPr>
      <t>&lt;=fy</t>
    </r>
  </si>
  <si>
    <t>Tension Control</t>
  </si>
  <si>
    <t>Compression control</t>
  </si>
  <si>
    <r>
      <t>cm.</t>
    </r>
    <r>
      <rPr>
        <vertAlign val="superscript"/>
        <sz val="11"/>
        <rFont val="Times New Roman"/>
        <family val="1"/>
      </rPr>
      <t>2</t>
    </r>
  </si>
  <si>
    <t>Check Asreq=&lt;As provide</t>
  </si>
  <si>
    <t>As req.</t>
  </si>
  <si>
    <t>Check</t>
  </si>
  <si>
    <t xml:space="preserve">Main bar  Dia.  </t>
  </si>
  <si>
    <t>strirup</t>
  </si>
  <si>
    <t>Design Rectangular Beam By USD.Method  ACI 318-89</t>
  </si>
  <si>
    <t>Page No.</t>
  </si>
  <si>
    <t>Date :</t>
  </si>
  <si>
    <t>d/h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</si>
</sst>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0.000"/>
    <numFmt numFmtId="166" formatCode="0.00&quot;a&quot;"/>
  </numFmts>
  <fonts count="5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vertAlign val="superscript"/>
      <sz val="14"/>
      <name val="Times New Roman"/>
      <family val="1"/>
      <charset val="222"/>
    </font>
    <font>
      <b/>
      <sz val="14"/>
      <name val="Times New Roman"/>
      <family val="1"/>
      <charset val="222"/>
    </font>
    <font>
      <sz val="11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Symbol"/>
      <family val="1"/>
      <charset val="2"/>
    </font>
    <font>
      <vertAlign val="subscript"/>
      <sz val="12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vertAlign val="superscript"/>
      <sz val="11"/>
      <name val="Times New Roman"/>
      <family val="1"/>
      <charset val="222"/>
    </font>
    <font>
      <vertAlign val="superscript"/>
      <sz val="12"/>
      <name val="Times New Roman"/>
      <family val="1"/>
    </font>
    <font>
      <vertAlign val="superscript"/>
      <sz val="11"/>
      <name val="Symbol"/>
      <family val="1"/>
      <charset val="2"/>
    </font>
    <font>
      <sz val="12"/>
      <name val="Times New Roman"/>
      <family val="1"/>
    </font>
    <font>
      <vertAlign val="subscript"/>
      <sz val="11"/>
      <name val="Times New Roman"/>
      <family val="1"/>
    </font>
    <font>
      <b/>
      <sz val="11"/>
      <color indexed="12"/>
      <name val="Times New Roman"/>
      <family val="1"/>
    </font>
    <font>
      <b/>
      <u/>
      <sz val="20"/>
      <name val="Cordia New"/>
      <family val="2"/>
      <charset val="222"/>
    </font>
    <font>
      <sz val="14"/>
      <name val="Symbol"/>
      <family val="1"/>
      <charset val="2"/>
    </font>
    <font>
      <b/>
      <sz val="14"/>
      <color indexed="10"/>
      <name val="Cordia New"/>
      <family val="2"/>
      <charset val="222"/>
    </font>
    <font>
      <vertAlign val="superscript"/>
      <sz val="14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0070C0"/>
      <name val="Times New Roman"/>
      <family val="1"/>
    </font>
    <font>
      <sz val="11"/>
      <color theme="1"/>
      <name val="Symbol"/>
      <family val="1"/>
      <charset val="2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0070C0"/>
      <name val="Times New Roman"/>
      <family val="1"/>
    </font>
    <font>
      <sz val="10"/>
      <color rgb="FF002060"/>
      <name val="Times New Roman"/>
      <family val="1"/>
    </font>
    <font>
      <sz val="12"/>
      <name val="Symbol"/>
      <family val="1"/>
      <charset val="2"/>
    </font>
    <font>
      <sz val="12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sz val="14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14"/>
      <name val="Cordia New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0"/>
      <name val="Times New Roman"/>
      <family val="1"/>
    </font>
    <font>
      <sz val="14"/>
      <color theme="1"/>
      <name val="Cordia New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42" fillId="0" borderId="0"/>
    <xf numFmtId="0" fontId="43" fillId="0" borderId="0"/>
    <xf numFmtId="43" fontId="43" fillId="0" borderId="0" applyFont="0" applyFill="0" applyBorder="0" applyAlignment="0" applyProtection="0"/>
  </cellStyleXfs>
  <cellXfs count="358">
    <xf numFmtId="0" fontId="0" fillId="0" borderId="0" xfId="0"/>
    <xf numFmtId="0" fontId="0" fillId="2" borderId="0" xfId="0" applyFill="1"/>
    <xf numFmtId="0" fontId="0" fillId="2" borderId="60" xfId="0" applyFill="1" applyBorder="1"/>
    <xf numFmtId="0" fontId="0" fillId="2" borderId="16" xfId="0" applyFill="1" applyBorder="1"/>
    <xf numFmtId="0" fontId="0" fillId="2" borderId="45" xfId="0" applyFill="1" applyBorder="1"/>
    <xf numFmtId="0" fontId="0" fillId="2" borderId="20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77" xfId="0" applyFill="1" applyBorder="1" applyAlignment="1">
      <alignment horizontal="center"/>
    </xf>
    <xf numFmtId="0" fontId="0" fillId="2" borderId="73" xfId="0" applyFill="1" applyBorder="1" applyAlignment="1">
      <alignment horizontal="center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0" xfId="0" applyFont="1" applyFill="1" applyBorder="1"/>
    <xf numFmtId="0" fontId="1" fillId="2" borderId="12" xfId="0" applyFont="1" applyFill="1" applyBorder="1" applyAlignment="1" applyProtection="1">
      <alignment horizontal="left"/>
      <protection locked="0"/>
    </xf>
    <xf numFmtId="2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1" xfId="0" applyFont="1" applyFill="1" applyBorder="1"/>
    <xf numFmtId="0" fontId="7" fillId="2" borderId="0" xfId="0" quotePrefix="1" applyFont="1" applyFill="1" applyBorder="1" applyAlignment="1">
      <alignment horizontal="left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vertical="center"/>
    </xf>
    <xf numFmtId="0" fontId="0" fillId="2" borderId="59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57" xfId="0" applyFill="1" applyBorder="1"/>
    <xf numFmtId="0" fontId="0" fillId="2" borderId="31" xfId="0" applyFill="1" applyBorder="1"/>
    <xf numFmtId="43" fontId="19" fillId="2" borderId="78" xfId="0" quotePrefix="1" applyNumberFormat="1" applyFont="1" applyFill="1" applyBorder="1" applyAlignment="1" applyProtection="1">
      <alignment horizontal="center"/>
      <protection locked="0"/>
    </xf>
    <xf numFmtId="43" fontId="19" fillId="2" borderId="8" xfId="0" quotePrefix="1" applyNumberFormat="1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79" xfId="0" applyFont="1" applyFill="1" applyBorder="1" applyAlignment="1" applyProtection="1">
      <alignment horizontal="right"/>
      <protection locked="0"/>
    </xf>
    <xf numFmtId="0" fontId="30" fillId="2" borderId="8" xfId="0" applyFont="1" applyFill="1" applyBorder="1" applyAlignment="1" applyProtection="1">
      <alignment horizontal="right"/>
      <protection locked="0"/>
    </xf>
    <xf numFmtId="0" fontId="8" fillId="2" borderId="74" xfId="0" applyFont="1" applyFill="1" applyBorder="1" applyAlignment="1" applyProtection="1">
      <alignment horizontal="right"/>
      <protection locked="0"/>
    </xf>
    <xf numFmtId="41" fontId="19" fillId="2" borderId="78" xfId="0" quotePrefix="1" applyNumberFormat="1" applyFont="1" applyFill="1" applyBorder="1" applyAlignment="1" applyProtection="1">
      <alignment horizontal="right"/>
      <protection locked="0"/>
    </xf>
    <xf numFmtId="41" fontId="19" fillId="2" borderId="8" xfId="0" quotePrefix="1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>
      <alignment horizontal="right"/>
    </xf>
    <xf numFmtId="0" fontId="1" fillId="2" borderId="9" xfId="0" applyFont="1" applyFill="1" applyBorder="1"/>
    <xf numFmtId="0" fontId="0" fillId="2" borderId="7" xfId="0" applyFill="1" applyBorder="1"/>
    <xf numFmtId="0" fontId="0" fillId="2" borderId="0" xfId="0" applyFill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49" fillId="2" borderId="0" xfId="0" quotePrefix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" borderId="16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0" fillId="2" borderId="49" xfId="0" applyFill="1" applyBorder="1"/>
    <xf numFmtId="0" fontId="2" fillId="2" borderId="0" xfId="0" applyFont="1" applyFill="1" applyAlignment="1">
      <alignment horizontal="centerContinuous" vertical="top"/>
    </xf>
    <xf numFmtId="0" fontId="1" fillId="2" borderId="0" xfId="0" applyFont="1" applyFill="1" applyAlignment="1">
      <alignment horizontal="centerContinuous" vertical="top"/>
    </xf>
    <xf numFmtId="0" fontId="3" fillId="2" borderId="0" xfId="0" quotePrefix="1" applyFont="1" applyFill="1" applyAlignment="1">
      <alignment horizontal="centerContinuous" vertical="top"/>
    </xf>
    <xf numFmtId="0" fontId="1" fillId="2" borderId="0" xfId="0" applyFont="1" applyFill="1" applyAlignment="1">
      <alignment horizontal="centerContinuous"/>
    </xf>
    <xf numFmtId="0" fontId="28" fillId="2" borderId="37" xfId="0" applyFont="1" applyFill="1" applyBorder="1" applyAlignment="1">
      <alignment horizontal="center" vertical="top"/>
    </xf>
    <xf numFmtId="0" fontId="28" fillId="2" borderId="2" xfId="0" applyFont="1" applyFill="1" applyBorder="1" applyAlignment="1">
      <alignment horizontal="center" vertical="top"/>
    </xf>
    <xf numFmtId="0" fontId="28" fillId="2" borderId="38" xfId="0" applyFont="1" applyFill="1" applyBorder="1" applyAlignment="1">
      <alignment horizontal="center" vertical="top"/>
    </xf>
    <xf numFmtId="0" fontId="7" fillId="2" borderId="1" xfId="0" quotePrefix="1" applyFont="1" applyFill="1" applyBorder="1" applyAlignment="1">
      <alignment horizontal="center"/>
    </xf>
    <xf numFmtId="0" fontId="3" fillId="2" borderId="71" xfId="0" applyFont="1" applyFill="1" applyBorder="1" applyAlignment="1">
      <alignment horizontal="centerContinuous"/>
    </xf>
    <xf numFmtId="0" fontId="1" fillId="2" borderId="34" xfId="0" applyFont="1" applyFill="1" applyBorder="1" applyAlignment="1">
      <alignment horizontal="centerContinuous"/>
    </xf>
    <xf numFmtId="0" fontId="1" fillId="2" borderId="36" xfId="0" applyFont="1" applyFill="1" applyBorder="1" applyAlignment="1">
      <alignment horizontal="centerContinuous"/>
    </xf>
    <xf numFmtId="0" fontId="4" fillId="2" borderId="3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>
      <alignment horizontal="center"/>
    </xf>
    <xf numFmtId="0" fontId="7" fillId="2" borderId="15" xfId="0" quotePrefix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7" fillId="2" borderId="9" xfId="0" quotePrefix="1" applyFont="1" applyFill="1" applyBorder="1" applyAlignment="1">
      <alignment horizontal="center"/>
    </xf>
    <xf numFmtId="0" fontId="8" fillId="2" borderId="74" xfId="0" applyFont="1" applyFill="1" applyBorder="1" applyAlignment="1" applyProtection="1">
      <alignment horizontal="center"/>
      <protection locked="0"/>
    </xf>
    <xf numFmtId="0" fontId="8" fillId="2" borderId="66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2" borderId="9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/>
    <xf numFmtId="0" fontId="9" fillId="2" borderId="2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10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/>
    <xf numFmtId="0" fontId="9" fillId="2" borderId="14" xfId="0" quotePrefix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8" fillId="2" borderId="16" xfId="0" applyFont="1" applyFill="1" applyBorder="1" applyAlignment="1" applyProtection="1">
      <alignment horizontal="center"/>
      <protection locked="0"/>
    </xf>
    <xf numFmtId="0" fontId="9" fillId="2" borderId="17" xfId="0" applyFont="1" applyFill="1" applyBorder="1" applyAlignment="1">
      <alignment horizontal="center" vertical="center"/>
    </xf>
    <xf numFmtId="0" fontId="9" fillId="2" borderId="21" xfId="0" quotePrefix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0" fontId="10" fillId="2" borderId="17" xfId="0" quotePrefix="1" applyFont="1" applyFill="1" applyBorder="1" applyAlignment="1">
      <alignment horizontal="center"/>
    </xf>
    <xf numFmtId="0" fontId="10" fillId="2" borderId="9" xfId="0" quotePrefix="1" applyFont="1" applyFill="1" applyBorder="1" applyAlignment="1">
      <alignment horizontal="center"/>
    </xf>
    <xf numFmtId="2" fontId="7" fillId="2" borderId="9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Continuous"/>
    </xf>
    <xf numFmtId="0" fontId="7" fillId="2" borderId="17" xfId="0" quotePrefix="1" applyFont="1" applyFill="1" applyBorder="1" applyAlignment="1">
      <alignment horizontal="center"/>
    </xf>
    <xf numFmtId="11" fontId="0" fillId="2" borderId="0" xfId="0" applyNumberFormat="1" applyFill="1"/>
    <xf numFmtId="0" fontId="7" fillId="2" borderId="17" xfId="0" applyFont="1" applyFill="1" applyBorder="1" applyAlignment="1">
      <alignment horizontal="center"/>
    </xf>
    <xf numFmtId="0" fontId="8" fillId="2" borderId="9" xfId="0" quotePrefix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center"/>
    </xf>
    <xf numFmtId="0" fontId="7" fillId="2" borderId="19" xfId="0" quotePrefix="1" applyFont="1" applyFill="1" applyBorder="1" applyAlignment="1">
      <alignment horizontal="center"/>
    </xf>
    <xf numFmtId="11" fontId="7" fillId="2" borderId="20" xfId="0" applyNumberFormat="1" applyFont="1" applyFill="1" applyBorder="1" applyAlignment="1">
      <alignment horizontal="center"/>
    </xf>
    <xf numFmtId="0" fontId="7" fillId="2" borderId="13" xfId="0" quotePrefix="1" applyFont="1" applyFill="1" applyBorder="1" applyAlignment="1"/>
    <xf numFmtId="0" fontId="7" fillId="2" borderId="22" xfId="0" quotePrefix="1" applyFont="1" applyFill="1" applyBorder="1" applyAlignment="1">
      <alignment horizontal="right"/>
    </xf>
    <xf numFmtId="11" fontId="7" fillId="2" borderId="16" xfId="0" applyNumberFormat="1" applyFont="1" applyFill="1" applyBorder="1" applyAlignment="1">
      <alignment horizontal="center"/>
    </xf>
    <xf numFmtId="0" fontId="10" fillId="2" borderId="23" xfId="0" quotePrefix="1" applyFont="1" applyFill="1" applyBorder="1" applyAlignment="1"/>
    <xf numFmtId="0" fontId="7" fillId="2" borderId="24" xfId="0" applyFont="1" applyFill="1" applyBorder="1" applyAlignment="1">
      <alignment horizontal="centerContinuous"/>
    </xf>
    <xf numFmtId="0" fontId="7" fillId="2" borderId="25" xfId="0" applyFont="1" applyFill="1" applyBorder="1" applyAlignment="1">
      <alignment horizontal="centerContinuous"/>
    </xf>
    <xf numFmtId="0" fontId="7" fillId="2" borderId="23" xfId="0" quotePrefix="1" applyFont="1" applyFill="1" applyBorder="1" applyAlignment="1"/>
    <xf numFmtId="11" fontId="7" fillId="2" borderId="9" xfId="0" applyNumberFormat="1" applyFont="1" applyFill="1" applyBorder="1" applyAlignment="1">
      <alignment horizontal="center"/>
    </xf>
    <xf numFmtId="11" fontId="7" fillId="2" borderId="0" xfId="0" applyNumberFormat="1" applyFont="1" applyFill="1" applyBorder="1" applyAlignment="1">
      <alignment horizontal="center"/>
    </xf>
    <xf numFmtId="11" fontId="0" fillId="2" borderId="0" xfId="0" applyNumberFormat="1" applyFill="1" applyBorder="1"/>
    <xf numFmtId="0" fontId="7" fillId="2" borderId="16" xfId="0" quotePrefix="1" applyFont="1" applyFill="1" applyBorder="1" applyAlignment="1">
      <alignment horizontal="center"/>
    </xf>
    <xf numFmtId="0" fontId="7" fillId="2" borderId="23" xfId="0" quotePrefix="1" applyFont="1" applyFill="1" applyBorder="1" applyAlignment="1">
      <alignment horizontal="left"/>
    </xf>
    <xf numFmtId="2" fontId="13" fillId="2" borderId="9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/>
    <xf numFmtId="0" fontId="10" fillId="2" borderId="23" xfId="0" quotePrefix="1" applyFont="1" applyFill="1" applyBorder="1" applyAlignment="1">
      <alignment horizontal="left"/>
    </xf>
    <xf numFmtId="0" fontId="7" fillId="2" borderId="25" xfId="0" applyFont="1" applyFill="1" applyBorder="1" applyAlignment="1">
      <alignment horizontal="right"/>
    </xf>
    <xf numFmtId="0" fontId="7" fillId="2" borderId="26" xfId="0" quotePrefix="1" applyFont="1" applyFill="1" applyBorder="1" applyAlignment="1">
      <alignment horizontal="left"/>
    </xf>
    <xf numFmtId="0" fontId="7" fillId="2" borderId="28" xfId="0" applyFont="1" applyFill="1" applyBorder="1" applyAlignment="1">
      <alignment horizontal="centerContinuous"/>
    </xf>
    <xf numFmtId="0" fontId="7" fillId="2" borderId="6" xfId="0" applyFont="1" applyFill="1" applyBorder="1" applyAlignment="1">
      <alignment horizontal="center"/>
    </xf>
    <xf numFmtId="2" fontId="7" fillId="2" borderId="15" xfId="0" applyNumberFormat="1" applyFont="1" applyFill="1" applyBorder="1" applyAlignment="1">
      <alignment horizontal="center"/>
    </xf>
    <xf numFmtId="0" fontId="7" fillId="2" borderId="75" xfId="0" quotePrefix="1" applyFont="1" applyFill="1" applyBorder="1" applyAlignment="1">
      <alignment horizontal="left"/>
    </xf>
    <xf numFmtId="0" fontId="7" fillId="2" borderId="25" xfId="0" applyFont="1" applyFill="1" applyBorder="1"/>
    <xf numFmtId="164" fontId="7" fillId="2" borderId="9" xfId="0" applyNumberFormat="1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Continuous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centerContinuous" vertical="center" wrapText="1"/>
    </xf>
    <xf numFmtId="0" fontId="0" fillId="2" borderId="25" xfId="0" applyFill="1" applyBorder="1"/>
    <xf numFmtId="0" fontId="7" fillId="2" borderId="52" xfId="0" applyFont="1" applyFill="1" applyBorder="1" applyAlignment="1">
      <alignment horizontal="centerContinuous"/>
    </xf>
    <xf numFmtId="0" fontId="32" fillId="2" borderId="49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72" xfId="0" applyFont="1" applyFill="1" applyBorder="1" applyAlignment="1">
      <alignment horizontal="centerContinuous"/>
    </xf>
    <xf numFmtId="0" fontId="32" fillId="2" borderId="9" xfId="0" applyFont="1" applyFill="1" applyBorder="1" applyAlignment="1" applyProtection="1">
      <alignment horizontal="center" vertical="center"/>
    </xf>
    <xf numFmtId="0" fontId="7" fillId="2" borderId="76" xfId="0" applyFont="1" applyFill="1" applyBorder="1"/>
    <xf numFmtId="0" fontId="7" fillId="2" borderId="30" xfId="0" applyFont="1" applyFill="1" applyBorder="1"/>
    <xf numFmtId="0" fontId="7" fillId="2" borderId="30" xfId="0" applyFont="1" applyFill="1" applyBorder="1" applyAlignment="1">
      <alignment horizontal="right"/>
    </xf>
    <xf numFmtId="2" fontId="7" fillId="2" borderId="20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Continuous" vertical="center"/>
    </xf>
    <xf numFmtId="0" fontId="7" fillId="2" borderId="11" xfId="0" applyFont="1" applyFill="1" applyBorder="1" applyAlignment="1">
      <alignment horizontal="centerContinuous"/>
    </xf>
    <xf numFmtId="0" fontId="7" fillId="2" borderId="30" xfId="0" applyFont="1" applyFill="1" applyBorder="1" applyAlignment="1">
      <alignment horizontal="centerContinuous"/>
    </xf>
    <xf numFmtId="0" fontId="7" fillId="2" borderId="20" xfId="0" applyFont="1" applyFill="1" applyBorder="1" applyAlignment="1">
      <alignment horizontal="centerContinuous"/>
    </xf>
    <xf numFmtId="0" fontId="7" fillId="2" borderId="20" xfId="0" quotePrefix="1" applyFont="1" applyFill="1" applyBorder="1" applyAlignment="1">
      <alignment horizontal="left"/>
    </xf>
    <xf numFmtId="0" fontId="7" fillId="2" borderId="13" xfId="0" quotePrefix="1" applyFont="1" applyFill="1" applyBorder="1" applyAlignment="1">
      <alignment horizontal="left"/>
    </xf>
    <xf numFmtId="0" fontId="7" fillId="2" borderId="22" xfId="0" applyFont="1" applyFill="1" applyBorder="1" applyAlignment="1">
      <alignment horizontal="right"/>
    </xf>
    <xf numFmtId="0" fontId="19" fillId="2" borderId="16" xfId="0" quotePrefix="1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0" fontId="7" fillId="2" borderId="25" xfId="0" applyFont="1" applyFill="1" applyBorder="1" applyAlignment="1">
      <alignment horizontal="left"/>
    </xf>
    <xf numFmtId="0" fontId="19" fillId="2" borderId="9" xfId="0" quotePrefix="1" applyFont="1" applyFill="1" applyBorder="1" applyAlignment="1" applyProtection="1">
      <alignment horizontal="center"/>
      <protection locked="0"/>
    </xf>
    <xf numFmtId="0" fontId="10" fillId="2" borderId="25" xfId="0" quotePrefix="1" applyFont="1" applyFill="1" applyBorder="1" applyAlignment="1">
      <alignment horizontal="right"/>
    </xf>
    <xf numFmtId="2" fontId="29" fillId="2" borderId="9" xfId="0" applyNumberFormat="1" applyFont="1" applyFill="1" applyBorder="1" applyAlignment="1">
      <alignment horizontal="center"/>
    </xf>
    <xf numFmtId="0" fontId="7" fillId="2" borderId="18" xfId="0" quotePrefix="1" applyFont="1" applyFill="1" applyBorder="1" applyAlignment="1">
      <alignment horizontal="left"/>
    </xf>
    <xf numFmtId="0" fontId="10" fillId="2" borderId="30" xfId="0" quotePrefix="1" applyFont="1" applyFill="1" applyBorder="1" applyAlignment="1">
      <alignment horizontal="right"/>
    </xf>
    <xf numFmtId="0" fontId="7" fillId="2" borderId="20" xfId="0" quotePrefix="1" applyFont="1" applyFill="1" applyBorder="1" applyAlignment="1">
      <alignment horizontal="center"/>
    </xf>
    <xf numFmtId="0" fontId="19" fillId="2" borderId="20" xfId="0" quotePrefix="1" applyFont="1" applyFill="1" applyBorder="1" applyAlignment="1" applyProtection="1">
      <alignment horizontal="center"/>
      <protection locked="0"/>
    </xf>
    <xf numFmtId="0" fontId="7" fillId="2" borderId="32" xfId="0" applyFont="1" applyFill="1" applyBorder="1" applyAlignment="1">
      <alignment horizontal="centerContinuous"/>
    </xf>
    <xf numFmtId="0" fontId="7" fillId="2" borderId="22" xfId="0" applyFont="1" applyFill="1" applyBorder="1"/>
    <xf numFmtId="2" fontId="7" fillId="2" borderId="16" xfId="0" quotePrefix="1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7" fillId="2" borderId="24" xfId="0" quotePrefix="1" applyFont="1" applyFill="1" applyBorder="1" applyAlignment="1">
      <alignment horizontal="left"/>
    </xf>
    <xf numFmtId="2" fontId="7" fillId="2" borderId="9" xfId="0" quotePrefix="1" applyNumberFormat="1" applyFont="1" applyFill="1" applyBorder="1" applyAlignment="1">
      <alignment horizontal="center"/>
    </xf>
    <xf numFmtId="0" fontId="7" fillId="2" borderId="33" xfId="0" quotePrefix="1" applyFont="1" applyFill="1" applyBorder="1" applyAlignment="1">
      <alignment horizontal="centerContinuous"/>
    </xf>
    <xf numFmtId="0" fontId="7" fillId="2" borderId="34" xfId="0" quotePrefix="1" applyFont="1" applyFill="1" applyBorder="1" applyAlignment="1">
      <alignment horizontal="left"/>
    </xf>
    <xf numFmtId="0" fontId="7" fillId="2" borderId="35" xfId="0" applyFont="1" applyFill="1" applyBorder="1"/>
    <xf numFmtId="0" fontId="7" fillId="2" borderId="36" xfId="0" applyFont="1" applyFill="1" applyBorder="1" applyAlignment="1">
      <alignment horizontal="center"/>
    </xf>
    <xf numFmtId="0" fontId="7" fillId="2" borderId="36" xfId="0" quotePrefix="1" applyFont="1" applyFill="1" applyBorder="1" applyAlignment="1">
      <alignment horizontal="center"/>
    </xf>
    <xf numFmtId="0" fontId="50" fillId="2" borderId="0" xfId="0" applyFont="1" applyFill="1" applyAlignment="1" applyProtection="1">
      <alignment horizontal="center" vertical="center"/>
      <protection locked="0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textRotation="90"/>
    </xf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21" xfId="0" applyFill="1" applyBorder="1"/>
    <xf numFmtId="0" fontId="22" fillId="2" borderId="44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0" fillId="2" borderId="48" xfId="0" applyFill="1" applyBorder="1"/>
    <xf numFmtId="0" fontId="0" fillId="2" borderId="50" xfId="0" applyFill="1" applyBorder="1"/>
    <xf numFmtId="0" fontId="0" fillId="2" borderId="51" xfId="0" applyFill="1" applyBorder="1"/>
    <xf numFmtId="0" fontId="0" fillId="2" borderId="52" xfId="0" applyFill="1" applyBorder="1"/>
    <xf numFmtId="0" fontId="22" fillId="2" borderId="53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0" fillId="2" borderId="55" xfId="0" applyFill="1" applyBorder="1"/>
    <xf numFmtId="0" fontId="22" fillId="2" borderId="56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58" xfId="0" applyFill="1" applyBorder="1"/>
    <xf numFmtId="0" fontId="22" fillId="2" borderId="6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0" fillId="2" borderId="61" xfId="0" applyFill="1" applyBorder="1"/>
    <xf numFmtId="0" fontId="0" fillId="2" borderId="62" xfId="0" applyFill="1" applyBorder="1"/>
    <xf numFmtId="0" fontId="22" fillId="2" borderId="63" xfId="0" applyFont="1" applyFill="1" applyBorder="1" applyAlignment="1">
      <alignment horizontal="center" vertical="center"/>
    </xf>
    <xf numFmtId="0" fontId="22" fillId="2" borderId="64" xfId="0" applyFont="1" applyFill="1" applyBorder="1" applyAlignment="1">
      <alignment horizontal="center" vertical="center"/>
    </xf>
    <xf numFmtId="0" fontId="22" fillId="2" borderId="65" xfId="0" applyFont="1" applyFill="1" applyBorder="1" applyAlignment="1">
      <alignment horizontal="center" vertical="center"/>
    </xf>
    <xf numFmtId="0" fontId="22" fillId="2" borderId="66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0" fillId="2" borderId="56" xfId="0" applyFill="1" applyBorder="1"/>
    <xf numFmtId="0" fontId="0" fillId="2" borderId="22" xfId="0" applyFill="1" applyBorder="1"/>
    <xf numFmtId="0" fontId="0" fillId="2" borderId="67" xfId="0" applyFill="1" applyBorder="1"/>
    <xf numFmtId="0" fontId="0" fillId="2" borderId="68" xfId="0" applyFill="1" applyBorder="1"/>
    <xf numFmtId="0" fontId="0" fillId="2" borderId="28" xfId="0" applyFill="1" applyBorder="1"/>
    <xf numFmtId="0" fontId="0" fillId="2" borderId="69" xfId="0" applyFill="1" applyBorder="1"/>
    <xf numFmtId="0" fontId="0" fillId="2" borderId="70" xfId="0" applyFill="1" applyBorder="1"/>
    <xf numFmtId="0" fontId="0" fillId="2" borderId="19" xfId="0" applyFill="1" applyBorder="1"/>
    <xf numFmtId="0" fontId="0" fillId="2" borderId="0" xfId="0" applyFill="1" applyAlignment="1">
      <alignment horizontal="center" vertical="center" textRotation="90"/>
    </xf>
    <xf numFmtId="0" fontId="25" fillId="2" borderId="0" xfId="0" applyFont="1" applyFill="1" applyAlignment="1">
      <alignment horizontal="center" vertical="center"/>
    </xf>
    <xf numFmtId="0" fontId="0" fillId="2" borderId="7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27" fillId="2" borderId="3" xfId="0" applyFont="1" applyFill="1" applyBorder="1" applyAlignment="1" applyProtection="1">
      <alignment horizontal="center" vertical="center"/>
      <protection locked="0"/>
    </xf>
    <xf numFmtId="0" fontId="35" fillId="2" borderId="3" xfId="0" applyFont="1" applyFill="1" applyBorder="1" applyAlignment="1" applyProtection="1">
      <alignment horizontal="center" vertical="center"/>
      <protection locked="0"/>
    </xf>
    <xf numFmtId="11" fontId="35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44" xfId="0" applyFill="1" applyBorder="1" applyProtection="1"/>
    <xf numFmtId="0" fontId="0" fillId="2" borderId="27" xfId="0" applyFill="1" applyBorder="1" applyProtection="1"/>
    <xf numFmtId="0" fontId="0" fillId="2" borderId="0" xfId="0" applyFill="1" applyProtection="1"/>
    <xf numFmtId="0" fontId="0" fillId="2" borderId="16" xfId="0" applyFill="1" applyBorder="1" applyProtection="1"/>
    <xf numFmtId="0" fontId="0" fillId="2" borderId="0" xfId="0" applyFill="1" applyBorder="1" applyProtection="1"/>
    <xf numFmtId="0" fontId="0" fillId="2" borderId="60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1" fillId="2" borderId="16" xfId="0" applyFont="1" applyFill="1" applyBorder="1" applyProtection="1"/>
    <xf numFmtId="0" fontId="2" fillId="2" borderId="0" xfId="0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>
      <alignment horizontal="centerContinuous" vertical="top"/>
    </xf>
    <xf numFmtId="0" fontId="26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Continuous"/>
    </xf>
    <xf numFmtId="0" fontId="1" fillId="2" borderId="16" xfId="0" applyFont="1" applyFill="1" applyBorder="1" applyAlignment="1" applyProtection="1">
      <alignment horizontal="centerContinuous"/>
    </xf>
    <xf numFmtId="0" fontId="45" fillId="2" borderId="44" xfId="0" applyFont="1" applyFill="1" applyBorder="1" applyAlignment="1" applyProtection="1">
      <alignment horizontal="center" wrapText="1"/>
    </xf>
    <xf numFmtId="0" fontId="45" fillId="2" borderId="15" xfId="0" applyFont="1" applyFill="1" applyBorder="1" applyAlignment="1" applyProtection="1">
      <alignment horizontal="center" wrapText="1"/>
    </xf>
    <xf numFmtId="0" fontId="0" fillId="2" borderId="60" xfId="0" applyFill="1" applyBorder="1" applyAlignment="1" applyProtection="1"/>
    <xf numFmtId="0" fontId="49" fillId="2" borderId="0" xfId="0" quotePrefix="1" applyFont="1" applyFill="1" applyBorder="1" applyAlignment="1" applyProtection="1">
      <alignment horizontal="center" vertical="center"/>
    </xf>
    <xf numFmtId="0" fontId="45" fillId="2" borderId="45" xfId="0" applyFont="1" applyFill="1" applyBorder="1" applyAlignment="1" applyProtection="1">
      <alignment horizontal="center" wrapText="1"/>
    </xf>
    <xf numFmtId="0" fontId="45" fillId="2" borderId="20" xfId="0" applyFont="1" applyFill="1" applyBorder="1" applyAlignment="1" applyProtection="1">
      <alignment horizontal="center" wrapText="1"/>
    </xf>
    <xf numFmtId="0" fontId="0" fillId="2" borderId="45" xfId="0" applyFill="1" applyBorder="1" applyAlignment="1" applyProtection="1"/>
    <xf numFmtId="0" fontId="3" fillId="2" borderId="0" xfId="0" quotePrefix="1" applyFont="1" applyFill="1" applyBorder="1" applyAlignment="1" applyProtection="1">
      <alignment horizontal="centerContinuous" vertical="top"/>
    </xf>
    <xf numFmtId="0" fontId="47" fillId="2" borderId="1" xfId="0" applyFont="1" applyFill="1" applyBorder="1" applyAlignment="1" applyProtection="1">
      <alignment horizontal="center"/>
    </xf>
    <xf numFmtId="0" fontId="28" fillId="2" borderId="37" xfId="0" applyFont="1" applyFill="1" applyBorder="1" applyAlignment="1" applyProtection="1">
      <alignment horizontal="center" vertical="center"/>
    </xf>
    <xf numFmtId="0" fontId="28" fillId="2" borderId="2" xfId="0" applyFont="1" applyFill="1" applyBorder="1" applyAlignment="1" applyProtection="1">
      <alignment horizontal="center" vertical="center"/>
    </xf>
    <xf numFmtId="0" fontId="28" fillId="2" borderId="38" xfId="0" applyFont="1" applyFill="1" applyBorder="1" applyAlignment="1" applyProtection="1">
      <alignment horizontal="center" vertical="center"/>
    </xf>
    <xf numFmtId="0" fontId="7" fillId="2" borderId="3" xfId="0" quotePrefix="1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Continuous"/>
    </xf>
    <xf numFmtId="0" fontId="1" fillId="2" borderId="27" xfId="0" applyFont="1" applyFill="1" applyBorder="1" applyAlignment="1" applyProtection="1">
      <alignment horizontal="centerContinuous"/>
    </xf>
    <xf numFmtId="0" fontId="1" fillId="2" borderId="15" xfId="0" applyFont="1" applyFill="1" applyBorder="1" applyAlignment="1" applyProtection="1">
      <alignment horizontal="centerContinuous"/>
    </xf>
    <xf numFmtId="0" fontId="1" fillId="2" borderId="1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35" fillId="2" borderId="0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right"/>
    </xf>
    <xf numFmtId="0" fontId="7" fillId="2" borderId="3" xfId="0" quotePrefix="1" applyFont="1" applyFill="1" applyBorder="1" applyAlignment="1" applyProtection="1">
      <alignment horizontal="center"/>
    </xf>
    <xf numFmtId="0" fontId="32" fillId="2" borderId="78" xfId="0" applyFont="1" applyFill="1" applyBorder="1" applyAlignment="1" applyProtection="1">
      <alignment horizontal="right"/>
    </xf>
    <xf numFmtId="0" fontId="7" fillId="2" borderId="5" xfId="0" applyFont="1" applyFill="1" applyBorder="1" applyAlignment="1" applyProtection="1">
      <alignment horizontal="center"/>
    </xf>
    <xf numFmtId="11" fontId="27" fillId="2" borderId="0" xfId="0" applyNumberFormat="1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right"/>
    </xf>
    <xf numFmtId="0" fontId="32" fillId="2" borderId="5" xfId="0" quotePrefix="1" applyFont="1" applyFill="1" applyBorder="1" applyAlignment="1" applyProtection="1">
      <alignment horizontal="center"/>
    </xf>
    <xf numFmtId="0" fontId="7" fillId="2" borderId="74" xfId="0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7" fillId="2" borderId="16" xfId="0" quotePrefix="1" applyFont="1" applyFill="1" applyBorder="1" applyAlignment="1" applyProtection="1">
      <alignment horizontal="right" vertical="center"/>
    </xf>
    <xf numFmtId="0" fontId="7" fillId="2" borderId="16" xfId="0" applyFont="1" applyFill="1" applyBorder="1" applyAlignment="1" applyProtection="1">
      <alignment horizontal="right" vertical="center"/>
    </xf>
    <xf numFmtId="0" fontId="32" fillId="2" borderId="8" xfId="0" applyFont="1" applyFill="1" applyBorder="1" applyAlignment="1" applyProtection="1">
      <alignment horizontal="right"/>
    </xf>
    <xf numFmtId="0" fontId="0" fillId="2" borderId="45" xfId="0" applyFill="1" applyBorder="1" applyProtection="1"/>
    <xf numFmtId="0" fontId="7" fillId="2" borderId="11" xfId="0" applyFont="1" applyFill="1" applyBorder="1" applyAlignment="1" applyProtection="1">
      <alignment horizontal="left"/>
    </xf>
    <xf numFmtId="0" fontId="7" fillId="2" borderId="11" xfId="0" applyFont="1" applyFill="1" applyBorder="1" applyProtection="1"/>
    <xf numFmtId="0" fontId="7" fillId="2" borderId="20" xfId="0" quotePrefix="1" applyFont="1" applyFill="1" applyBorder="1" applyAlignment="1" applyProtection="1">
      <alignment horizontal="right" vertical="center"/>
    </xf>
    <xf numFmtId="0" fontId="32" fillId="2" borderId="80" xfId="0" applyFont="1" applyFill="1" applyBorder="1" applyAlignment="1" applyProtection="1">
      <alignment horizontal="right"/>
    </xf>
    <xf numFmtId="0" fontId="0" fillId="2" borderId="37" xfId="0" applyFill="1" applyBorder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7" fillId="2" borderId="1" xfId="0" quotePrefix="1" applyFont="1" applyFill="1" applyBorder="1" applyAlignment="1" applyProtection="1">
      <alignment horizontal="left"/>
    </xf>
    <xf numFmtId="0" fontId="7" fillId="2" borderId="27" xfId="0" quotePrefix="1" applyFont="1" applyFill="1" applyBorder="1" applyAlignment="1" applyProtection="1"/>
    <xf numFmtId="0" fontId="7" fillId="2" borderId="27" xfId="0" applyFont="1" applyFill="1" applyBorder="1" applyProtection="1"/>
    <xf numFmtId="0" fontId="7" fillId="2" borderId="15" xfId="0" quotePrefix="1" applyFont="1" applyFill="1" applyBorder="1" applyAlignment="1" applyProtection="1">
      <alignment horizontal="right" wrapText="1"/>
    </xf>
    <xf numFmtId="0" fontId="7" fillId="2" borderId="16" xfId="0" applyFont="1" applyFill="1" applyBorder="1" applyAlignment="1" applyProtection="1">
      <alignment horizontal="right" wrapText="1"/>
    </xf>
    <xf numFmtId="43" fontId="13" fillId="2" borderId="8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11" xfId="0" quotePrefix="1" applyFont="1" applyFill="1" applyBorder="1" applyAlignment="1" applyProtection="1">
      <alignment horizontal="left"/>
    </xf>
    <xf numFmtId="0" fontId="7" fillId="2" borderId="16" xfId="0" quotePrefix="1" applyFont="1" applyFill="1" applyBorder="1" applyAlignment="1" applyProtection="1">
      <alignment horizontal="right" wrapText="1"/>
    </xf>
    <xf numFmtId="0" fontId="7" fillId="2" borderId="5" xfId="0" quotePrefix="1" applyFont="1" applyFill="1" applyBorder="1" applyAlignment="1" applyProtection="1">
      <alignment horizontal="center"/>
    </xf>
    <xf numFmtId="0" fontId="4" fillId="2" borderId="4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7" fillId="2" borderId="60" xfId="0" quotePrefix="1" applyFont="1" applyFill="1" applyBorder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7" fillId="2" borderId="5" xfId="0" quotePrefix="1" applyFont="1" applyFill="1" applyBorder="1" applyAlignment="1" applyProtection="1">
      <alignment horizontal="left"/>
    </xf>
    <xf numFmtId="43" fontId="7" fillId="2" borderId="8" xfId="0" quotePrefix="1" applyNumberFormat="1" applyFont="1" applyFill="1" applyBorder="1" applyAlignment="1" applyProtection="1">
      <alignment horizontal="center"/>
    </xf>
    <xf numFmtId="0" fontId="4" fillId="2" borderId="60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7" fillId="2" borderId="45" xfId="0" quotePrefix="1" applyFont="1" applyFill="1" applyBorder="1" applyAlignment="1" applyProtection="1">
      <alignment horizontal="left"/>
    </xf>
    <xf numFmtId="0" fontId="7" fillId="2" borderId="20" xfId="0" quotePrefix="1" applyFont="1" applyFill="1" applyBorder="1" applyAlignment="1" applyProtection="1">
      <alignment horizontal="right"/>
    </xf>
    <xf numFmtId="0" fontId="7" fillId="2" borderId="4" xfId="0" quotePrefix="1" applyFont="1" applyFill="1" applyBorder="1" applyAlignment="1" applyProtection="1">
      <alignment horizontal="left"/>
    </xf>
    <xf numFmtId="43" fontId="7" fillId="2" borderId="79" xfId="0" quotePrefix="1" applyNumberFormat="1" applyFont="1" applyFill="1" applyBorder="1" applyAlignment="1" applyProtection="1">
      <alignment horizontal="center"/>
    </xf>
    <xf numFmtId="0" fontId="7" fillId="2" borderId="0" xfId="0" quotePrefix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right"/>
    </xf>
    <xf numFmtId="2" fontId="7" fillId="2" borderId="8" xfId="0" applyNumberFormat="1" applyFont="1" applyFill="1" applyBorder="1" applyAlignment="1" applyProtection="1">
      <alignment horizontal="right"/>
    </xf>
    <xf numFmtId="0" fontId="8" fillId="2" borderId="5" xfId="0" quotePrefix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/>
    </xf>
    <xf numFmtId="0" fontId="29" fillId="2" borderId="8" xfId="0" applyFont="1" applyFill="1" applyBorder="1" applyAlignment="1" applyProtection="1">
      <alignment horizontal="right" vertical="center" wrapText="1"/>
    </xf>
    <xf numFmtId="0" fontId="0" fillId="2" borderId="5" xfId="0" applyFill="1" applyBorder="1" applyProtection="1"/>
    <xf numFmtId="0" fontId="0" fillId="2" borderId="8" xfId="0" applyFill="1" applyBorder="1" applyAlignment="1" applyProtection="1">
      <alignment horizontal="right"/>
    </xf>
    <xf numFmtId="0" fontId="7" fillId="2" borderId="80" xfId="0" applyFont="1" applyFill="1" applyBorder="1" applyAlignment="1" applyProtection="1">
      <alignment horizontal="right" vertical="center" wrapText="1"/>
    </xf>
    <xf numFmtId="0" fontId="7" fillId="2" borderId="44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vertical="center"/>
    </xf>
    <xf numFmtId="0" fontId="9" fillId="2" borderId="27" xfId="0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vertical="center"/>
    </xf>
    <xf numFmtId="0" fontId="29" fillId="2" borderId="78" xfId="0" applyFont="1" applyFill="1" applyBorder="1" applyAlignment="1" applyProtection="1">
      <alignment horizontal="right" vertical="center" wrapText="1"/>
    </xf>
    <xf numFmtId="0" fontId="32" fillId="2" borderId="8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right"/>
    </xf>
    <xf numFmtId="0" fontId="29" fillId="2" borderId="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/>
    <xf numFmtId="0" fontId="7" fillId="2" borderId="0" xfId="0" quotePrefix="1" applyFont="1" applyFill="1" applyBorder="1" applyAlignment="1" applyProtection="1">
      <alignment horizontal="center"/>
    </xf>
    <xf numFmtId="0" fontId="7" fillId="2" borderId="0" xfId="0" quotePrefix="1" applyFont="1" applyFill="1" applyBorder="1" applyAlignment="1" applyProtection="1">
      <alignment horizontal="center"/>
    </xf>
    <xf numFmtId="166" fontId="32" fillId="2" borderId="8" xfId="0" applyNumberFormat="1" applyFont="1" applyFill="1" applyBorder="1" applyAlignment="1" applyProtection="1">
      <alignment horizontal="right"/>
    </xf>
    <xf numFmtId="0" fontId="0" fillId="2" borderId="8" xfId="0" applyNumberFormat="1" applyFill="1" applyBorder="1" applyAlignment="1" applyProtection="1">
      <alignment horizontal="right"/>
    </xf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right"/>
    </xf>
    <xf numFmtId="0" fontId="7" fillId="2" borderId="4" xfId="0" quotePrefix="1" applyFont="1" applyFill="1" applyBorder="1" applyAlignment="1" applyProtection="1">
      <alignment horizontal="center"/>
    </xf>
    <xf numFmtId="0" fontId="33" fillId="2" borderId="79" xfId="0" applyNumberFormat="1" applyFont="1" applyFill="1" applyBorder="1" applyAlignment="1" applyProtection="1">
      <alignment horizontal="right" vertical="center"/>
    </xf>
    <xf numFmtId="0" fontId="41" fillId="2" borderId="0" xfId="0" applyFont="1" applyFill="1" applyBorder="1" applyAlignment="1" applyProtection="1">
      <alignment horizontal="right"/>
    </xf>
    <xf numFmtId="0" fontId="33" fillId="2" borderId="74" xfId="0" applyNumberFormat="1" applyFont="1" applyFill="1" applyBorder="1" applyAlignment="1" applyProtection="1">
      <alignment horizontal="right" vertical="center"/>
    </xf>
    <xf numFmtId="43" fontId="33" fillId="2" borderId="8" xfId="0" applyNumberFormat="1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horizontal="right"/>
    </xf>
    <xf numFmtId="43" fontId="46" fillId="2" borderId="8" xfId="0" applyNumberFormat="1" applyFont="1" applyFill="1" applyBorder="1" applyAlignment="1" applyProtection="1">
      <alignment horizontal="right" vertical="center"/>
    </xf>
    <xf numFmtId="43" fontId="0" fillId="2" borderId="8" xfId="0" applyNumberFormat="1" applyFont="1" applyFill="1" applyBorder="1" applyAlignment="1" applyProtection="1">
      <alignment horizontal="right" vertical="center"/>
    </xf>
    <xf numFmtId="43" fontId="32" fillId="2" borderId="8" xfId="0" applyNumberFormat="1" applyFont="1" applyFill="1" applyBorder="1" applyAlignment="1" applyProtection="1">
      <alignment horizontal="right" vertical="center"/>
    </xf>
    <xf numFmtId="0" fontId="9" fillId="2" borderId="0" xfId="0" quotePrefix="1" applyFont="1" applyFill="1" applyBorder="1" applyAlignment="1" applyProtection="1">
      <alignment horizontal="right"/>
    </xf>
    <xf numFmtId="43" fontId="29" fillId="2" borderId="8" xfId="0" applyNumberFormat="1" applyFont="1" applyFill="1" applyBorder="1" applyAlignment="1" applyProtection="1">
      <alignment horizontal="right" vertical="center"/>
    </xf>
    <xf numFmtId="43" fontId="32" fillId="2" borderId="5" xfId="0" applyNumberFormat="1" applyFont="1" applyFill="1" applyBorder="1" applyAlignment="1" applyProtection="1">
      <alignment horizontal="right"/>
    </xf>
    <xf numFmtId="0" fontId="29" fillId="2" borderId="11" xfId="0" quotePrefix="1" applyFont="1" applyFill="1" applyBorder="1" applyAlignment="1" applyProtection="1">
      <alignment horizontal="right"/>
    </xf>
    <xf numFmtId="0" fontId="7" fillId="2" borderId="11" xfId="0" quotePrefix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right" vertical="center" wrapText="1"/>
    </xf>
    <xf numFmtId="2" fontId="7" fillId="2" borderId="0" xfId="0" applyNumberFormat="1" applyFont="1" applyFill="1" applyBorder="1" applyAlignment="1" applyProtection="1">
      <alignment horizontal="center"/>
    </xf>
    <xf numFmtId="0" fontId="7" fillId="2" borderId="27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Continuous" vertical="center" wrapText="1"/>
    </xf>
    <xf numFmtId="0" fontId="7" fillId="2" borderId="27" xfId="0" quotePrefix="1" applyFont="1" applyFill="1" applyBorder="1" applyAlignment="1" applyProtection="1">
      <alignment horizontal="left"/>
    </xf>
    <xf numFmtId="0" fontId="7" fillId="2" borderId="27" xfId="0" quotePrefix="1" applyFont="1" applyFill="1" applyBorder="1" applyAlignment="1" applyProtection="1">
      <alignment horizontal="right" wrapText="1"/>
    </xf>
    <xf numFmtId="0" fontId="7" fillId="2" borderId="0" xfId="0" applyFont="1" applyFill="1" applyBorder="1" applyAlignment="1" applyProtection="1">
      <alignment horizontal="right" wrapText="1"/>
    </xf>
    <xf numFmtId="43" fontId="13" fillId="2" borderId="8" xfId="0" applyNumberFormat="1" applyFont="1" applyFill="1" applyBorder="1" applyAlignment="1" applyProtection="1">
      <alignment horizontal="right"/>
    </xf>
    <xf numFmtId="43" fontId="29" fillId="2" borderId="8" xfId="0" applyNumberFormat="1" applyFont="1" applyFill="1" applyBorder="1" applyAlignment="1" applyProtection="1">
      <alignment horizontal="right"/>
    </xf>
    <xf numFmtId="0" fontId="7" fillId="2" borderId="0" xfId="0" quotePrefix="1" applyFont="1" applyFill="1" applyBorder="1" applyAlignment="1" applyProtection="1">
      <alignment horizontal="right" wrapText="1"/>
    </xf>
    <xf numFmtId="0" fontId="7" fillId="2" borderId="0" xfId="0" applyFont="1" applyFill="1" applyBorder="1" applyAlignment="1" applyProtection="1">
      <alignment horizontal="centerContinuous"/>
    </xf>
    <xf numFmtId="43" fontId="7" fillId="2" borderId="8" xfId="0" quotePrefix="1" applyNumberFormat="1" applyFont="1" applyFill="1" applyBorder="1" applyAlignment="1" applyProtection="1">
      <alignment horizontal="right"/>
    </xf>
    <xf numFmtId="0" fontId="7" fillId="2" borderId="11" xfId="0" quotePrefix="1" applyFont="1" applyFill="1" applyBorder="1" applyAlignment="1" applyProtection="1">
      <alignment horizontal="centerContinuous"/>
    </xf>
    <xf numFmtId="43" fontId="7" fillId="2" borderId="79" xfId="0" quotePrefix="1" applyNumberFormat="1" applyFont="1" applyFill="1" applyBorder="1" applyAlignment="1" applyProtection="1">
      <alignment horizontal="right"/>
    </xf>
    <xf numFmtId="0" fontId="34" fillId="2" borderId="1" xfId="0" applyFont="1" applyFill="1" applyBorder="1" applyAlignment="1" applyProtection="1">
      <alignment horizontal="centerContinuous" vertical="top"/>
      <protection locked="0"/>
    </xf>
    <xf numFmtId="0" fontId="34" fillId="2" borderId="1" xfId="0" applyFont="1" applyFill="1" applyBorder="1" applyAlignment="1" applyProtection="1">
      <alignment horizontal="center"/>
      <protection locked="0"/>
    </xf>
    <xf numFmtId="0" fontId="34" fillId="2" borderId="1" xfId="0" applyFont="1" applyFill="1" applyBorder="1" applyAlignment="1" applyProtection="1">
      <alignment horizontal="centerContinuous"/>
      <protection locked="0"/>
    </xf>
    <xf numFmtId="0" fontId="30" fillId="2" borderId="0" xfId="0" applyFont="1" applyFill="1" applyBorder="1" applyAlignment="1" applyProtection="1">
      <alignment horizontal="centerContinuous"/>
      <protection locked="0"/>
    </xf>
  </cellXfs>
  <cellStyles count="4">
    <cellStyle name="Comma 2" xfId="3"/>
    <cellStyle name="Normal" xfId="0" builtinId="0"/>
    <cellStyle name="Normal 2" xfId="2"/>
    <cellStyle name="ปกติ_Mbea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38</xdr:row>
      <xdr:rowOff>47625</xdr:rowOff>
    </xdr:from>
    <xdr:to>
      <xdr:col>4</xdr:col>
      <xdr:colOff>885825</xdr:colOff>
      <xdr:row>38</xdr:row>
      <xdr:rowOff>676275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524250" y="7134225"/>
          <a:ext cx="676275" cy="628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257175</xdr:colOff>
      <xdr:row>38</xdr:row>
      <xdr:rowOff>114300</xdr:rowOff>
    </xdr:from>
    <xdr:to>
      <xdr:col>4</xdr:col>
      <xdr:colOff>847725</xdr:colOff>
      <xdr:row>38</xdr:row>
      <xdr:rowOff>666750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628900" y="7639050"/>
          <a:ext cx="590550" cy="552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209550</xdr:colOff>
      <xdr:row>38</xdr:row>
      <xdr:rowOff>76200</xdr:rowOff>
    </xdr:from>
    <xdr:to>
      <xdr:col>5</xdr:col>
      <xdr:colOff>885825</xdr:colOff>
      <xdr:row>38</xdr:row>
      <xdr:rowOff>704850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3657600" y="7600950"/>
          <a:ext cx="676275" cy="628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38</xdr:row>
      <xdr:rowOff>114300</xdr:rowOff>
    </xdr:from>
    <xdr:to>
      <xdr:col>5</xdr:col>
      <xdr:colOff>847725</xdr:colOff>
      <xdr:row>38</xdr:row>
      <xdr:rowOff>666750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3705225" y="7639050"/>
          <a:ext cx="590550" cy="552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209550</xdr:colOff>
      <xdr:row>38</xdr:row>
      <xdr:rowOff>76200</xdr:rowOff>
    </xdr:from>
    <xdr:to>
      <xdr:col>6</xdr:col>
      <xdr:colOff>885825</xdr:colOff>
      <xdr:row>38</xdr:row>
      <xdr:rowOff>704850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4733925" y="7600950"/>
          <a:ext cx="676275" cy="628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257175</xdr:colOff>
      <xdr:row>38</xdr:row>
      <xdr:rowOff>114300</xdr:rowOff>
    </xdr:from>
    <xdr:to>
      <xdr:col>6</xdr:col>
      <xdr:colOff>847725</xdr:colOff>
      <xdr:row>38</xdr:row>
      <xdr:rowOff>666750</xdr:rowOff>
    </xdr:to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4781550" y="7639050"/>
          <a:ext cx="590550" cy="552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209550</xdr:colOff>
      <xdr:row>38</xdr:row>
      <xdr:rowOff>76200</xdr:rowOff>
    </xdr:from>
    <xdr:to>
      <xdr:col>6</xdr:col>
      <xdr:colOff>885825</xdr:colOff>
      <xdr:row>38</xdr:row>
      <xdr:rowOff>704850</xdr:rowOff>
    </xdr:to>
    <xdr:sp macro="" textlink="">
      <xdr:nvSpPr>
        <xdr:cNvPr id="8" name="Rectangle 9"/>
        <xdr:cNvSpPr>
          <a:spLocks noChangeArrowheads="1"/>
        </xdr:cNvSpPr>
      </xdr:nvSpPr>
      <xdr:spPr bwMode="auto">
        <a:xfrm>
          <a:off x="4733925" y="7600950"/>
          <a:ext cx="676275" cy="628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257175</xdr:colOff>
      <xdr:row>38</xdr:row>
      <xdr:rowOff>114300</xdr:rowOff>
    </xdr:from>
    <xdr:to>
      <xdr:col>6</xdr:col>
      <xdr:colOff>847725</xdr:colOff>
      <xdr:row>38</xdr:row>
      <xdr:rowOff>666750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4781550" y="7639050"/>
          <a:ext cx="590550" cy="552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209550</xdr:colOff>
      <xdr:row>38</xdr:row>
      <xdr:rowOff>76200</xdr:rowOff>
    </xdr:from>
    <xdr:to>
      <xdr:col>6</xdr:col>
      <xdr:colOff>885825</xdr:colOff>
      <xdr:row>38</xdr:row>
      <xdr:rowOff>704850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4733925" y="7600950"/>
          <a:ext cx="676275" cy="628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257175</xdr:colOff>
      <xdr:row>38</xdr:row>
      <xdr:rowOff>114300</xdr:rowOff>
    </xdr:from>
    <xdr:to>
      <xdr:col>6</xdr:col>
      <xdr:colOff>847725</xdr:colOff>
      <xdr:row>38</xdr:row>
      <xdr:rowOff>666750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4781550" y="7639050"/>
          <a:ext cx="590550" cy="552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209550</xdr:colOff>
      <xdr:row>38</xdr:row>
      <xdr:rowOff>76200</xdr:rowOff>
    </xdr:from>
    <xdr:to>
      <xdr:col>5</xdr:col>
      <xdr:colOff>885825</xdr:colOff>
      <xdr:row>38</xdr:row>
      <xdr:rowOff>704850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3657600" y="7600950"/>
          <a:ext cx="676275" cy="628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38</xdr:row>
      <xdr:rowOff>114300</xdr:rowOff>
    </xdr:from>
    <xdr:to>
      <xdr:col>5</xdr:col>
      <xdr:colOff>847725</xdr:colOff>
      <xdr:row>38</xdr:row>
      <xdr:rowOff>666750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3705225" y="7639050"/>
          <a:ext cx="590550" cy="552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209550</xdr:colOff>
      <xdr:row>38</xdr:row>
      <xdr:rowOff>76200</xdr:rowOff>
    </xdr:from>
    <xdr:to>
      <xdr:col>6</xdr:col>
      <xdr:colOff>885825</xdr:colOff>
      <xdr:row>38</xdr:row>
      <xdr:rowOff>704850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4733925" y="7600950"/>
          <a:ext cx="676275" cy="628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257175</xdr:colOff>
      <xdr:row>38</xdr:row>
      <xdr:rowOff>114300</xdr:rowOff>
    </xdr:from>
    <xdr:to>
      <xdr:col>6</xdr:col>
      <xdr:colOff>847725</xdr:colOff>
      <xdr:row>38</xdr:row>
      <xdr:rowOff>666750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4781550" y="7639050"/>
          <a:ext cx="590550" cy="552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209550</xdr:colOff>
      <xdr:row>38</xdr:row>
      <xdr:rowOff>76200</xdr:rowOff>
    </xdr:from>
    <xdr:to>
      <xdr:col>7</xdr:col>
      <xdr:colOff>885825</xdr:colOff>
      <xdr:row>38</xdr:row>
      <xdr:rowOff>704850</xdr:rowOff>
    </xdr:to>
    <xdr:sp macro="" textlink="">
      <xdr:nvSpPr>
        <xdr:cNvPr id="16" name="Rectangle 7"/>
        <xdr:cNvSpPr>
          <a:spLocks noChangeArrowheads="1"/>
        </xdr:cNvSpPr>
      </xdr:nvSpPr>
      <xdr:spPr bwMode="auto">
        <a:xfrm>
          <a:off x="5619750" y="7534275"/>
          <a:ext cx="676275" cy="628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38</xdr:row>
      <xdr:rowOff>114300</xdr:rowOff>
    </xdr:from>
    <xdr:to>
      <xdr:col>7</xdr:col>
      <xdr:colOff>847725</xdr:colOff>
      <xdr:row>38</xdr:row>
      <xdr:rowOff>666750</xdr:rowOff>
    </xdr:to>
    <xdr:sp macro="" textlink="">
      <xdr:nvSpPr>
        <xdr:cNvPr id="17" name="Rectangle 8"/>
        <xdr:cNvSpPr>
          <a:spLocks noChangeArrowheads="1"/>
        </xdr:cNvSpPr>
      </xdr:nvSpPr>
      <xdr:spPr bwMode="auto">
        <a:xfrm>
          <a:off x="5667375" y="7572375"/>
          <a:ext cx="590550" cy="552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209550</xdr:colOff>
      <xdr:row>38</xdr:row>
      <xdr:rowOff>76200</xdr:rowOff>
    </xdr:from>
    <xdr:to>
      <xdr:col>7</xdr:col>
      <xdr:colOff>885825</xdr:colOff>
      <xdr:row>38</xdr:row>
      <xdr:rowOff>704850</xdr:rowOff>
    </xdr:to>
    <xdr:sp macro="" textlink="">
      <xdr:nvSpPr>
        <xdr:cNvPr id="18" name="Rectangle 9"/>
        <xdr:cNvSpPr>
          <a:spLocks noChangeArrowheads="1"/>
        </xdr:cNvSpPr>
      </xdr:nvSpPr>
      <xdr:spPr bwMode="auto">
        <a:xfrm>
          <a:off x="5619750" y="7534275"/>
          <a:ext cx="676275" cy="628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38</xdr:row>
      <xdr:rowOff>114300</xdr:rowOff>
    </xdr:from>
    <xdr:to>
      <xdr:col>7</xdr:col>
      <xdr:colOff>847725</xdr:colOff>
      <xdr:row>38</xdr:row>
      <xdr:rowOff>666750</xdr:rowOff>
    </xdr:to>
    <xdr:sp macro="" textlink="">
      <xdr:nvSpPr>
        <xdr:cNvPr id="19" name="Rectangle 10"/>
        <xdr:cNvSpPr>
          <a:spLocks noChangeArrowheads="1"/>
        </xdr:cNvSpPr>
      </xdr:nvSpPr>
      <xdr:spPr bwMode="auto">
        <a:xfrm>
          <a:off x="5667375" y="7572375"/>
          <a:ext cx="590550" cy="552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209550</xdr:colOff>
      <xdr:row>38</xdr:row>
      <xdr:rowOff>76200</xdr:rowOff>
    </xdr:from>
    <xdr:to>
      <xdr:col>7</xdr:col>
      <xdr:colOff>885825</xdr:colOff>
      <xdr:row>38</xdr:row>
      <xdr:rowOff>704850</xdr:rowOff>
    </xdr:to>
    <xdr:sp macro="" textlink="">
      <xdr:nvSpPr>
        <xdr:cNvPr id="20" name="Rectangle 11"/>
        <xdr:cNvSpPr>
          <a:spLocks noChangeArrowheads="1"/>
        </xdr:cNvSpPr>
      </xdr:nvSpPr>
      <xdr:spPr bwMode="auto">
        <a:xfrm>
          <a:off x="5619750" y="7534275"/>
          <a:ext cx="676275" cy="628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38</xdr:row>
      <xdr:rowOff>114300</xdr:rowOff>
    </xdr:from>
    <xdr:to>
      <xdr:col>7</xdr:col>
      <xdr:colOff>847725</xdr:colOff>
      <xdr:row>38</xdr:row>
      <xdr:rowOff>666750</xdr:rowOff>
    </xdr:to>
    <xdr:sp macro="" textlink="">
      <xdr:nvSpPr>
        <xdr:cNvPr id="21" name="Rectangle 12"/>
        <xdr:cNvSpPr>
          <a:spLocks noChangeArrowheads="1"/>
        </xdr:cNvSpPr>
      </xdr:nvSpPr>
      <xdr:spPr bwMode="auto">
        <a:xfrm>
          <a:off x="5667375" y="7572375"/>
          <a:ext cx="590550" cy="552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209550</xdr:colOff>
      <xdr:row>38</xdr:row>
      <xdr:rowOff>76200</xdr:rowOff>
    </xdr:from>
    <xdr:to>
      <xdr:col>7</xdr:col>
      <xdr:colOff>885825</xdr:colOff>
      <xdr:row>38</xdr:row>
      <xdr:rowOff>704850</xdr:rowOff>
    </xdr:to>
    <xdr:sp macro="" textlink="">
      <xdr:nvSpPr>
        <xdr:cNvPr id="22" name="Rectangle 15"/>
        <xdr:cNvSpPr>
          <a:spLocks noChangeArrowheads="1"/>
        </xdr:cNvSpPr>
      </xdr:nvSpPr>
      <xdr:spPr bwMode="auto">
        <a:xfrm>
          <a:off x="5619750" y="7534275"/>
          <a:ext cx="676275" cy="628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38</xdr:row>
      <xdr:rowOff>114300</xdr:rowOff>
    </xdr:from>
    <xdr:to>
      <xdr:col>7</xdr:col>
      <xdr:colOff>847725</xdr:colOff>
      <xdr:row>38</xdr:row>
      <xdr:rowOff>666750</xdr:rowOff>
    </xdr:to>
    <xdr:sp macro="" textlink="">
      <xdr:nvSpPr>
        <xdr:cNvPr id="23" name="Rectangle 16"/>
        <xdr:cNvSpPr>
          <a:spLocks noChangeArrowheads="1"/>
        </xdr:cNvSpPr>
      </xdr:nvSpPr>
      <xdr:spPr bwMode="auto">
        <a:xfrm>
          <a:off x="5667375" y="7572375"/>
          <a:ext cx="590550" cy="552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56</xdr:row>
      <xdr:rowOff>0</xdr:rowOff>
    </xdr:from>
    <xdr:to>
      <xdr:col>51</xdr:col>
      <xdr:colOff>0</xdr:colOff>
      <xdr:row>82</xdr:row>
      <xdr:rowOff>38100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1590675" y="4410075"/>
          <a:ext cx="3000375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57</xdr:row>
      <xdr:rowOff>57150</xdr:rowOff>
    </xdr:from>
    <xdr:to>
      <xdr:col>48</xdr:col>
      <xdr:colOff>57150</xdr:colOff>
      <xdr:row>82</xdr:row>
      <xdr:rowOff>57150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1590675" y="4543425"/>
          <a:ext cx="2800350" cy="1905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38100</xdr:rowOff>
    </xdr:from>
    <xdr:to>
      <xdr:col>45</xdr:col>
      <xdr:colOff>76200</xdr:colOff>
      <xdr:row>82</xdr:row>
      <xdr:rowOff>28575</xdr:rowOff>
    </xdr:to>
    <xdr:sp macro="" textlink="">
      <xdr:nvSpPr>
        <xdr:cNvPr id="92" name="Line 3"/>
        <xdr:cNvSpPr>
          <a:spLocks noChangeShapeType="1"/>
        </xdr:cNvSpPr>
      </xdr:nvSpPr>
      <xdr:spPr bwMode="auto">
        <a:xfrm>
          <a:off x="1590675" y="4676775"/>
          <a:ext cx="2562225" cy="174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61</xdr:row>
      <xdr:rowOff>19050</xdr:rowOff>
    </xdr:from>
    <xdr:to>
      <xdr:col>43</xdr:col>
      <xdr:colOff>57150</xdr:colOff>
      <xdr:row>82</xdr:row>
      <xdr:rowOff>28575</xdr:rowOff>
    </xdr:to>
    <xdr:sp macro="" textlink="">
      <xdr:nvSpPr>
        <xdr:cNvPr id="93" name="Line 4"/>
        <xdr:cNvSpPr>
          <a:spLocks noChangeShapeType="1"/>
        </xdr:cNvSpPr>
      </xdr:nvSpPr>
      <xdr:spPr bwMode="auto">
        <a:xfrm>
          <a:off x="1590675" y="4810125"/>
          <a:ext cx="2371725" cy="1609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41</xdr:col>
      <xdr:colOff>0</xdr:colOff>
      <xdr:row>82</xdr:row>
      <xdr:rowOff>9525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1590675" y="4943475"/>
          <a:ext cx="2143125" cy="1457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64</xdr:row>
      <xdr:rowOff>57150</xdr:rowOff>
    </xdr:from>
    <xdr:to>
      <xdr:col>38</xdr:col>
      <xdr:colOff>66675</xdr:colOff>
      <xdr:row>82</xdr:row>
      <xdr:rowOff>9525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1590675" y="5076825"/>
          <a:ext cx="1952625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66</xdr:row>
      <xdr:rowOff>28575</xdr:rowOff>
    </xdr:from>
    <xdr:to>
      <xdr:col>36</xdr:col>
      <xdr:colOff>28575</xdr:colOff>
      <xdr:row>81</xdr:row>
      <xdr:rowOff>66675</xdr:rowOff>
    </xdr:to>
    <xdr:sp macro="" textlink="">
      <xdr:nvSpPr>
        <xdr:cNvPr id="96" name="Line 7"/>
        <xdr:cNvSpPr>
          <a:spLocks noChangeShapeType="1"/>
        </xdr:cNvSpPr>
      </xdr:nvSpPr>
      <xdr:spPr bwMode="auto">
        <a:xfrm>
          <a:off x="1590675" y="5200650"/>
          <a:ext cx="1743075" cy="1181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68</xdr:row>
      <xdr:rowOff>0</xdr:rowOff>
    </xdr:from>
    <xdr:to>
      <xdr:col>33</xdr:col>
      <xdr:colOff>76200</xdr:colOff>
      <xdr:row>81</xdr:row>
      <xdr:rowOff>57150</xdr:rowOff>
    </xdr:to>
    <xdr:sp macro="" textlink="">
      <xdr:nvSpPr>
        <xdr:cNvPr id="97" name="Line 8"/>
        <xdr:cNvSpPr>
          <a:spLocks noChangeShapeType="1"/>
        </xdr:cNvSpPr>
      </xdr:nvSpPr>
      <xdr:spPr bwMode="auto">
        <a:xfrm>
          <a:off x="1590675" y="5324475"/>
          <a:ext cx="1533525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69</xdr:row>
      <xdr:rowOff>57150</xdr:rowOff>
    </xdr:from>
    <xdr:to>
      <xdr:col>31</xdr:col>
      <xdr:colOff>57150</xdr:colOff>
      <xdr:row>81</xdr:row>
      <xdr:rowOff>47625</xdr:rowOff>
    </xdr:to>
    <xdr:sp macro="" textlink="">
      <xdr:nvSpPr>
        <xdr:cNvPr id="98" name="Line 9"/>
        <xdr:cNvSpPr>
          <a:spLocks noChangeShapeType="1"/>
        </xdr:cNvSpPr>
      </xdr:nvSpPr>
      <xdr:spPr bwMode="auto">
        <a:xfrm>
          <a:off x="1590675" y="5457825"/>
          <a:ext cx="1343025" cy="904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71</xdr:row>
      <xdr:rowOff>28575</xdr:rowOff>
    </xdr:from>
    <xdr:to>
      <xdr:col>29</xdr:col>
      <xdr:colOff>28575</xdr:colOff>
      <xdr:row>81</xdr:row>
      <xdr:rowOff>38100</xdr:rowOff>
    </xdr:to>
    <xdr:sp macro="" textlink="">
      <xdr:nvSpPr>
        <xdr:cNvPr id="99" name="Line 10"/>
        <xdr:cNvSpPr>
          <a:spLocks noChangeShapeType="1"/>
        </xdr:cNvSpPr>
      </xdr:nvSpPr>
      <xdr:spPr bwMode="auto">
        <a:xfrm>
          <a:off x="1590675" y="5581650"/>
          <a:ext cx="114300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73</xdr:row>
      <xdr:rowOff>0</xdr:rowOff>
    </xdr:from>
    <xdr:to>
      <xdr:col>27</xdr:col>
      <xdr:colOff>19050</xdr:colOff>
      <xdr:row>81</xdr:row>
      <xdr:rowOff>38100</xdr:rowOff>
    </xdr:to>
    <xdr:sp macro="" textlink="">
      <xdr:nvSpPr>
        <xdr:cNvPr id="100" name="Line 11"/>
        <xdr:cNvSpPr>
          <a:spLocks noChangeShapeType="1"/>
        </xdr:cNvSpPr>
      </xdr:nvSpPr>
      <xdr:spPr bwMode="auto">
        <a:xfrm>
          <a:off x="1590675" y="5705475"/>
          <a:ext cx="9620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85</xdr:row>
      <xdr:rowOff>0</xdr:rowOff>
    </xdr:from>
    <xdr:to>
      <xdr:col>25</xdr:col>
      <xdr:colOff>0</xdr:colOff>
      <xdr:row>90</xdr:row>
      <xdr:rowOff>0</xdr:rowOff>
    </xdr:to>
    <xdr:sp macro="" textlink="">
      <xdr:nvSpPr>
        <xdr:cNvPr id="101" name="Line 12"/>
        <xdr:cNvSpPr>
          <a:spLocks noChangeShapeType="1"/>
        </xdr:cNvSpPr>
      </xdr:nvSpPr>
      <xdr:spPr bwMode="auto">
        <a:xfrm flipH="1">
          <a:off x="1590675" y="6619875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38100</xdr:colOff>
      <xdr:row>85</xdr:row>
      <xdr:rowOff>9525</xdr:rowOff>
    </xdr:from>
    <xdr:to>
      <xdr:col>27</xdr:col>
      <xdr:colOff>9525</xdr:colOff>
      <xdr:row>90</xdr:row>
      <xdr:rowOff>0</xdr:rowOff>
    </xdr:to>
    <xdr:sp macro="" textlink="">
      <xdr:nvSpPr>
        <xdr:cNvPr id="102" name="Line 13"/>
        <xdr:cNvSpPr>
          <a:spLocks noChangeShapeType="1"/>
        </xdr:cNvSpPr>
      </xdr:nvSpPr>
      <xdr:spPr bwMode="auto">
        <a:xfrm flipV="1">
          <a:off x="1800225" y="6629400"/>
          <a:ext cx="74295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85</xdr:row>
      <xdr:rowOff>19050</xdr:rowOff>
    </xdr:from>
    <xdr:to>
      <xdr:col>29</xdr:col>
      <xdr:colOff>38100</xdr:colOff>
      <xdr:row>90</xdr:row>
      <xdr:rowOff>0</xdr:rowOff>
    </xdr:to>
    <xdr:sp macro="" textlink="">
      <xdr:nvSpPr>
        <xdr:cNvPr id="103" name="Line 14"/>
        <xdr:cNvSpPr>
          <a:spLocks noChangeShapeType="1"/>
        </xdr:cNvSpPr>
      </xdr:nvSpPr>
      <xdr:spPr bwMode="auto">
        <a:xfrm flipV="1">
          <a:off x="2019300" y="6638925"/>
          <a:ext cx="7239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38100</xdr:colOff>
      <xdr:row>85</xdr:row>
      <xdr:rowOff>19050</xdr:rowOff>
    </xdr:from>
    <xdr:to>
      <xdr:col>31</xdr:col>
      <xdr:colOff>76200</xdr:colOff>
      <xdr:row>90</xdr:row>
      <xdr:rowOff>0</xdr:rowOff>
    </xdr:to>
    <xdr:sp macro="" textlink="">
      <xdr:nvSpPr>
        <xdr:cNvPr id="104" name="Line 15"/>
        <xdr:cNvSpPr>
          <a:spLocks noChangeShapeType="1"/>
        </xdr:cNvSpPr>
      </xdr:nvSpPr>
      <xdr:spPr bwMode="auto">
        <a:xfrm flipV="1">
          <a:off x="2228850" y="6638925"/>
          <a:ext cx="7239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85</xdr:row>
      <xdr:rowOff>38100</xdr:rowOff>
    </xdr:from>
    <xdr:to>
      <xdr:col>33</xdr:col>
      <xdr:colOff>76200</xdr:colOff>
      <xdr:row>90</xdr:row>
      <xdr:rowOff>0</xdr:rowOff>
    </xdr:to>
    <xdr:sp macro="" textlink="">
      <xdr:nvSpPr>
        <xdr:cNvPr id="105" name="Line 16"/>
        <xdr:cNvSpPr>
          <a:spLocks noChangeShapeType="1"/>
        </xdr:cNvSpPr>
      </xdr:nvSpPr>
      <xdr:spPr bwMode="auto">
        <a:xfrm flipV="1">
          <a:off x="2447925" y="6657975"/>
          <a:ext cx="6762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57150</xdr:colOff>
      <xdr:row>85</xdr:row>
      <xdr:rowOff>47625</xdr:rowOff>
    </xdr:from>
    <xdr:to>
      <xdr:col>36</xdr:col>
      <xdr:colOff>9525</xdr:colOff>
      <xdr:row>90</xdr:row>
      <xdr:rowOff>0</xdr:rowOff>
    </xdr:to>
    <xdr:sp macro="" textlink="">
      <xdr:nvSpPr>
        <xdr:cNvPr id="106" name="Line 17"/>
        <xdr:cNvSpPr>
          <a:spLocks noChangeShapeType="1"/>
        </xdr:cNvSpPr>
      </xdr:nvSpPr>
      <xdr:spPr bwMode="auto">
        <a:xfrm flipV="1">
          <a:off x="2676525" y="6667500"/>
          <a:ext cx="6381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85</xdr:row>
      <xdr:rowOff>57150</xdr:rowOff>
    </xdr:from>
    <xdr:to>
      <xdr:col>38</xdr:col>
      <xdr:colOff>57150</xdr:colOff>
      <xdr:row>90</xdr:row>
      <xdr:rowOff>0</xdr:rowOff>
    </xdr:to>
    <xdr:sp macro="" textlink="">
      <xdr:nvSpPr>
        <xdr:cNvPr id="107" name="Line 18"/>
        <xdr:cNvSpPr>
          <a:spLocks noChangeShapeType="1"/>
        </xdr:cNvSpPr>
      </xdr:nvSpPr>
      <xdr:spPr bwMode="auto">
        <a:xfrm flipV="1">
          <a:off x="2876550" y="6677025"/>
          <a:ext cx="6572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38099</xdr:colOff>
      <xdr:row>85</xdr:row>
      <xdr:rowOff>182672</xdr:rowOff>
    </xdr:from>
    <xdr:to>
      <xdr:col>40</xdr:col>
      <xdr:colOff>169622</xdr:colOff>
      <xdr:row>90</xdr:row>
      <xdr:rowOff>0</xdr:rowOff>
    </xdr:to>
    <xdr:sp macro="" textlink="">
      <xdr:nvSpPr>
        <xdr:cNvPr id="108" name="Line 19"/>
        <xdr:cNvSpPr>
          <a:spLocks noChangeShapeType="1"/>
        </xdr:cNvSpPr>
      </xdr:nvSpPr>
      <xdr:spPr bwMode="auto">
        <a:xfrm flipV="1">
          <a:off x="12524983" y="17953973"/>
          <a:ext cx="1410221" cy="7959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86</xdr:row>
      <xdr:rowOff>9525</xdr:rowOff>
    </xdr:from>
    <xdr:to>
      <xdr:col>43</xdr:col>
      <xdr:colOff>9525</xdr:colOff>
      <xdr:row>90</xdr:row>
      <xdr:rowOff>0</xdr:rowOff>
    </xdr:to>
    <xdr:sp macro="" textlink="">
      <xdr:nvSpPr>
        <xdr:cNvPr id="109" name="Line 20"/>
        <xdr:cNvSpPr>
          <a:spLocks noChangeShapeType="1"/>
        </xdr:cNvSpPr>
      </xdr:nvSpPr>
      <xdr:spPr bwMode="auto">
        <a:xfrm flipV="1">
          <a:off x="3305175" y="6705600"/>
          <a:ext cx="60960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38100</xdr:colOff>
      <xdr:row>86</xdr:row>
      <xdr:rowOff>19050</xdr:rowOff>
    </xdr:from>
    <xdr:to>
      <xdr:col>45</xdr:col>
      <xdr:colOff>47625</xdr:colOff>
      <xdr:row>90</xdr:row>
      <xdr:rowOff>0</xdr:rowOff>
    </xdr:to>
    <xdr:sp macro="" textlink="">
      <xdr:nvSpPr>
        <xdr:cNvPr id="110" name="Line 21"/>
        <xdr:cNvSpPr>
          <a:spLocks noChangeShapeType="1"/>
        </xdr:cNvSpPr>
      </xdr:nvSpPr>
      <xdr:spPr bwMode="auto">
        <a:xfrm flipV="1">
          <a:off x="3514725" y="6715125"/>
          <a:ext cx="60960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86</xdr:row>
      <xdr:rowOff>38100</xdr:rowOff>
    </xdr:from>
    <xdr:to>
      <xdr:col>47</xdr:col>
      <xdr:colOff>76200</xdr:colOff>
      <xdr:row>90</xdr:row>
      <xdr:rowOff>0</xdr:rowOff>
    </xdr:to>
    <xdr:sp macro="" textlink="">
      <xdr:nvSpPr>
        <xdr:cNvPr id="111" name="Line 22"/>
        <xdr:cNvSpPr>
          <a:spLocks noChangeShapeType="1"/>
        </xdr:cNvSpPr>
      </xdr:nvSpPr>
      <xdr:spPr bwMode="auto">
        <a:xfrm flipV="1">
          <a:off x="3733800" y="6734175"/>
          <a:ext cx="59055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81</xdr:row>
      <xdr:rowOff>38100</xdr:rowOff>
    </xdr:from>
    <xdr:to>
      <xdr:col>27</xdr:col>
      <xdr:colOff>9525</xdr:colOff>
      <xdr:row>85</xdr:row>
      <xdr:rowOff>0</xdr:rowOff>
    </xdr:to>
    <xdr:sp macro="" textlink="">
      <xdr:nvSpPr>
        <xdr:cNvPr id="112" name="Line 23"/>
        <xdr:cNvSpPr>
          <a:spLocks noChangeShapeType="1"/>
        </xdr:cNvSpPr>
      </xdr:nvSpPr>
      <xdr:spPr bwMode="auto">
        <a:xfrm flipH="1">
          <a:off x="2362200" y="6353175"/>
          <a:ext cx="1809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81</xdr:row>
      <xdr:rowOff>38100</xdr:rowOff>
    </xdr:from>
    <xdr:to>
      <xdr:col>29</xdr:col>
      <xdr:colOff>28575</xdr:colOff>
      <xdr:row>85</xdr:row>
      <xdr:rowOff>9525</xdr:rowOff>
    </xdr:to>
    <xdr:sp macro="" textlink="">
      <xdr:nvSpPr>
        <xdr:cNvPr id="113" name="Line 24"/>
        <xdr:cNvSpPr>
          <a:spLocks noChangeShapeType="1"/>
        </xdr:cNvSpPr>
      </xdr:nvSpPr>
      <xdr:spPr bwMode="auto">
        <a:xfrm flipH="1">
          <a:off x="2552700" y="6353175"/>
          <a:ext cx="18097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28575</xdr:colOff>
      <xdr:row>81</xdr:row>
      <xdr:rowOff>47625</xdr:rowOff>
    </xdr:from>
    <xdr:to>
      <xdr:col>31</xdr:col>
      <xdr:colOff>57150</xdr:colOff>
      <xdr:row>85</xdr:row>
      <xdr:rowOff>28575</xdr:rowOff>
    </xdr:to>
    <xdr:sp macro="" textlink="">
      <xdr:nvSpPr>
        <xdr:cNvPr id="114" name="Line 25"/>
        <xdr:cNvSpPr>
          <a:spLocks noChangeShapeType="1"/>
        </xdr:cNvSpPr>
      </xdr:nvSpPr>
      <xdr:spPr bwMode="auto">
        <a:xfrm flipH="1">
          <a:off x="2733675" y="6362700"/>
          <a:ext cx="2000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66674</xdr:colOff>
      <xdr:row>81</xdr:row>
      <xdr:rowOff>78287</xdr:rowOff>
    </xdr:from>
    <xdr:to>
      <xdr:col>33</xdr:col>
      <xdr:colOff>78286</xdr:colOff>
      <xdr:row>85</xdr:row>
      <xdr:rowOff>28575</xdr:rowOff>
    </xdr:to>
    <xdr:sp macro="" textlink="">
      <xdr:nvSpPr>
        <xdr:cNvPr id="115" name="Line 26"/>
        <xdr:cNvSpPr>
          <a:spLocks noChangeShapeType="1"/>
        </xdr:cNvSpPr>
      </xdr:nvSpPr>
      <xdr:spPr bwMode="auto">
        <a:xfrm flipH="1">
          <a:off x="12188215" y="17066712"/>
          <a:ext cx="376955" cy="7331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76200</xdr:colOff>
      <xdr:row>81</xdr:row>
      <xdr:rowOff>66675</xdr:rowOff>
    </xdr:from>
    <xdr:to>
      <xdr:col>36</xdr:col>
      <xdr:colOff>28575</xdr:colOff>
      <xdr:row>85</xdr:row>
      <xdr:rowOff>38100</xdr:rowOff>
    </xdr:to>
    <xdr:sp macro="" textlink="">
      <xdr:nvSpPr>
        <xdr:cNvPr id="116" name="Line 27"/>
        <xdr:cNvSpPr>
          <a:spLocks noChangeShapeType="1"/>
        </xdr:cNvSpPr>
      </xdr:nvSpPr>
      <xdr:spPr bwMode="auto">
        <a:xfrm flipH="1">
          <a:off x="3124200" y="6381750"/>
          <a:ext cx="20955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19050</xdr:colOff>
      <xdr:row>82</xdr:row>
      <xdr:rowOff>9525</xdr:rowOff>
    </xdr:from>
    <xdr:to>
      <xdr:col>38</xdr:col>
      <xdr:colOff>57150</xdr:colOff>
      <xdr:row>85</xdr:row>
      <xdr:rowOff>47625</xdr:rowOff>
    </xdr:to>
    <xdr:sp macro="" textlink="">
      <xdr:nvSpPr>
        <xdr:cNvPr id="117" name="Line 28"/>
        <xdr:cNvSpPr>
          <a:spLocks noChangeShapeType="1"/>
        </xdr:cNvSpPr>
      </xdr:nvSpPr>
      <xdr:spPr bwMode="auto">
        <a:xfrm flipH="1">
          <a:off x="3324225" y="6400800"/>
          <a:ext cx="20955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47624</xdr:colOff>
      <xdr:row>82</xdr:row>
      <xdr:rowOff>26096</xdr:rowOff>
    </xdr:from>
    <xdr:to>
      <xdr:col>40</xdr:col>
      <xdr:colOff>130479</xdr:colOff>
      <xdr:row>85</xdr:row>
      <xdr:rowOff>66675</xdr:rowOff>
    </xdr:to>
    <xdr:sp macro="" textlink="">
      <xdr:nvSpPr>
        <xdr:cNvPr id="118" name="Line 29"/>
        <xdr:cNvSpPr>
          <a:spLocks noChangeShapeType="1"/>
        </xdr:cNvSpPr>
      </xdr:nvSpPr>
      <xdr:spPr bwMode="auto">
        <a:xfrm flipH="1">
          <a:off x="13447864" y="17210240"/>
          <a:ext cx="448197" cy="6277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82</xdr:row>
      <xdr:rowOff>28575</xdr:rowOff>
    </xdr:from>
    <xdr:to>
      <xdr:col>43</xdr:col>
      <xdr:colOff>47625</xdr:colOff>
      <xdr:row>86</xdr:row>
      <xdr:rowOff>0</xdr:rowOff>
    </xdr:to>
    <xdr:sp macro="" textlink="">
      <xdr:nvSpPr>
        <xdr:cNvPr id="119" name="Line 30"/>
        <xdr:cNvSpPr>
          <a:spLocks noChangeShapeType="1"/>
        </xdr:cNvSpPr>
      </xdr:nvSpPr>
      <xdr:spPr bwMode="auto">
        <a:xfrm flipH="1">
          <a:off x="3733800" y="6419850"/>
          <a:ext cx="21907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9524</xdr:colOff>
      <xdr:row>82</xdr:row>
      <xdr:rowOff>39144</xdr:rowOff>
    </xdr:from>
    <xdr:to>
      <xdr:col>45</xdr:col>
      <xdr:colOff>65239</xdr:colOff>
      <xdr:row>86</xdr:row>
      <xdr:rowOff>9525</xdr:rowOff>
    </xdr:to>
    <xdr:sp macro="" textlink="">
      <xdr:nvSpPr>
        <xdr:cNvPr id="120" name="Line 31"/>
        <xdr:cNvSpPr>
          <a:spLocks noChangeShapeType="1"/>
        </xdr:cNvSpPr>
      </xdr:nvSpPr>
      <xdr:spPr bwMode="auto">
        <a:xfrm flipH="1">
          <a:off x="14323120" y="17223288"/>
          <a:ext cx="421057" cy="7532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28575</xdr:colOff>
      <xdr:row>82</xdr:row>
      <xdr:rowOff>57150</xdr:rowOff>
    </xdr:from>
    <xdr:to>
      <xdr:col>48</xdr:col>
      <xdr:colOff>57150</xdr:colOff>
      <xdr:row>86</xdr:row>
      <xdr:rowOff>28575</xdr:rowOff>
    </xdr:to>
    <xdr:sp macro="" textlink="">
      <xdr:nvSpPr>
        <xdr:cNvPr id="121" name="Line 32"/>
        <xdr:cNvSpPr>
          <a:spLocks noChangeShapeType="1"/>
        </xdr:cNvSpPr>
      </xdr:nvSpPr>
      <xdr:spPr bwMode="auto">
        <a:xfrm flipH="1">
          <a:off x="4105275" y="6448425"/>
          <a:ext cx="28575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66674</xdr:colOff>
      <xdr:row>82</xdr:row>
      <xdr:rowOff>13049</xdr:rowOff>
    </xdr:from>
    <xdr:to>
      <xdr:col>50</xdr:col>
      <xdr:colOff>182670</xdr:colOff>
      <xdr:row>86</xdr:row>
      <xdr:rowOff>47626</xdr:rowOff>
    </xdr:to>
    <xdr:sp macro="" textlink="">
      <xdr:nvSpPr>
        <xdr:cNvPr id="122" name="Line 33"/>
        <xdr:cNvSpPr>
          <a:spLocks noChangeShapeType="1"/>
        </xdr:cNvSpPr>
      </xdr:nvSpPr>
      <xdr:spPr bwMode="auto">
        <a:xfrm flipH="1">
          <a:off x="15110955" y="17197193"/>
          <a:ext cx="664010" cy="8174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189706</xdr:colOff>
      <xdr:row>21</xdr:row>
      <xdr:rowOff>97235</xdr:rowOff>
    </xdr:from>
    <xdr:to>
      <xdr:col>6</xdr:col>
      <xdr:colOff>846931</xdr:colOff>
      <xdr:row>21</xdr:row>
      <xdr:rowOff>783035</xdr:rowOff>
    </xdr:to>
    <xdr:grpSp>
      <xdr:nvGrpSpPr>
        <xdr:cNvPr id="2" name="Group 1"/>
        <xdr:cNvGrpSpPr/>
      </xdr:nvGrpSpPr>
      <xdr:grpSpPr>
        <a:xfrm>
          <a:off x="4378264" y="4383485"/>
          <a:ext cx="657225" cy="685800"/>
          <a:chOff x="3524250" y="7172325"/>
          <a:chExt cx="657225" cy="685800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3524250" y="7172325"/>
            <a:ext cx="657225" cy="6858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3581400" y="7239000"/>
            <a:ext cx="542925" cy="54292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172641</xdr:colOff>
      <xdr:row>21</xdr:row>
      <xdr:rowOff>87313</xdr:rowOff>
    </xdr:from>
    <xdr:to>
      <xdr:col>7</xdr:col>
      <xdr:colOff>829866</xdr:colOff>
      <xdr:row>21</xdr:row>
      <xdr:rowOff>773113</xdr:rowOff>
    </xdr:to>
    <xdr:grpSp>
      <xdr:nvGrpSpPr>
        <xdr:cNvPr id="5" name="Group 4"/>
        <xdr:cNvGrpSpPr/>
      </xdr:nvGrpSpPr>
      <xdr:grpSpPr>
        <a:xfrm>
          <a:off x="5411391" y="4373563"/>
          <a:ext cx="657225" cy="685800"/>
          <a:chOff x="3524250" y="7172325"/>
          <a:chExt cx="657225" cy="685800"/>
        </a:xfrm>
      </xdr:grpSpPr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3524250" y="7172325"/>
            <a:ext cx="657225" cy="6858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3581400" y="7239000"/>
            <a:ext cx="542925" cy="54292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182563</xdr:colOff>
      <xdr:row>21</xdr:row>
      <xdr:rowOff>97235</xdr:rowOff>
    </xdr:from>
    <xdr:to>
      <xdr:col>8</xdr:col>
      <xdr:colOff>839788</xdr:colOff>
      <xdr:row>21</xdr:row>
      <xdr:rowOff>783035</xdr:rowOff>
    </xdr:to>
    <xdr:grpSp>
      <xdr:nvGrpSpPr>
        <xdr:cNvPr id="8" name="Group 7"/>
        <xdr:cNvGrpSpPr/>
      </xdr:nvGrpSpPr>
      <xdr:grpSpPr>
        <a:xfrm>
          <a:off x="6471505" y="4383485"/>
          <a:ext cx="657225" cy="685800"/>
          <a:chOff x="3524250" y="7172325"/>
          <a:chExt cx="657225" cy="685800"/>
        </a:xfrm>
      </xdr:grpSpPr>
      <xdr:sp macro="" textlink="">
        <xdr:nvSpPr>
          <xdr:cNvPr id="9" name="Rectangle 8"/>
          <xdr:cNvSpPr>
            <a:spLocks noChangeArrowheads="1"/>
          </xdr:cNvSpPr>
        </xdr:nvSpPr>
        <xdr:spPr bwMode="auto">
          <a:xfrm>
            <a:off x="3524250" y="7172325"/>
            <a:ext cx="657225" cy="6858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Rectangle 9"/>
          <xdr:cNvSpPr>
            <a:spLocks noChangeArrowheads="1"/>
          </xdr:cNvSpPr>
        </xdr:nvSpPr>
        <xdr:spPr bwMode="auto">
          <a:xfrm>
            <a:off x="3581400" y="7239000"/>
            <a:ext cx="542925" cy="54292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217887</xdr:colOff>
      <xdr:row>21</xdr:row>
      <xdr:rowOff>116285</xdr:rowOff>
    </xdr:from>
    <xdr:to>
      <xdr:col>9</xdr:col>
      <xdr:colOff>875112</xdr:colOff>
      <xdr:row>21</xdr:row>
      <xdr:rowOff>802085</xdr:rowOff>
    </xdr:to>
    <xdr:grpSp>
      <xdr:nvGrpSpPr>
        <xdr:cNvPr id="11" name="Group 10"/>
        <xdr:cNvGrpSpPr/>
      </xdr:nvGrpSpPr>
      <xdr:grpSpPr>
        <a:xfrm>
          <a:off x="7557022" y="4402535"/>
          <a:ext cx="657225" cy="685800"/>
          <a:chOff x="3524250" y="7172325"/>
          <a:chExt cx="657225" cy="685800"/>
        </a:xfrm>
      </xdr:grpSpPr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3524250" y="7172325"/>
            <a:ext cx="657225" cy="6858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Rectangle 12"/>
          <xdr:cNvSpPr>
            <a:spLocks noChangeArrowheads="1"/>
          </xdr:cNvSpPr>
        </xdr:nvSpPr>
        <xdr:spPr bwMode="auto">
          <a:xfrm>
            <a:off x="3581400" y="7239000"/>
            <a:ext cx="542925" cy="54292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192282</xdr:colOff>
      <xdr:row>70</xdr:row>
      <xdr:rowOff>77757</xdr:rowOff>
    </xdr:from>
    <xdr:to>
      <xdr:col>8</xdr:col>
      <xdr:colOff>826147</xdr:colOff>
      <xdr:row>70</xdr:row>
      <xdr:rowOff>767833</xdr:rowOff>
    </xdr:to>
    <xdr:grpSp>
      <xdr:nvGrpSpPr>
        <xdr:cNvPr id="20" name="Group 19"/>
        <xdr:cNvGrpSpPr/>
      </xdr:nvGrpSpPr>
      <xdr:grpSpPr>
        <a:xfrm>
          <a:off x="6481224" y="15061315"/>
          <a:ext cx="633865" cy="690076"/>
          <a:chOff x="3524250" y="7172325"/>
          <a:chExt cx="657225" cy="685800"/>
        </a:xfrm>
      </xdr:grpSpPr>
      <xdr:sp macro="" textlink="">
        <xdr:nvSpPr>
          <xdr:cNvPr id="21" name="Rectangle 20"/>
          <xdr:cNvSpPr>
            <a:spLocks noChangeArrowheads="1"/>
          </xdr:cNvSpPr>
        </xdr:nvSpPr>
        <xdr:spPr bwMode="auto">
          <a:xfrm>
            <a:off x="3524250" y="7172325"/>
            <a:ext cx="657225" cy="6858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2" name="Rectangle 21"/>
          <xdr:cNvSpPr>
            <a:spLocks noChangeArrowheads="1"/>
          </xdr:cNvSpPr>
        </xdr:nvSpPr>
        <xdr:spPr bwMode="auto">
          <a:xfrm>
            <a:off x="3581400" y="7239000"/>
            <a:ext cx="542925" cy="54292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184661</xdr:colOff>
      <xdr:row>70</xdr:row>
      <xdr:rowOff>77752</xdr:rowOff>
    </xdr:from>
    <xdr:to>
      <xdr:col>9</xdr:col>
      <xdr:colOff>818526</xdr:colOff>
      <xdr:row>70</xdr:row>
      <xdr:rowOff>767828</xdr:rowOff>
    </xdr:to>
    <xdr:grpSp>
      <xdr:nvGrpSpPr>
        <xdr:cNvPr id="26" name="Group 25"/>
        <xdr:cNvGrpSpPr/>
      </xdr:nvGrpSpPr>
      <xdr:grpSpPr>
        <a:xfrm>
          <a:off x="7523796" y="15061310"/>
          <a:ext cx="633865" cy="690076"/>
          <a:chOff x="3524250" y="7172325"/>
          <a:chExt cx="657225" cy="685800"/>
        </a:xfrm>
      </xdr:grpSpPr>
      <xdr:sp macro="" textlink="">
        <xdr:nvSpPr>
          <xdr:cNvPr id="27" name="Rectangle 26"/>
          <xdr:cNvSpPr>
            <a:spLocks noChangeArrowheads="1"/>
          </xdr:cNvSpPr>
        </xdr:nvSpPr>
        <xdr:spPr bwMode="auto">
          <a:xfrm>
            <a:off x="3524250" y="7172325"/>
            <a:ext cx="657225" cy="6858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Rectangle 27"/>
          <xdr:cNvSpPr>
            <a:spLocks noChangeArrowheads="1"/>
          </xdr:cNvSpPr>
        </xdr:nvSpPr>
        <xdr:spPr bwMode="auto">
          <a:xfrm>
            <a:off x="3581400" y="7239000"/>
            <a:ext cx="542925" cy="54292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184661</xdr:colOff>
      <xdr:row>70</xdr:row>
      <xdr:rowOff>77752</xdr:rowOff>
    </xdr:from>
    <xdr:to>
      <xdr:col>7</xdr:col>
      <xdr:colOff>818526</xdr:colOff>
      <xdr:row>70</xdr:row>
      <xdr:rowOff>767828</xdr:rowOff>
    </xdr:to>
    <xdr:grpSp>
      <xdr:nvGrpSpPr>
        <xdr:cNvPr id="29" name="Group 28"/>
        <xdr:cNvGrpSpPr/>
      </xdr:nvGrpSpPr>
      <xdr:grpSpPr>
        <a:xfrm>
          <a:off x="5423411" y="15061310"/>
          <a:ext cx="633865" cy="690076"/>
          <a:chOff x="3524250" y="7172325"/>
          <a:chExt cx="657225" cy="685800"/>
        </a:xfrm>
      </xdr:grpSpPr>
      <xdr:sp macro="" textlink="">
        <xdr:nvSpPr>
          <xdr:cNvPr id="30" name="Rectangle 29"/>
          <xdr:cNvSpPr>
            <a:spLocks noChangeArrowheads="1"/>
          </xdr:cNvSpPr>
        </xdr:nvSpPr>
        <xdr:spPr bwMode="auto">
          <a:xfrm>
            <a:off x="3524250" y="7172325"/>
            <a:ext cx="657225" cy="6858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1" name="Rectangle 30"/>
          <xdr:cNvSpPr>
            <a:spLocks noChangeArrowheads="1"/>
          </xdr:cNvSpPr>
        </xdr:nvSpPr>
        <xdr:spPr bwMode="auto">
          <a:xfrm>
            <a:off x="3581400" y="7239000"/>
            <a:ext cx="542925" cy="54292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184661</xdr:colOff>
      <xdr:row>70</xdr:row>
      <xdr:rowOff>77752</xdr:rowOff>
    </xdr:from>
    <xdr:to>
      <xdr:col>6</xdr:col>
      <xdr:colOff>818526</xdr:colOff>
      <xdr:row>70</xdr:row>
      <xdr:rowOff>767828</xdr:rowOff>
    </xdr:to>
    <xdr:grpSp>
      <xdr:nvGrpSpPr>
        <xdr:cNvPr id="32" name="Group 31"/>
        <xdr:cNvGrpSpPr/>
      </xdr:nvGrpSpPr>
      <xdr:grpSpPr>
        <a:xfrm>
          <a:off x="4373219" y="15061310"/>
          <a:ext cx="633865" cy="690076"/>
          <a:chOff x="3524250" y="7172325"/>
          <a:chExt cx="657225" cy="685800"/>
        </a:xfrm>
      </xdr:grpSpPr>
      <xdr:sp macro="" textlink="">
        <xdr:nvSpPr>
          <xdr:cNvPr id="33" name="Rectangle 32"/>
          <xdr:cNvSpPr>
            <a:spLocks noChangeArrowheads="1"/>
          </xdr:cNvSpPr>
        </xdr:nvSpPr>
        <xdr:spPr bwMode="auto">
          <a:xfrm>
            <a:off x="3524250" y="7172325"/>
            <a:ext cx="657225" cy="6858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4" name="Rectangle 33"/>
          <xdr:cNvSpPr>
            <a:spLocks noChangeArrowheads="1"/>
          </xdr:cNvSpPr>
        </xdr:nvSpPr>
        <xdr:spPr bwMode="auto">
          <a:xfrm>
            <a:off x="3581400" y="7239000"/>
            <a:ext cx="542925" cy="54292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BG96"/>
  <sheetViews>
    <sheetView topLeftCell="A37" zoomScale="73" zoomScaleNormal="73" workbookViewId="0">
      <selection activeCell="H35" sqref="H35"/>
    </sheetView>
  </sheetViews>
  <sheetFormatPr defaultRowHeight="15" x14ac:dyDescent="0.25"/>
  <cols>
    <col min="1" max="2" width="9.140625" style="1"/>
    <col min="3" max="8" width="15.7109375" style="1" customWidth="1"/>
    <col min="9" max="9" width="9.140625" style="1"/>
    <col min="10" max="10" width="5.7109375" style="1" customWidth="1"/>
    <col min="11" max="55" width="2.7109375" style="1" customWidth="1"/>
    <col min="56" max="16384" width="9.140625" style="1"/>
  </cols>
  <sheetData>
    <row r="1" spans="1:11" x14ac:dyDescent="0.25">
      <c r="A1" s="36" t="s">
        <v>1</v>
      </c>
      <c r="B1" s="13"/>
      <c r="C1" s="13"/>
      <c r="D1" s="36" t="s">
        <v>3</v>
      </c>
      <c r="E1" s="10"/>
      <c r="F1" s="11"/>
      <c r="G1" s="20" t="s">
        <v>133</v>
      </c>
      <c r="H1" s="38"/>
      <c r="J1" s="6"/>
    </row>
    <row r="2" spans="1:11" x14ac:dyDescent="0.25">
      <c r="A2" s="42" t="s">
        <v>2</v>
      </c>
      <c r="B2" s="13"/>
      <c r="C2" s="13"/>
      <c r="D2" s="36" t="s">
        <v>4</v>
      </c>
      <c r="E2" s="10"/>
      <c r="F2" s="11"/>
      <c r="G2" s="36" t="s">
        <v>134</v>
      </c>
      <c r="H2" s="37"/>
      <c r="J2" s="6"/>
      <c r="K2" s="6"/>
    </row>
    <row r="3" spans="1:11" x14ac:dyDescent="0.25">
      <c r="H3" s="45"/>
      <c r="K3" s="6"/>
    </row>
    <row r="4" spans="1:11" ht="15.75" customHeight="1" x14ac:dyDescent="0.25">
      <c r="C4" s="40" t="s">
        <v>5</v>
      </c>
      <c r="D4" s="40"/>
      <c r="E4" s="40"/>
      <c r="F4" s="40"/>
      <c r="H4" s="3"/>
      <c r="K4" s="6"/>
    </row>
    <row r="5" spans="1:11" x14ac:dyDescent="0.25">
      <c r="A5" s="2"/>
      <c r="B5" s="12"/>
      <c r="C5" s="41" t="s">
        <v>132</v>
      </c>
      <c r="D5" s="41"/>
      <c r="E5" s="41"/>
      <c r="F5" s="41"/>
      <c r="G5" s="12"/>
      <c r="H5" s="43"/>
      <c r="I5" s="12"/>
      <c r="J5" s="12"/>
      <c r="K5" s="6"/>
    </row>
    <row r="6" spans="1:11" x14ac:dyDescent="0.25">
      <c r="A6" s="6"/>
      <c r="B6" s="12"/>
      <c r="C6" s="12"/>
      <c r="D6" s="12"/>
      <c r="E6" s="35"/>
      <c r="F6" s="12"/>
      <c r="G6" s="12"/>
      <c r="H6" s="44"/>
      <c r="I6" s="12"/>
      <c r="J6" s="12"/>
      <c r="K6" s="6"/>
    </row>
    <row r="7" spans="1:11" ht="15.75" x14ac:dyDescent="0.25">
      <c r="A7" s="46"/>
      <c r="B7" s="47"/>
      <c r="C7" s="48"/>
      <c r="D7" s="48"/>
      <c r="E7" s="47"/>
      <c r="F7" s="47"/>
      <c r="G7" s="49"/>
      <c r="H7" s="356">
        <v>2</v>
      </c>
      <c r="K7" s="6"/>
    </row>
    <row r="8" spans="1:11" ht="15.75" customHeight="1" x14ac:dyDescent="0.25">
      <c r="A8" s="50" t="s">
        <v>59</v>
      </c>
      <c r="B8" s="51"/>
      <c r="C8" s="52"/>
      <c r="D8" s="53" t="s">
        <v>10</v>
      </c>
      <c r="E8" s="354">
        <v>39.46</v>
      </c>
      <c r="F8" s="354">
        <v>56.71</v>
      </c>
      <c r="G8" s="354">
        <v>56.71</v>
      </c>
      <c r="H8" s="355">
        <v>56.21</v>
      </c>
    </row>
    <row r="9" spans="1:11" ht="22.5" customHeight="1" thickBot="1" x14ac:dyDescent="0.35">
      <c r="A9" s="54"/>
      <c r="B9" s="55"/>
      <c r="C9" s="56"/>
      <c r="D9" s="56"/>
      <c r="E9" s="57" t="s">
        <v>6</v>
      </c>
      <c r="F9" s="57" t="s">
        <v>7</v>
      </c>
      <c r="G9" s="57" t="s">
        <v>60</v>
      </c>
      <c r="H9" s="57" t="s">
        <v>58</v>
      </c>
      <c r="I9" s="2"/>
    </row>
    <row r="10" spans="1:11" x14ac:dyDescent="0.25">
      <c r="A10" s="58" t="s">
        <v>8</v>
      </c>
      <c r="B10" s="59">
        <v>280</v>
      </c>
      <c r="C10" s="60" t="s">
        <v>74</v>
      </c>
      <c r="D10" s="61" t="s">
        <v>10</v>
      </c>
      <c r="E10" s="9">
        <v>22.44</v>
      </c>
      <c r="F10" s="9">
        <v>34.01</v>
      </c>
      <c r="G10" s="9">
        <v>33.47</v>
      </c>
      <c r="H10" s="8">
        <v>33.54</v>
      </c>
    </row>
    <row r="11" spans="1:11" x14ac:dyDescent="0.25">
      <c r="A11" s="58" t="s">
        <v>11</v>
      </c>
      <c r="B11" s="59">
        <v>4000</v>
      </c>
      <c r="C11" s="62" t="s">
        <v>9</v>
      </c>
      <c r="D11" s="63" t="s">
        <v>10</v>
      </c>
      <c r="E11" s="64">
        <f>SUM(E8:I8)</f>
        <v>209.09</v>
      </c>
      <c r="F11" s="64">
        <f>$G$8+$F$8+$H$8+$H$7</f>
        <v>171.63</v>
      </c>
      <c r="G11" s="64">
        <f>$H$8+$G$8+$H$7</f>
        <v>114.92</v>
      </c>
      <c r="H11" s="65">
        <f>$H$7+$H$8</f>
        <v>58.21</v>
      </c>
    </row>
    <row r="12" spans="1:11" x14ac:dyDescent="0.25">
      <c r="A12" s="66" t="s">
        <v>64</v>
      </c>
      <c r="B12" s="357">
        <v>0.7</v>
      </c>
      <c r="C12" s="62" t="s">
        <v>79</v>
      </c>
      <c r="D12" s="67" t="s">
        <v>13</v>
      </c>
      <c r="E12" s="68">
        <v>5.71</v>
      </c>
      <c r="F12" s="68">
        <v>5.71</v>
      </c>
      <c r="G12" s="68">
        <v>5.71</v>
      </c>
      <c r="H12" s="68">
        <v>5.71</v>
      </c>
    </row>
    <row r="13" spans="1:11" ht="15" customHeight="1" x14ac:dyDescent="0.25">
      <c r="A13" s="69"/>
      <c r="B13" s="16"/>
      <c r="C13" s="70" t="s">
        <v>78</v>
      </c>
      <c r="D13" s="71" t="s">
        <v>13</v>
      </c>
      <c r="E13" s="72">
        <v>20</v>
      </c>
      <c r="F13" s="72">
        <v>20</v>
      </c>
      <c r="G13" s="72">
        <v>5.38</v>
      </c>
      <c r="H13" s="72">
        <v>5.38</v>
      </c>
    </row>
    <row r="14" spans="1:11" ht="15" customHeight="1" x14ac:dyDescent="0.25">
      <c r="A14" s="73"/>
      <c r="B14" s="15"/>
      <c r="C14" s="74" t="s">
        <v>15</v>
      </c>
      <c r="D14" s="75" t="s">
        <v>16</v>
      </c>
      <c r="E14" s="76">
        <v>30</v>
      </c>
      <c r="F14" s="76">
        <v>30</v>
      </c>
      <c r="G14" s="76">
        <v>30</v>
      </c>
      <c r="H14" s="76">
        <v>30</v>
      </c>
    </row>
    <row r="15" spans="1:11" x14ac:dyDescent="0.25">
      <c r="A15" s="73"/>
      <c r="B15" s="15"/>
      <c r="C15" s="77" t="s">
        <v>17</v>
      </c>
      <c r="D15" s="67" t="s">
        <v>16</v>
      </c>
      <c r="E15" s="68">
        <v>40</v>
      </c>
      <c r="F15" s="68">
        <v>50</v>
      </c>
      <c r="G15" s="68">
        <v>50</v>
      </c>
      <c r="H15" s="68">
        <v>50</v>
      </c>
    </row>
    <row r="16" spans="1:11" x14ac:dyDescent="0.25">
      <c r="A16" s="73"/>
      <c r="B16" s="15"/>
      <c r="C16" s="78" t="s">
        <v>18</v>
      </c>
      <c r="D16" s="79" t="s">
        <v>16</v>
      </c>
      <c r="E16" s="72">
        <v>5</v>
      </c>
      <c r="F16" s="72">
        <v>5</v>
      </c>
      <c r="G16" s="72">
        <v>5</v>
      </c>
      <c r="H16" s="72">
        <v>5</v>
      </c>
    </row>
    <row r="17" spans="1:11" ht="15" customHeight="1" x14ac:dyDescent="0.25">
      <c r="A17" s="73"/>
      <c r="B17" s="15"/>
      <c r="C17" s="80" t="s">
        <v>19</v>
      </c>
      <c r="D17" s="81"/>
      <c r="E17" s="82">
        <f>(E$15-2*E$16)/E$15</f>
        <v>0.75</v>
      </c>
      <c r="F17" s="82">
        <f>(F$15-2*F$16)/F$15</f>
        <v>0.8</v>
      </c>
      <c r="G17" s="82">
        <f>(G$15-2*G$16)/G$15</f>
        <v>0.8</v>
      </c>
      <c r="H17" s="82">
        <f>(H$15-2*H$16)/H$15</f>
        <v>0.8</v>
      </c>
    </row>
    <row r="18" spans="1:11" ht="19.5" customHeight="1" x14ac:dyDescent="0.35">
      <c r="A18" s="83" t="s">
        <v>20</v>
      </c>
      <c r="B18" s="19"/>
      <c r="C18" s="84" t="s">
        <v>21</v>
      </c>
      <c r="D18" s="67" t="s">
        <v>22</v>
      </c>
      <c r="E18" s="67">
        <f>E$14*E$15</f>
        <v>1200</v>
      </c>
      <c r="F18" s="67">
        <f>F$14*F$15</f>
        <v>1500</v>
      </c>
      <c r="G18" s="67">
        <f>G$14*G$15</f>
        <v>1500</v>
      </c>
      <c r="H18" s="67">
        <f>H$14*H$15</f>
        <v>1500</v>
      </c>
    </row>
    <row r="19" spans="1:11" x14ac:dyDescent="0.25">
      <c r="A19" s="73"/>
      <c r="B19" s="15"/>
      <c r="C19" s="84" t="s">
        <v>23</v>
      </c>
      <c r="D19" s="67"/>
      <c r="E19" s="68">
        <v>0.7</v>
      </c>
      <c r="F19" s="68">
        <v>0.7</v>
      </c>
      <c r="G19" s="68">
        <v>0.7</v>
      </c>
      <c r="H19" s="68">
        <v>0.7</v>
      </c>
      <c r="K19" s="85"/>
    </row>
    <row r="20" spans="1:11" x14ac:dyDescent="0.25">
      <c r="A20" s="73"/>
      <c r="B20" s="15"/>
      <c r="C20" s="86" t="s">
        <v>24</v>
      </c>
      <c r="D20" s="75" t="s">
        <v>16</v>
      </c>
      <c r="E20" s="68">
        <v>600</v>
      </c>
      <c r="F20" s="68">
        <v>300</v>
      </c>
      <c r="G20" s="68">
        <v>300</v>
      </c>
      <c r="H20" s="68">
        <v>300</v>
      </c>
    </row>
    <row r="21" spans="1:11" x14ac:dyDescent="0.25">
      <c r="A21" s="73"/>
      <c r="B21" s="15"/>
      <c r="C21" s="84" t="s">
        <v>25</v>
      </c>
      <c r="D21" s="63"/>
      <c r="E21" s="82">
        <f>E$19*E$20/0.3/E15</f>
        <v>35</v>
      </c>
      <c r="F21" s="82">
        <f>F$19*F$20/0.3/F15</f>
        <v>14</v>
      </c>
      <c r="G21" s="82">
        <f>G$19*G$20/0.3/G15</f>
        <v>14</v>
      </c>
      <c r="H21" s="82">
        <f>H$19*H$20/0.3/H15</f>
        <v>14</v>
      </c>
    </row>
    <row r="22" spans="1:11" ht="15" customHeight="1" x14ac:dyDescent="0.25">
      <c r="A22" s="73"/>
      <c r="B22" s="15"/>
      <c r="C22" s="84" t="s">
        <v>26</v>
      </c>
      <c r="D22" s="63"/>
      <c r="E22" s="82">
        <f>IF(34-12*(E$12/E$13)&gt;40,40,34-12*(E$12/E$13))</f>
        <v>30.574000000000002</v>
      </c>
      <c r="F22" s="82">
        <f>IF(34-12*(F$12/F$13)&gt;40,40,34-12*(F$12/F$13))</f>
        <v>30.574000000000002</v>
      </c>
      <c r="G22" s="82">
        <f>IF(34-12*(G$12/G$13)&gt;40,40,34-12*(G$12/G$13))</f>
        <v>21.263940520446099</v>
      </c>
      <c r="H22" s="82">
        <f>IF(34-12*(H$12/H$13)&gt;40,40,34-12*(H$12/H$13))</f>
        <v>21.263940520446099</v>
      </c>
    </row>
    <row r="23" spans="1:11" ht="15" customHeight="1" x14ac:dyDescent="0.25">
      <c r="A23" s="73"/>
      <c r="B23" s="15"/>
      <c r="C23" s="86"/>
      <c r="D23" s="87"/>
      <c r="E23" s="88" t="str">
        <f>IF(E$21&lt;E$22, "Short colum", IF(E$21&gt;=100,"Not OK","Consider Slender"))</f>
        <v>Consider Slender</v>
      </c>
      <c r="F23" s="88" t="str">
        <f>IF(F$21&lt;F$22, "Short colum", IF(F$21&gt;=100,"Not OK","Consider Slender"))</f>
        <v>Short colum</v>
      </c>
      <c r="G23" s="88" t="str">
        <f>IF(G$21&lt;G$22, "Short colum", IF(G$21&gt;=100,"Not OK","Consider Slender"))</f>
        <v>Short colum</v>
      </c>
      <c r="H23" s="88" t="str">
        <f>IF(H$21&lt;H$22, "Short colum", IF(H$21&gt;=100,"Not OK","Consider Slender"))</f>
        <v>Short colum</v>
      </c>
    </row>
    <row r="24" spans="1:11" x14ac:dyDescent="0.25">
      <c r="A24" s="73"/>
      <c r="B24" s="15"/>
      <c r="C24" s="84" t="s">
        <v>27</v>
      </c>
      <c r="D24" s="67" t="s">
        <v>28</v>
      </c>
      <c r="E24" s="89">
        <f>15210*SQRT($B$10)</f>
        <v>254511.98007166578</v>
      </c>
      <c r="F24" s="89">
        <f>15210*SQRT($B$10)</f>
        <v>254511.98007166578</v>
      </c>
      <c r="G24" s="89">
        <f>15210*SQRT($B$10)</f>
        <v>254511.98007166578</v>
      </c>
      <c r="H24" s="89">
        <f>15210*SQRT($B$10)</f>
        <v>254511.98007166578</v>
      </c>
    </row>
    <row r="25" spans="1:11" ht="18" customHeight="1" x14ac:dyDescent="0.25">
      <c r="A25" s="69"/>
      <c r="B25" s="16"/>
      <c r="C25" s="90" t="s">
        <v>29</v>
      </c>
      <c r="D25" s="67" t="s">
        <v>22</v>
      </c>
      <c r="E25" s="91">
        <f>(E$19*E$20)^2</f>
        <v>176400</v>
      </c>
      <c r="F25" s="91">
        <f>(F$19*F$20)^2</f>
        <v>44100</v>
      </c>
      <c r="G25" s="91">
        <f>(G$19*G$20)^2</f>
        <v>44100</v>
      </c>
      <c r="H25" s="91">
        <f>(H$19*H$20)^2</f>
        <v>44100</v>
      </c>
    </row>
    <row r="26" spans="1:11" ht="20.25" customHeight="1" x14ac:dyDescent="0.35">
      <c r="A26" s="92" t="s">
        <v>30</v>
      </c>
      <c r="B26" s="19"/>
      <c r="C26" s="93"/>
      <c r="D26" s="61" t="s">
        <v>31</v>
      </c>
      <c r="E26" s="94">
        <f>E14*E15^3/12</f>
        <v>160000</v>
      </c>
      <c r="F26" s="94">
        <f>F14*F15^3/12</f>
        <v>312500</v>
      </c>
      <c r="G26" s="94">
        <f>G14*G15^3/12</f>
        <v>312500</v>
      </c>
      <c r="H26" s="94">
        <f>H14*H15^3/12</f>
        <v>312500</v>
      </c>
      <c r="J26" s="85"/>
      <c r="K26" s="85"/>
    </row>
    <row r="27" spans="1:11" ht="18.75" customHeight="1" x14ac:dyDescent="0.35">
      <c r="A27" s="95" t="s">
        <v>32</v>
      </c>
      <c r="B27" s="96"/>
      <c r="C27" s="97"/>
      <c r="D27" s="67"/>
      <c r="E27" s="82">
        <f t="shared" ref="E27:H27" si="0">E10/E11</f>
        <v>0.10732220574872064</v>
      </c>
      <c r="F27" s="82">
        <f t="shared" si="0"/>
        <v>0.19815883004136806</v>
      </c>
      <c r="G27" s="82">
        <f t="shared" si="0"/>
        <v>0.29124608423250958</v>
      </c>
      <c r="H27" s="82">
        <f t="shared" si="0"/>
        <v>0.5761896581343412</v>
      </c>
      <c r="J27" s="6"/>
      <c r="K27" s="6"/>
    </row>
    <row r="28" spans="1:11" ht="18.75" customHeight="1" x14ac:dyDescent="0.35">
      <c r="A28" s="98" t="s">
        <v>33</v>
      </c>
      <c r="B28" s="96"/>
      <c r="C28" s="97"/>
      <c r="D28" s="67"/>
      <c r="E28" s="99">
        <f>+$E$24*$E$26/2.5/(1+E$27)</f>
        <v>14710051545.993237</v>
      </c>
      <c r="F28" s="99">
        <f>+F$24*F$26/2.5/(1+F$27)</f>
        <v>26552404164.86335</v>
      </c>
      <c r="G28" s="99">
        <f>+G$24*G$26/2.5/(1+G$27)</f>
        <v>24638214123.117992</v>
      </c>
      <c r="H28" s="99">
        <f>+H$24*H$26/2.5/(1+H$27)</f>
        <v>20184117656.637146</v>
      </c>
      <c r="J28" s="100"/>
      <c r="K28" s="101"/>
    </row>
    <row r="29" spans="1:11" ht="20.25" customHeight="1" x14ac:dyDescent="0.35">
      <c r="A29" s="98" t="s">
        <v>34</v>
      </c>
      <c r="B29" s="96"/>
      <c r="C29" s="97"/>
      <c r="D29" s="102" t="s">
        <v>10</v>
      </c>
      <c r="E29" s="82">
        <f>PI()^2*E$28/E$25*0.001</f>
        <v>823.02941881284664</v>
      </c>
      <c r="F29" s="82">
        <f>PI()^2*F$28/F$25*0.001</f>
        <v>5942.4427438784287</v>
      </c>
      <c r="G29" s="82">
        <f>PI()^2*G$28/G$25*0.001</f>
        <v>5514.0459533901885</v>
      </c>
      <c r="H29" s="82">
        <f>PI()^2*H$28/H$25*0.001</f>
        <v>4517.2166996837059</v>
      </c>
      <c r="J29" s="6"/>
      <c r="K29" s="6"/>
    </row>
    <row r="30" spans="1:11" ht="18.75" customHeight="1" x14ac:dyDescent="0.35">
      <c r="A30" s="103" t="s">
        <v>35</v>
      </c>
      <c r="B30" s="96"/>
      <c r="C30" s="97"/>
      <c r="D30" s="67"/>
      <c r="E30" s="104">
        <f>IF(0.6+0.4*E$12/E$13&lt;0.4,0.4,0.6+0.4*E$12/E$13)</f>
        <v>0.71419999999999995</v>
      </c>
      <c r="F30" s="104">
        <f>IF(0.6+0.4*F$12/F$13&lt;0.4,0.4,0.6+0.4*F$12/F$13)</f>
        <v>0.71419999999999995</v>
      </c>
      <c r="G30" s="104">
        <f>IF(0.6+0.4*G$12/G$13&lt;0.4,0.4,0.6+0.4*G$12/G$13)</f>
        <v>1.0245353159851303</v>
      </c>
      <c r="H30" s="104">
        <f>IF(0.6+0.4*H$12/H$13&lt;0.4,0.4,0.6+0.4*H$12/H$13)</f>
        <v>1.0245353159851303</v>
      </c>
      <c r="I30" s="105"/>
      <c r="J30" s="6"/>
      <c r="K30" s="106"/>
    </row>
    <row r="31" spans="1:11" ht="18.75" customHeight="1" x14ac:dyDescent="0.35">
      <c r="A31" s="107" t="s">
        <v>36</v>
      </c>
      <c r="B31" s="96"/>
      <c r="C31" s="108"/>
      <c r="D31" s="67"/>
      <c r="E31" s="82">
        <f>E$30/(1-E11/(0.7*E$29))</f>
        <v>1.121065478734746</v>
      </c>
      <c r="F31" s="82">
        <f t="shared" ref="F31:H31" si="1">IF(F$30/(1-F11/(0.7*F$29))&lt;1,1,F$30/(1-F11/(0.7*F$29)))</f>
        <v>1</v>
      </c>
      <c r="G31" s="82">
        <f t="shared" si="1"/>
        <v>1.0559751984845906</v>
      </c>
      <c r="H31" s="82">
        <f t="shared" si="1"/>
        <v>1.0437496338222454</v>
      </c>
      <c r="J31" s="6"/>
      <c r="K31" s="6"/>
    </row>
    <row r="32" spans="1:11" ht="16.5" customHeight="1" x14ac:dyDescent="0.3">
      <c r="A32" s="98" t="s">
        <v>37</v>
      </c>
      <c r="B32" s="96"/>
      <c r="C32" s="108"/>
      <c r="D32" s="67" t="s">
        <v>13</v>
      </c>
      <c r="E32" s="82">
        <f>E31*E13</f>
        <v>22.42130957469492</v>
      </c>
      <c r="F32" s="82">
        <f t="shared" ref="F32:H32" si="2">F31*F13</f>
        <v>20</v>
      </c>
      <c r="G32" s="82">
        <f t="shared" si="2"/>
        <v>5.6811465678470974</v>
      </c>
      <c r="H32" s="82">
        <f t="shared" si="2"/>
        <v>5.6153730299636804</v>
      </c>
      <c r="J32" s="6"/>
      <c r="K32" s="6"/>
    </row>
    <row r="33" spans="1:59" ht="15" customHeight="1" x14ac:dyDescent="0.25">
      <c r="A33" s="109" t="s">
        <v>80</v>
      </c>
      <c r="B33" s="110"/>
      <c r="C33" s="110"/>
      <c r="D33" s="111"/>
      <c r="E33" s="112">
        <f>(E11*10^3)/($B$12*E18*$B$10)</f>
        <v>0.88898809523809519</v>
      </c>
      <c r="F33" s="112">
        <f t="shared" ref="F33:H33" si="3">(F11*10^3)/($B$12*F18*$B$10)</f>
        <v>0.58377551020408158</v>
      </c>
      <c r="G33" s="112">
        <f t="shared" si="3"/>
        <v>0.3908843537414966</v>
      </c>
      <c r="H33" s="112">
        <f t="shared" si="3"/>
        <v>0.19799319727891157</v>
      </c>
      <c r="J33" s="6"/>
      <c r="K33" s="6"/>
    </row>
    <row r="34" spans="1:59" ht="18" x14ac:dyDescent="0.25">
      <c r="A34" s="113" t="s">
        <v>81</v>
      </c>
      <c r="B34" s="114"/>
      <c r="C34" s="114"/>
      <c r="D34" s="75"/>
      <c r="E34" s="115">
        <f>IF(E$22&gt;E$21,(E$13*10^5)/($B$12*E14*E15^2*$B$10),(E32*10^5)/($B$12*E14*E15^2*$B$10))</f>
        <v>0.23832174292830488</v>
      </c>
      <c r="F34" s="115">
        <f t="shared" ref="F34:H34" si="4">IF(F$22&gt;F$21,(F$13*10^5)/($B$12*F14*F15^2*$B$10),(F32*10^5)/($B$12*F14*F15^2*$B$10))</f>
        <v>0.1360544217687075</v>
      </c>
      <c r="G34" s="115">
        <f t="shared" si="4"/>
        <v>3.659863945578231E-2</v>
      </c>
      <c r="H34" s="115">
        <f t="shared" si="4"/>
        <v>3.659863945578231E-2</v>
      </c>
      <c r="J34" s="6"/>
      <c r="K34" s="6"/>
      <c r="L34" s="6"/>
    </row>
    <row r="35" spans="1:59" x14ac:dyDescent="0.25">
      <c r="A35" s="116" t="s">
        <v>62</v>
      </c>
      <c r="B35" s="97" t="s">
        <v>76</v>
      </c>
      <c r="C35" s="117"/>
      <c r="D35" s="118"/>
      <c r="E35" s="119">
        <v>1.1000000000000001</v>
      </c>
      <c r="F35" s="119">
        <v>0.1</v>
      </c>
      <c r="G35" s="119">
        <v>0.1</v>
      </c>
      <c r="H35" s="119">
        <v>0.1</v>
      </c>
      <c r="J35" s="6"/>
      <c r="K35" s="6"/>
      <c r="L35" s="6"/>
    </row>
    <row r="36" spans="1:59" x14ac:dyDescent="0.25">
      <c r="A36" s="120" t="s">
        <v>77</v>
      </c>
      <c r="B36" s="121"/>
      <c r="C36" s="122"/>
      <c r="D36" s="123"/>
      <c r="E36" s="124">
        <f>E35*E14*E15</f>
        <v>1320</v>
      </c>
      <c r="F36" s="124">
        <f>F35*F14*F15</f>
        <v>150</v>
      </c>
      <c r="G36" s="124">
        <f>G35*G14*G15</f>
        <v>150</v>
      </c>
      <c r="H36" s="124">
        <f>H35*H14*H15</f>
        <v>150</v>
      </c>
      <c r="J36" s="6"/>
      <c r="K36" s="6"/>
      <c r="L36" s="6"/>
    </row>
    <row r="37" spans="1:59" x14ac:dyDescent="0.25">
      <c r="A37" s="125" t="s">
        <v>75</v>
      </c>
      <c r="B37" s="121"/>
      <c r="C37" s="97"/>
      <c r="D37" s="126"/>
      <c r="E37" s="127">
        <f>(0.85*$B$10)/$B$11</f>
        <v>5.9499999999999997E-2</v>
      </c>
      <c r="F37" s="127">
        <f>(0.85*$B$10)/$B$11</f>
        <v>5.9499999999999997E-2</v>
      </c>
      <c r="G37" s="127">
        <f t="shared" ref="G37:H37" si="5">(0.85*$B$10)/$B$11</f>
        <v>5.9499999999999997E-2</v>
      </c>
      <c r="H37" s="127">
        <f t="shared" si="5"/>
        <v>5.9499999999999997E-2</v>
      </c>
      <c r="J37" s="6"/>
      <c r="K37" s="6"/>
    </row>
    <row r="38" spans="1:59" ht="18" x14ac:dyDescent="0.25">
      <c r="A38" s="128" t="s">
        <v>82</v>
      </c>
      <c r="B38" s="129"/>
      <c r="C38" s="130"/>
      <c r="D38" s="71" t="s">
        <v>22</v>
      </c>
      <c r="E38" s="131">
        <f>((E35*0.85*($B$10/$B$11))*E18)</f>
        <v>78.540000000000006</v>
      </c>
      <c r="F38" s="131">
        <f t="shared" ref="F38:H38" si="6">((F35*0.85*($B$10/$B$11))*F18)</f>
        <v>8.9250000000000025</v>
      </c>
      <c r="G38" s="131">
        <f t="shared" si="6"/>
        <v>8.9250000000000025</v>
      </c>
      <c r="H38" s="131">
        <f t="shared" si="6"/>
        <v>8.9250000000000025</v>
      </c>
      <c r="I38" s="14"/>
      <c r="J38" s="14"/>
      <c r="K38" s="6"/>
    </row>
    <row r="39" spans="1:59" ht="69.95" customHeight="1" x14ac:dyDescent="0.25">
      <c r="A39" s="132" t="s">
        <v>38</v>
      </c>
      <c r="B39" s="133"/>
      <c r="C39" s="134"/>
      <c r="D39" s="135"/>
      <c r="E39" s="136"/>
      <c r="F39" s="136"/>
      <c r="G39" s="136"/>
      <c r="H39" s="136"/>
      <c r="J39" s="6"/>
      <c r="K39" s="6"/>
    </row>
    <row r="40" spans="1:59" x14ac:dyDescent="0.25">
      <c r="A40" s="137" t="s">
        <v>39</v>
      </c>
      <c r="B40" s="15" t="s">
        <v>61</v>
      </c>
      <c r="C40" s="138"/>
      <c r="D40" s="102" t="s">
        <v>40</v>
      </c>
      <c r="E40" s="139">
        <v>28</v>
      </c>
      <c r="F40" s="139">
        <v>20</v>
      </c>
      <c r="G40" s="139">
        <v>20</v>
      </c>
      <c r="H40" s="139">
        <v>20</v>
      </c>
    </row>
    <row r="41" spans="1:59" x14ac:dyDescent="0.25">
      <c r="A41" s="140" t="s">
        <v>41</v>
      </c>
      <c r="B41" s="141"/>
      <c r="C41" s="142"/>
      <c r="D41" s="67" t="s">
        <v>0</v>
      </c>
      <c r="E41" s="143">
        <v>14</v>
      </c>
      <c r="F41" s="143">
        <v>4</v>
      </c>
      <c r="G41" s="143">
        <v>4</v>
      </c>
      <c r="H41" s="143">
        <v>4</v>
      </c>
    </row>
    <row r="42" spans="1:59" ht="18" x14ac:dyDescent="0.25">
      <c r="A42" s="140" t="s">
        <v>42</v>
      </c>
      <c r="B42" s="141"/>
      <c r="C42" s="144"/>
      <c r="D42" s="67" t="s">
        <v>22</v>
      </c>
      <c r="E42" s="104">
        <f>+E$41*(E$40/10)^2*PI()/4</f>
        <v>86.205302414503919</v>
      </c>
      <c r="F42" s="104">
        <f>+F$41*(F$40/10)^2*PI()/4</f>
        <v>12.566370614359172</v>
      </c>
      <c r="G42" s="104">
        <f>+G$41*(G$40/10)^2*PI()/4</f>
        <v>12.566370614359172</v>
      </c>
      <c r="H42" s="104">
        <f>+H$41*(H$40/10)^2*PI()/4</f>
        <v>12.566370614359172</v>
      </c>
    </row>
    <row r="43" spans="1:59" ht="18" x14ac:dyDescent="0.25">
      <c r="A43" s="140" t="s">
        <v>57</v>
      </c>
      <c r="B43" s="141"/>
      <c r="C43" s="144"/>
      <c r="D43" s="67" t="s">
        <v>22</v>
      </c>
      <c r="E43" s="145" t="str">
        <f>IF(E42&gt;=E38,"OK","Nk")</f>
        <v>OK</v>
      </c>
      <c r="F43" s="145" t="str">
        <f>IF(F42&gt;=F38,"OK","Nk")</f>
        <v>OK</v>
      </c>
      <c r="G43" s="145" t="str">
        <f>IF(G42&gt;=G38,"OK","Nk")</f>
        <v>OK</v>
      </c>
      <c r="H43" s="145" t="str">
        <f>IF(H42&gt;=H38,"OK","Nk")</f>
        <v>OK</v>
      </c>
    </row>
    <row r="44" spans="1:59" x14ac:dyDescent="0.25">
      <c r="A44" s="146" t="s">
        <v>43</v>
      </c>
      <c r="B44" s="16"/>
      <c r="C44" s="147"/>
      <c r="D44" s="148" t="s">
        <v>40</v>
      </c>
      <c r="E44" s="149">
        <v>6</v>
      </c>
      <c r="F44" s="149">
        <v>6</v>
      </c>
      <c r="G44" s="149">
        <v>6</v>
      </c>
      <c r="H44" s="149">
        <v>7</v>
      </c>
    </row>
    <row r="45" spans="1:59" ht="29.25" x14ac:dyDescent="0.25">
      <c r="A45" s="150"/>
      <c r="B45" s="17" t="s">
        <v>44</v>
      </c>
      <c r="C45" s="151"/>
      <c r="D45" s="75" t="s">
        <v>16</v>
      </c>
      <c r="E45" s="152">
        <f>16*E$40/10</f>
        <v>44.8</v>
      </c>
      <c r="F45" s="152">
        <f>16*F$40/10</f>
        <v>32</v>
      </c>
      <c r="G45" s="152">
        <f>16*G$40/10</f>
        <v>32</v>
      </c>
      <c r="H45" s="152">
        <f>16*H$40/10</f>
        <v>32</v>
      </c>
      <c r="O45" s="153" t="s">
        <v>48</v>
      </c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</row>
    <row r="46" spans="1:59" x14ac:dyDescent="0.25">
      <c r="A46" s="150" t="s">
        <v>45</v>
      </c>
      <c r="B46" s="155" t="s">
        <v>46</v>
      </c>
      <c r="C46" s="114"/>
      <c r="D46" s="67" t="s">
        <v>16</v>
      </c>
      <c r="E46" s="156">
        <f>48*E$44/10</f>
        <v>28.8</v>
      </c>
      <c r="F46" s="156">
        <f>48*F$44/10</f>
        <v>28.8</v>
      </c>
      <c r="G46" s="156">
        <f>48*G$44/10</f>
        <v>28.8</v>
      </c>
      <c r="H46" s="156">
        <f>48*H$44/10</f>
        <v>33.6</v>
      </c>
    </row>
    <row r="47" spans="1:59" ht="15.75" thickBot="1" x14ac:dyDescent="0.3">
      <c r="A47" s="157"/>
      <c r="B47" s="158" t="s">
        <v>47</v>
      </c>
      <c r="C47" s="159"/>
      <c r="D47" s="160" t="s">
        <v>16</v>
      </c>
      <c r="E47" s="161">
        <f>+MIN(E$14,E$15)</f>
        <v>30</v>
      </c>
      <c r="F47" s="161">
        <f>+MIN(F$14,F$15)</f>
        <v>30</v>
      </c>
      <c r="G47" s="161">
        <f>+MIN(G$14,G$15)</f>
        <v>30</v>
      </c>
      <c r="H47" s="161">
        <f>+MIN(H$14,H$15)</f>
        <v>30</v>
      </c>
    </row>
    <row r="49" spans="10:51" ht="21.75" x14ac:dyDescent="0.25">
      <c r="O49" s="21" t="s">
        <v>49</v>
      </c>
      <c r="P49" s="21"/>
      <c r="Q49" s="21" t="s">
        <v>50</v>
      </c>
      <c r="R49" s="21"/>
      <c r="S49" s="162">
        <f>B10</f>
        <v>280</v>
      </c>
      <c r="T49" s="162"/>
      <c r="U49" s="162"/>
      <c r="V49" s="162"/>
      <c r="W49" s="162"/>
      <c r="X49" s="162"/>
      <c r="Y49" s="162"/>
      <c r="Z49" s="39" t="s">
        <v>51</v>
      </c>
      <c r="AA49" s="39"/>
      <c r="AB49" s="39"/>
      <c r="AC49" s="39"/>
    </row>
    <row r="50" spans="10:51" ht="21.75" x14ac:dyDescent="0.25">
      <c r="O50" s="21" t="s">
        <v>52</v>
      </c>
      <c r="P50" s="21"/>
      <c r="Q50" s="21" t="s">
        <v>50</v>
      </c>
      <c r="R50" s="21"/>
      <c r="S50" s="162">
        <f>B11</f>
        <v>4000</v>
      </c>
      <c r="T50" s="162"/>
      <c r="U50" s="162"/>
      <c r="V50" s="162"/>
      <c r="W50" s="162"/>
      <c r="X50" s="162"/>
      <c r="Y50" s="162"/>
      <c r="Z50" s="39" t="s">
        <v>51</v>
      </c>
      <c r="AA50" s="39"/>
      <c r="AB50" s="39"/>
      <c r="AC50" s="39"/>
    </row>
    <row r="51" spans="10:51" x14ac:dyDescent="0.25">
      <c r="O51" s="21" t="s">
        <v>53</v>
      </c>
      <c r="P51" s="21"/>
      <c r="Q51" s="21" t="s">
        <v>50</v>
      </c>
      <c r="R51" s="21"/>
      <c r="S51" s="163">
        <f>S50/(0.85*S49)</f>
        <v>16.806722689075631</v>
      </c>
      <c r="T51" s="163"/>
      <c r="U51" s="163"/>
      <c r="V51" s="163"/>
      <c r="W51" s="163"/>
      <c r="X51" s="163"/>
      <c r="Y51" s="163"/>
      <c r="Z51" s="21"/>
      <c r="AA51" s="21"/>
      <c r="AB51" s="21"/>
      <c r="AC51" s="21"/>
    </row>
    <row r="53" spans="10:51" x14ac:dyDescent="0.25">
      <c r="O53" s="21" t="s">
        <v>135</v>
      </c>
      <c r="S53" s="164">
        <f>(E15-E16)/E15</f>
        <v>0.875</v>
      </c>
      <c r="T53" s="164"/>
      <c r="U53" s="164"/>
      <c r="V53" s="164"/>
      <c r="W53" s="164"/>
      <c r="X53" s="164"/>
      <c r="Y53" s="164"/>
    </row>
    <row r="56" spans="10:51" x14ac:dyDescent="0.25">
      <c r="K56" s="39">
        <v>1.7</v>
      </c>
      <c r="L56" s="39"/>
      <c r="M56" s="39"/>
      <c r="N56" s="39"/>
      <c r="O56" s="7"/>
      <c r="P56" s="7"/>
    </row>
    <row r="57" spans="10:51" x14ac:dyDescent="0.25">
      <c r="J57" s="165" t="s">
        <v>54</v>
      </c>
      <c r="K57" s="39"/>
      <c r="L57" s="39"/>
      <c r="M57" s="39"/>
      <c r="N57" s="39"/>
      <c r="Q57" s="166"/>
      <c r="R57" s="167"/>
      <c r="S57" s="167"/>
      <c r="T57" s="167"/>
      <c r="U57" s="168"/>
      <c r="V57" s="166"/>
      <c r="W57" s="167"/>
      <c r="X57" s="167"/>
      <c r="Y57" s="167"/>
      <c r="Z57" s="168"/>
      <c r="AA57" s="166"/>
      <c r="AB57" s="167"/>
      <c r="AC57" s="167"/>
      <c r="AD57" s="167"/>
      <c r="AE57" s="168"/>
      <c r="AF57" s="166"/>
      <c r="AG57" s="167"/>
      <c r="AH57" s="167"/>
      <c r="AI57" s="167"/>
      <c r="AJ57" s="168"/>
      <c r="AK57" s="166"/>
      <c r="AL57" s="167"/>
      <c r="AM57" s="167"/>
      <c r="AN57" s="167"/>
      <c r="AO57" s="168"/>
      <c r="AP57" s="166"/>
      <c r="AQ57" s="167"/>
      <c r="AR57" s="167"/>
      <c r="AS57" s="167"/>
      <c r="AT57" s="168"/>
      <c r="AU57" s="166"/>
      <c r="AV57" s="167"/>
      <c r="AW57" s="167"/>
      <c r="AX57" s="167"/>
      <c r="AY57" s="168"/>
    </row>
    <row r="58" spans="10:51" x14ac:dyDescent="0.25">
      <c r="J58" s="165"/>
      <c r="K58" s="39">
        <v>1.6</v>
      </c>
      <c r="L58" s="39"/>
      <c r="M58" s="39"/>
      <c r="N58" s="39"/>
      <c r="O58" s="7"/>
      <c r="P58" s="5"/>
      <c r="Q58" s="169"/>
      <c r="R58" s="23"/>
      <c r="S58" s="23"/>
      <c r="T58" s="23"/>
      <c r="U58" s="24"/>
      <c r="V58" s="169"/>
      <c r="W58" s="23"/>
      <c r="X58" s="23"/>
      <c r="Y58" s="23"/>
      <c r="Z58" s="24"/>
      <c r="AA58" s="169"/>
      <c r="AB58" s="23"/>
      <c r="AC58" s="23"/>
      <c r="AD58" s="23"/>
      <c r="AE58" s="24"/>
      <c r="AF58" s="169"/>
      <c r="AG58" s="23"/>
      <c r="AH58" s="23"/>
      <c r="AI58" s="23"/>
      <c r="AJ58" s="24"/>
      <c r="AK58" s="169"/>
      <c r="AL58" s="23"/>
      <c r="AM58" s="23"/>
      <c r="AN58" s="23"/>
      <c r="AO58" s="24"/>
      <c r="AP58" s="169"/>
      <c r="AQ58" s="23"/>
      <c r="AR58" s="23"/>
      <c r="AS58" s="23"/>
      <c r="AT58" s="24"/>
      <c r="AU58" s="169"/>
      <c r="AV58" s="23"/>
      <c r="AW58" s="23"/>
      <c r="AX58" s="23"/>
      <c r="AY58" s="24"/>
    </row>
    <row r="59" spans="10:51" x14ac:dyDescent="0.25">
      <c r="J59" s="165"/>
      <c r="K59" s="39"/>
      <c r="L59" s="39"/>
      <c r="M59" s="39"/>
      <c r="N59" s="39"/>
      <c r="Q59" s="166"/>
      <c r="R59" s="167"/>
      <c r="S59" s="167"/>
      <c r="T59" s="167"/>
      <c r="U59" s="168"/>
      <c r="V59" s="166"/>
      <c r="W59" s="167"/>
      <c r="X59" s="167"/>
      <c r="Y59" s="167"/>
      <c r="Z59" s="168"/>
      <c r="AA59" s="166"/>
      <c r="AB59" s="167"/>
      <c r="AC59" s="167"/>
      <c r="AD59" s="167"/>
      <c r="AE59" s="168"/>
      <c r="AF59" s="166"/>
      <c r="AG59" s="167"/>
      <c r="AH59" s="167"/>
      <c r="AI59" s="167"/>
      <c r="AJ59" s="168"/>
      <c r="AK59" s="166"/>
      <c r="AL59" s="167"/>
      <c r="AM59" s="167"/>
      <c r="AN59" s="167"/>
      <c r="AO59" s="168"/>
      <c r="AP59" s="166"/>
      <c r="AQ59" s="167"/>
      <c r="AR59" s="167"/>
      <c r="AS59" s="167"/>
      <c r="AT59" s="168"/>
      <c r="AU59" s="166"/>
      <c r="AV59" s="167"/>
      <c r="AW59" s="167"/>
      <c r="AX59" s="167"/>
      <c r="AY59" s="168"/>
    </row>
    <row r="60" spans="10:51" x14ac:dyDescent="0.25">
      <c r="J60" s="165"/>
      <c r="K60" s="39">
        <v>1.5</v>
      </c>
      <c r="L60" s="39"/>
      <c r="M60" s="39"/>
      <c r="N60" s="39"/>
      <c r="O60" s="7"/>
      <c r="P60" s="5"/>
      <c r="Q60" s="169"/>
      <c r="R60" s="23"/>
      <c r="S60" s="23"/>
      <c r="T60" s="23"/>
      <c r="U60" s="24"/>
      <c r="V60" s="169"/>
      <c r="W60" s="23"/>
      <c r="X60" s="23"/>
      <c r="Y60" s="23"/>
      <c r="Z60" s="24"/>
      <c r="AA60" s="169"/>
      <c r="AB60" s="23"/>
      <c r="AC60" s="23"/>
      <c r="AD60" s="23"/>
      <c r="AE60" s="24"/>
      <c r="AF60" s="169"/>
      <c r="AG60" s="23"/>
      <c r="AH60" s="23"/>
      <c r="AI60" s="23"/>
      <c r="AJ60" s="24"/>
      <c r="AK60" s="169"/>
      <c r="AL60" s="23"/>
      <c r="AM60" s="23"/>
      <c r="AN60" s="23"/>
      <c r="AO60" s="24"/>
      <c r="AP60" s="169"/>
      <c r="AQ60" s="23"/>
      <c r="AR60" s="23"/>
      <c r="AS60" s="23"/>
      <c r="AT60" s="24"/>
      <c r="AU60" s="169"/>
      <c r="AV60" s="23"/>
      <c r="AW60" s="23"/>
      <c r="AX60" s="23"/>
      <c r="AY60" s="24"/>
    </row>
    <row r="61" spans="10:51" x14ac:dyDescent="0.25">
      <c r="J61" s="165"/>
      <c r="K61" s="39"/>
      <c r="L61" s="39"/>
      <c r="M61" s="39"/>
      <c r="N61" s="39"/>
      <c r="Q61" s="166"/>
      <c r="R61" s="167"/>
      <c r="S61" s="167"/>
      <c r="T61" s="167"/>
      <c r="U61" s="168"/>
      <c r="V61" s="170">
        <v>10</v>
      </c>
      <c r="W61" s="171"/>
      <c r="X61" s="172"/>
      <c r="Y61" s="167"/>
      <c r="Z61" s="168"/>
      <c r="AA61" s="166"/>
      <c r="AB61" s="167"/>
      <c r="AC61" s="167"/>
      <c r="AD61" s="167"/>
      <c r="AE61" s="168"/>
      <c r="AF61" s="166"/>
      <c r="AG61" s="167"/>
      <c r="AH61" s="167"/>
      <c r="AI61" s="167"/>
      <c r="AJ61" s="168"/>
      <c r="AK61" s="166"/>
      <c r="AL61" s="167"/>
      <c r="AM61" s="167"/>
      <c r="AN61" s="167"/>
      <c r="AO61" s="168"/>
      <c r="AP61" s="166"/>
      <c r="AQ61" s="167"/>
      <c r="AR61" s="167"/>
      <c r="AS61" s="167"/>
      <c r="AT61" s="168"/>
      <c r="AU61" s="166"/>
      <c r="AV61" s="167"/>
      <c r="AW61" s="167"/>
      <c r="AX61" s="167"/>
      <c r="AY61" s="168"/>
    </row>
    <row r="62" spans="10:51" x14ac:dyDescent="0.25">
      <c r="J62" s="165"/>
      <c r="K62" s="39">
        <v>1.4</v>
      </c>
      <c r="L62" s="39"/>
      <c r="M62" s="39"/>
      <c r="N62" s="39"/>
      <c r="O62" s="7"/>
      <c r="P62" s="5"/>
      <c r="Q62" s="169"/>
      <c r="R62" s="23"/>
      <c r="S62" s="23"/>
      <c r="T62" s="23"/>
      <c r="U62" s="24"/>
      <c r="V62" s="173"/>
      <c r="W62" s="174"/>
      <c r="X62" s="174"/>
      <c r="Y62" s="23"/>
      <c r="Z62" s="24"/>
      <c r="AA62" s="169"/>
      <c r="AB62" s="23"/>
      <c r="AC62" s="23"/>
      <c r="AD62" s="23"/>
      <c r="AE62" s="24"/>
      <c r="AF62" s="169"/>
      <c r="AG62" s="23"/>
      <c r="AH62" s="23"/>
      <c r="AI62" s="23"/>
      <c r="AJ62" s="24"/>
      <c r="AK62" s="169"/>
      <c r="AL62" s="23"/>
      <c r="AM62" s="23"/>
      <c r="AN62" s="23"/>
      <c r="AO62" s="24"/>
      <c r="AP62" s="169"/>
      <c r="AQ62" s="23"/>
      <c r="AR62" s="23"/>
      <c r="AS62" s="23"/>
      <c r="AT62" s="24"/>
      <c r="AU62" s="169"/>
      <c r="AV62" s="23"/>
      <c r="AW62" s="23"/>
      <c r="AX62" s="23"/>
      <c r="AY62" s="24"/>
    </row>
    <row r="63" spans="10:51" x14ac:dyDescent="0.25">
      <c r="J63" s="165"/>
      <c r="K63" s="39"/>
      <c r="L63" s="39"/>
      <c r="M63" s="39"/>
      <c r="N63" s="39"/>
      <c r="Q63" s="166"/>
      <c r="R63" s="167"/>
      <c r="S63" s="167"/>
      <c r="T63" s="167"/>
      <c r="U63" s="168"/>
      <c r="V63" s="166"/>
      <c r="W63" s="167"/>
      <c r="X63" s="167"/>
      <c r="Y63" s="167"/>
      <c r="Z63" s="168"/>
      <c r="AA63" s="166"/>
      <c r="AB63" s="167"/>
      <c r="AC63" s="167"/>
      <c r="AD63" s="167"/>
      <c r="AE63" s="168"/>
      <c r="AF63" s="166"/>
      <c r="AG63" s="167"/>
      <c r="AH63" s="167"/>
      <c r="AI63" s="167"/>
      <c r="AJ63" s="168"/>
      <c r="AK63" s="166"/>
      <c r="AL63" s="167"/>
      <c r="AM63" s="167"/>
      <c r="AN63" s="167"/>
      <c r="AO63" s="168"/>
      <c r="AP63" s="166"/>
      <c r="AQ63" s="167"/>
      <c r="AR63" s="167"/>
      <c r="AS63" s="167"/>
      <c r="AT63" s="168"/>
      <c r="AU63" s="166"/>
      <c r="AV63" s="167"/>
      <c r="AW63" s="167"/>
      <c r="AX63" s="167"/>
      <c r="AY63" s="168"/>
    </row>
    <row r="64" spans="10:51" x14ac:dyDescent="0.25">
      <c r="J64" s="165"/>
      <c r="K64" s="39">
        <v>1.3</v>
      </c>
      <c r="L64" s="39"/>
      <c r="M64" s="39"/>
      <c r="N64" s="39"/>
      <c r="O64" s="7"/>
      <c r="P64" s="5"/>
      <c r="Q64" s="169"/>
      <c r="R64" s="23"/>
      <c r="S64" s="23"/>
      <c r="T64" s="23"/>
      <c r="U64" s="24"/>
      <c r="V64" s="169"/>
      <c r="W64" s="23"/>
      <c r="X64" s="23"/>
      <c r="Y64" s="23"/>
      <c r="Z64" s="24"/>
      <c r="AA64" s="169"/>
      <c r="AB64" s="23"/>
      <c r="AC64" s="23"/>
      <c r="AD64" s="23"/>
      <c r="AE64" s="24"/>
      <c r="AF64" s="169"/>
      <c r="AG64" s="23"/>
      <c r="AH64" s="23"/>
      <c r="AI64" s="23"/>
      <c r="AJ64" s="24"/>
      <c r="AK64" s="169"/>
      <c r="AL64" s="23"/>
      <c r="AM64" s="23"/>
      <c r="AN64" s="23"/>
      <c r="AO64" s="24"/>
      <c r="AP64" s="169"/>
      <c r="AQ64" s="23"/>
      <c r="AR64" s="23"/>
      <c r="AS64" s="23"/>
      <c r="AT64" s="24"/>
      <c r="AU64" s="169"/>
      <c r="AV64" s="23"/>
      <c r="AW64" s="23"/>
      <c r="AX64" s="23"/>
      <c r="AY64" s="24"/>
    </row>
    <row r="65" spans="10:51" x14ac:dyDescent="0.25">
      <c r="J65" s="165"/>
      <c r="K65" s="39"/>
      <c r="L65" s="39"/>
      <c r="M65" s="39"/>
      <c r="N65" s="39"/>
      <c r="Q65" s="166"/>
      <c r="R65" s="167"/>
      <c r="S65" s="167"/>
      <c r="T65" s="167"/>
      <c r="U65" s="168"/>
      <c r="V65" s="166"/>
      <c r="W65" s="167"/>
      <c r="X65" s="167"/>
      <c r="Y65" s="175">
        <v>9</v>
      </c>
      <c r="Z65" s="171"/>
      <c r="AA65" s="172"/>
      <c r="AB65" s="167"/>
      <c r="AC65" s="167"/>
      <c r="AD65" s="167"/>
      <c r="AE65" s="168"/>
      <c r="AF65" s="166"/>
      <c r="AG65" s="167"/>
      <c r="AH65" s="167"/>
      <c r="AI65" s="167"/>
      <c r="AJ65" s="168"/>
      <c r="AK65" s="166"/>
      <c r="AL65" s="167"/>
      <c r="AM65" s="167"/>
      <c r="AN65" s="167"/>
      <c r="AO65" s="168"/>
      <c r="AP65" s="166"/>
      <c r="AQ65" s="167"/>
      <c r="AR65" s="167"/>
      <c r="AS65" s="167"/>
      <c r="AT65" s="168"/>
      <c r="AU65" s="166"/>
      <c r="AV65" s="167"/>
      <c r="AW65" s="167"/>
      <c r="AX65" s="167"/>
      <c r="AY65" s="168"/>
    </row>
    <row r="66" spans="10:51" x14ac:dyDescent="0.25">
      <c r="J66" s="165"/>
      <c r="K66" s="39">
        <v>1.2</v>
      </c>
      <c r="L66" s="39"/>
      <c r="M66" s="39"/>
      <c r="N66" s="39"/>
      <c r="O66" s="7"/>
      <c r="P66" s="5"/>
      <c r="Q66" s="169"/>
      <c r="R66" s="23"/>
      <c r="S66" s="23"/>
      <c r="T66" s="23"/>
      <c r="U66" s="24"/>
      <c r="V66" s="169"/>
      <c r="W66" s="23"/>
      <c r="X66" s="23"/>
      <c r="Y66" s="176"/>
      <c r="Z66" s="174"/>
      <c r="AA66" s="177"/>
      <c r="AB66" s="23"/>
      <c r="AC66" s="23"/>
      <c r="AD66" s="23"/>
      <c r="AE66" s="24"/>
      <c r="AF66" s="169"/>
      <c r="AG66" s="23"/>
      <c r="AH66" s="23"/>
      <c r="AI66" s="23"/>
      <c r="AJ66" s="24"/>
      <c r="AK66" s="169"/>
      <c r="AL66" s="23"/>
      <c r="AM66" s="23"/>
      <c r="AN66" s="23"/>
      <c r="AO66" s="24"/>
      <c r="AP66" s="169"/>
      <c r="AQ66" s="23"/>
      <c r="AR66" s="23"/>
      <c r="AS66" s="23"/>
      <c r="AT66" s="24"/>
      <c r="AU66" s="169"/>
      <c r="AV66" s="23"/>
      <c r="AW66" s="23"/>
      <c r="AX66" s="23"/>
      <c r="AY66" s="24"/>
    </row>
    <row r="67" spans="10:51" x14ac:dyDescent="0.25">
      <c r="J67" s="165"/>
      <c r="K67" s="39"/>
      <c r="L67" s="39"/>
      <c r="M67" s="39"/>
      <c r="N67" s="39"/>
      <c r="Q67" s="166"/>
      <c r="R67" s="167"/>
      <c r="S67" s="167"/>
      <c r="T67" s="167"/>
      <c r="U67" s="168"/>
      <c r="V67" s="166"/>
      <c r="W67" s="167"/>
      <c r="X67" s="167"/>
      <c r="Y67" s="167"/>
      <c r="Z67" s="168"/>
      <c r="AA67" s="166"/>
      <c r="AB67" s="167"/>
      <c r="AC67" s="167"/>
      <c r="AD67" s="167"/>
      <c r="AE67" s="168"/>
      <c r="AF67" s="166"/>
      <c r="AG67" s="167"/>
      <c r="AH67" s="167"/>
      <c r="AI67" s="167"/>
      <c r="AJ67" s="168"/>
      <c r="AK67" s="166"/>
      <c r="AL67" s="167"/>
      <c r="AM67" s="167"/>
      <c r="AN67" s="167"/>
      <c r="AO67" s="168"/>
      <c r="AP67" s="166"/>
      <c r="AQ67" s="167"/>
      <c r="AR67" s="167"/>
      <c r="AS67" s="167"/>
      <c r="AT67" s="168"/>
      <c r="AU67" s="166"/>
      <c r="AV67" s="167"/>
      <c r="AW67" s="167"/>
      <c r="AX67" s="167"/>
      <c r="AY67" s="168"/>
    </row>
    <row r="68" spans="10:51" x14ac:dyDescent="0.25">
      <c r="J68" s="165"/>
      <c r="K68" s="39">
        <v>1.1000000000000001</v>
      </c>
      <c r="L68" s="39"/>
      <c r="M68" s="39"/>
      <c r="N68" s="39"/>
      <c r="O68" s="7"/>
      <c r="P68" s="5"/>
      <c r="Q68" s="169"/>
      <c r="R68" s="23"/>
      <c r="S68" s="23"/>
      <c r="T68" s="23"/>
      <c r="U68" s="24"/>
      <c r="V68" s="169"/>
      <c r="W68" s="23"/>
      <c r="X68" s="23"/>
      <c r="Y68" s="23"/>
      <c r="Z68" s="24"/>
      <c r="AA68" s="169"/>
      <c r="AB68" s="23"/>
      <c r="AC68" s="23"/>
      <c r="AD68" s="23"/>
      <c r="AE68" s="24"/>
      <c r="AF68" s="169"/>
      <c r="AG68" s="23"/>
      <c r="AH68" s="23"/>
      <c r="AI68" s="23"/>
      <c r="AJ68" s="24"/>
      <c r="AK68" s="169"/>
      <c r="AL68" s="23"/>
      <c r="AM68" s="23"/>
      <c r="AN68" s="23"/>
      <c r="AO68" s="24"/>
      <c r="AP68" s="169"/>
      <c r="AQ68" s="23"/>
      <c r="AR68" s="23"/>
      <c r="AS68" s="23"/>
      <c r="AT68" s="24"/>
      <c r="AU68" s="169"/>
      <c r="AV68" s="23"/>
      <c r="AW68" s="23"/>
      <c r="AX68" s="23"/>
      <c r="AY68" s="24"/>
    </row>
    <row r="69" spans="10:51" x14ac:dyDescent="0.25">
      <c r="J69" s="165"/>
      <c r="K69" s="39"/>
      <c r="L69" s="39"/>
      <c r="M69" s="39"/>
      <c r="N69" s="39"/>
      <c r="Q69" s="166"/>
      <c r="R69" s="167"/>
      <c r="S69" s="167"/>
      <c r="T69" s="167"/>
      <c r="U69" s="168"/>
      <c r="V69" s="166"/>
      <c r="W69" s="167"/>
      <c r="X69" s="167"/>
      <c r="Y69" s="167"/>
      <c r="Z69" s="168"/>
      <c r="AA69" s="166"/>
      <c r="AB69" s="178"/>
      <c r="AC69" s="178"/>
      <c r="AD69" s="178"/>
      <c r="AE69" s="168"/>
      <c r="AF69" s="166"/>
      <c r="AG69" s="167"/>
      <c r="AH69" s="167"/>
      <c r="AI69" s="167"/>
      <c r="AJ69" s="168"/>
      <c r="AK69" s="166"/>
      <c r="AL69" s="167"/>
      <c r="AM69" s="167"/>
      <c r="AN69" s="167"/>
      <c r="AO69" s="168"/>
      <c r="AP69" s="166"/>
      <c r="AQ69" s="167"/>
      <c r="AR69" s="167"/>
      <c r="AS69" s="167"/>
      <c r="AT69" s="168"/>
      <c r="AU69" s="166"/>
      <c r="AV69" s="167"/>
      <c r="AW69" s="167"/>
      <c r="AX69" s="167"/>
      <c r="AY69" s="168"/>
    </row>
    <row r="70" spans="10:51" x14ac:dyDescent="0.25">
      <c r="J70" s="165"/>
      <c r="K70" s="39">
        <v>1</v>
      </c>
      <c r="L70" s="39"/>
      <c r="M70" s="39"/>
      <c r="N70" s="39"/>
      <c r="O70" s="7"/>
      <c r="P70" s="5"/>
      <c r="Q70" s="169"/>
      <c r="R70" s="23"/>
      <c r="S70" s="23"/>
      <c r="T70" s="23"/>
      <c r="U70" s="45"/>
      <c r="V70" s="179"/>
      <c r="W70" s="180"/>
      <c r="X70" s="180"/>
      <c r="Y70" s="180"/>
      <c r="Z70" s="181"/>
      <c r="AA70" s="169"/>
      <c r="AB70" s="23"/>
      <c r="AC70" s="182">
        <v>8</v>
      </c>
      <c r="AD70" s="183"/>
      <c r="AE70" s="184"/>
      <c r="AF70" s="179"/>
      <c r="AG70" s="180"/>
      <c r="AH70" s="180"/>
      <c r="AI70" s="180"/>
      <c r="AJ70" s="181"/>
      <c r="AK70" s="169"/>
      <c r="AL70" s="23"/>
      <c r="AM70" s="23"/>
      <c r="AN70" s="23"/>
      <c r="AO70" s="24"/>
      <c r="AP70" s="169"/>
      <c r="AQ70" s="23"/>
      <c r="AR70" s="23"/>
      <c r="AS70" s="23"/>
      <c r="AT70" s="24"/>
      <c r="AU70" s="169"/>
      <c r="AV70" s="23"/>
      <c r="AW70" s="23"/>
      <c r="AX70" s="23"/>
      <c r="AY70" s="24"/>
    </row>
    <row r="71" spans="10:51" x14ac:dyDescent="0.25">
      <c r="J71" s="165"/>
      <c r="K71" s="39"/>
      <c r="L71" s="39"/>
      <c r="M71" s="39"/>
      <c r="N71" s="39"/>
      <c r="Q71" s="166"/>
      <c r="R71" s="167"/>
      <c r="S71" s="167"/>
      <c r="T71" s="167"/>
      <c r="U71" s="168"/>
      <c r="V71" s="166"/>
      <c r="W71" s="167"/>
      <c r="X71" s="167"/>
      <c r="Y71" s="167"/>
      <c r="Z71" s="168"/>
      <c r="AA71" s="185"/>
      <c r="AB71" s="167"/>
      <c r="AC71" s="186"/>
      <c r="AD71" s="187"/>
      <c r="AE71" s="188"/>
      <c r="AF71" s="166"/>
      <c r="AG71" s="167"/>
      <c r="AH71" s="167"/>
      <c r="AI71" s="167"/>
      <c r="AJ71" s="168"/>
      <c r="AK71" s="185"/>
      <c r="AL71" s="167"/>
      <c r="AM71" s="167"/>
      <c r="AN71" s="167"/>
      <c r="AO71" s="168"/>
      <c r="AP71" s="166"/>
      <c r="AQ71" s="167"/>
      <c r="AR71" s="167"/>
      <c r="AS71" s="167"/>
      <c r="AT71" s="168"/>
      <c r="AU71" s="166"/>
      <c r="AV71" s="167"/>
      <c r="AW71" s="167"/>
      <c r="AX71" s="167"/>
      <c r="AY71" s="168"/>
    </row>
    <row r="72" spans="10:51" x14ac:dyDescent="0.25">
      <c r="J72" s="165"/>
      <c r="K72" s="39">
        <v>0.9</v>
      </c>
      <c r="L72" s="39"/>
      <c r="M72" s="39"/>
      <c r="N72" s="39"/>
      <c r="O72" s="7"/>
      <c r="P72" s="5"/>
      <c r="Q72" s="169"/>
      <c r="R72" s="23"/>
      <c r="S72" s="23"/>
      <c r="T72" s="23"/>
      <c r="U72" s="24"/>
      <c r="V72" s="169"/>
      <c r="W72" s="23"/>
      <c r="X72" s="23"/>
      <c r="Y72" s="23"/>
      <c r="Z72" s="24"/>
      <c r="AA72" s="26"/>
      <c r="AB72" s="23"/>
      <c r="AC72" s="23"/>
      <c r="AD72" s="25"/>
      <c r="AE72" s="189"/>
      <c r="AF72" s="169"/>
      <c r="AG72" s="23"/>
      <c r="AH72" s="23"/>
      <c r="AI72" s="23"/>
      <c r="AJ72" s="24"/>
      <c r="AK72" s="26"/>
      <c r="AL72" s="23"/>
      <c r="AM72" s="23"/>
      <c r="AN72" s="23"/>
      <c r="AO72" s="24"/>
      <c r="AP72" s="169"/>
      <c r="AQ72" s="23"/>
      <c r="AR72" s="23"/>
      <c r="AS72" s="23"/>
      <c r="AT72" s="24"/>
      <c r="AU72" s="169"/>
      <c r="AV72" s="23"/>
      <c r="AW72" s="23"/>
      <c r="AX72" s="23"/>
      <c r="AY72" s="24"/>
    </row>
    <row r="73" spans="10:51" x14ac:dyDescent="0.25">
      <c r="J73" s="165"/>
      <c r="K73" s="39"/>
      <c r="L73" s="39"/>
      <c r="M73" s="39"/>
      <c r="N73" s="39"/>
      <c r="Q73" s="166"/>
      <c r="R73" s="167"/>
      <c r="S73" s="167"/>
      <c r="T73" s="190"/>
      <c r="U73" s="22"/>
      <c r="V73" s="191">
        <v>3</v>
      </c>
      <c r="W73" s="192"/>
      <c r="X73" s="193"/>
      <c r="Y73" s="194"/>
      <c r="Z73" s="22"/>
      <c r="AA73" s="195"/>
      <c r="AB73" s="194"/>
      <c r="AC73" s="194"/>
      <c r="AD73" s="194"/>
      <c r="AE73" s="22"/>
      <c r="AF73" s="195"/>
      <c r="AG73" s="194"/>
      <c r="AH73" s="194"/>
      <c r="AI73" s="194"/>
      <c r="AJ73" s="22"/>
      <c r="AK73" s="166"/>
      <c r="AL73" s="167"/>
      <c r="AM73" s="167"/>
      <c r="AN73" s="167"/>
      <c r="AO73" s="168"/>
      <c r="AP73" s="166"/>
      <c r="AQ73" s="167"/>
      <c r="AR73" s="167"/>
      <c r="AS73" s="167"/>
      <c r="AT73" s="168"/>
      <c r="AU73" s="166"/>
      <c r="AV73" s="167"/>
      <c r="AW73" s="167"/>
      <c r="AX73" s="167"/>
      <c r="AY73" s="168"/>
    </row>
    <row r="74" spans="10:51" x14ac:dyDescent="0.25">
      <c r="J74" s="165"/>
      <c r="K74" s="39">
        <v>0.8</v>
      </c>
      <c r="L74" s="39"/>
      <c r="M74" s="39"/>
      <c r="N74" s="39"/>
      <c r="O74" s="7"/>
      <c r="P74" s="5"/>
      <c r="Q74" s="196">
        <v>0</v>
      </c>
      <c r="R74" s="183"/>
      <c r="S74" s="197"/>
      <c r="T74" s="25"/>
      <c r="U74" s="24"/>
      <c r="V74" s="173"/>
      <c r="W74" s="174"/>
      <c r="X74" s="177"/>
      <c r="Y74" s="23"/>
      <c r="Z74" s="24"/>
      <c r="AA74" s="169"/>
      <c r="AB74" s="23"/>
      <c r="AC74" s="23"/>
      <c r="AD74" s="23"/>
      <c r="AE74" s="24"/>
      <c r="AF74" s="169"/>
      <c r="AG74" s="23"/>
      <c r="AH74" s="23"/>
      <c r="AI74" s="23"/>
      <c r="AJ74" s="24"/>
      <c r="AK74" s="169"/>
      <c r="AL74" s="23"/>
      <c r="AM74" s="23"/>
      <c r="AN74" s="23"/>
      <c r="AO74" s="24"/>
      <c r="AP74" s="169"/>
      <c r="AQ74" s="23"/>
      <c r="AR74" s="23"/>
      <c r="AS74" s="23"/>
      <c r="AT74" s="24"/>
      <c r="AU74" s="169"/>
      <c r="AV74" s="23"/>
      <c r="AW74" s="23"/>
      <c r="AX74" s="23"/>
      <c r="AY74" s="24"/>
    </row>
    <row r="75" spans="10:51" x14ac:dyDescent="0.25">
      <c r="J75" s="165"/>
      <c r="K75" s="39"/>
      <c r="L75" s="39"/>
      <c r="M75" s="39"/>
      <c r="N75" s="39"/>
      <c r="Q75" s="198"/>
      <c r="R75" s="187"/>
      <c r="S75" s="199"/>
      <c r="T75" s="167"/>
      <c r="U75" s="168"/>
      <c r="V75" s="166"/>
      <c r="W75" s="167"/>
      <c r="X75" s="167"/>
      <c r="Y75" s="167"/>
      <c r="Z75" s="168"/>
      <c r="AA75" s="170">
        <v>4</v>
      </c>
      <c r="AB75" s="171"/>
      <c r="AC75" s="172"/>
      <c r="AD75" s="167"/>
      <c r="AE75" s="168"/>
      <c r="AF75" s="166"/>
      <c r="AG75" s="167"/>
      <c r="AH75" s="175">
        <v>7</v>
      </c>
      <c r="AI75" s="171"/>
      <c r="AJ75" s="200"/>
      <c r="AK75" s="166"/>
      <c r="AL75" s="167"/>
      <c r="AM75" s="167"/>
      <c r="AN75" s="167"/>
      <c r="AO75" s="168"/>
      <c r="AP75" s="166"/>
      <c r="AQ75" s="167"/>
      <c r="AR75" s="167"/>
      <c r="AS75" s="167"/>
      <c r="AT75" s="168"/>
      <c r="AU75" s="166"/>
      <c r="AV75" s="167"/>
      <c r="AW75" s="167"/>
      <c r="AX75" s="167"/>
      <c r="AY75" s="168"/>
    </row>
    <row r="76" spans="10:51" x14ac:dyDescent="0.25">
      <c r="J76" s="165"/>
      <c r="K76" s="39">
        <v>0.7</v>
      </c>
      <c r="L76" s="39"/>
      <c r="M76" s="39"/>
      <c r="N76" s="39"/>
      <c r="O76" s="7"/>
      <c r="P76" s="5"/>
      <c r="Q76" s="169"/>
      <c r="R76" s="23"/>
      <c r="S76" s="23"/>
      <c r="T76" s="23"/>
      <c r="U76" s="24"/>
      <c r="V76" s="169"/>
      <c r="W76" s="23"/>
      <c r="X76" s="23"/>
      <c r="Y76" s="23"/>
      <c r="Z76" s="24"/>
      <c r="AA76" s="173"/>
      <c r="AB76" s="174"/>
      <c r="AC76" s="177"/>
      <c r="AD76" s="23"/>
      <c r="AE76" s="24"/>
      <c r="AF76" s="169"/>
      <c r="AG76" s="23"/>
      <c r="AH76" s="176"/>
      <c r="AI76" s="174"/>
      <c r="AJ76" s="201"/>
      <c r="AK76" s="169"/>
      <c r="AL76" s="23"/>
      <c r="AM76" s="23"/>
      <c r="AN76" s="23"/>
      <c r="AO76" s="24"/>
      <c r="AP76" s="169"/>
      <c r="AQ76" s="23"/>
      <c r="AR76" s="23"/>
      <c r="AS76" s="23"/>
      <c r="AT76" s="24"/>
      <c r="AU76" s="169"/>
      <c r="AV76" s="23"/>
      <c r="AW76" s="23"/>
      <c r="AX76" s="23"/>
      <c r="AY76" s="24"/>
    </row>
    <row r="77" spans="10:51" x14ac:dyDescent="0.25">
      <c r="J77" s="165"/>
      <c r="K77" s="39"/>
      <c r="L77" s="39"/>
      <c r="M77" s="39"/>
      <c r="N77" s="39"/>
      <c r="Q77" s="166"/>
      <c r="R77" s="167"/>
      <c r="S77" s="167"/>
      <c r="T77" s="167"/>
      <c r="U77" s="168"/>
      <c r="V77" s="166"/>
      <c r="W77" s="175">
        <v>1</v>
      </c>
      <c r="X77" s="171"/>
      <c r="Y77" s="172"/>
      <c r="Z77" s="168"/>
      <c r="AA77" s="166"/>
      <c r="AB77" s="167"/>
      <c r="AC77" s="167"/>
      <c r="AD77" s="167"/>
      <c r="AE77" s="168"/>
      <c r="AF77" s="170">
        <v>5</v>
      </c>
      <c r="AG77" s="171"/>
      <c r="AH77" s="172"/>
      <c r="AI77" s="167"/>
      <c r="AJ77" s="168"/>
      <c r="AK77" s="166"/>
      <c r="AL77" s="167"/>
      <c r="AM77" s="167"/>
      <c r="AN77" s="167"/>
      <c r="AO77" s="168"/>
      <c r="AP77" s="166"/>
      <c r="AQ77" s="167"/>
      <c r="AR77" s="167"/>
      <c r="AS77" s="167"/>
      <c r="AT77" s="168"/>
      <c r="AU77" s="166"/>
      <c r="AV77" s="167"/>
      <c r="AW77" s="167"/>
      <c r="AX77" s="167"/>
      <c r="AY77" s="168"/>
    </row>
    <row r="78" spans="10:51" x14ac:dyDescent="0.25">
      <c r="J78" s="165"/>
      <c r="K78" s="39">
        <v>0.6</v>
      </c>
      <c r="L78" s="39"/>
      <c r="M78" s="39"/>
      <c r="N78" s="39"/>
      <c r="O78" s="7"/>
      <c r="P78" s="5"/>
      <c r="Q78" s="169"/>
      <c r="R78" s="23"/>
      <c r="S78" s="23"/>
      <c r="T78" s="23"/>
      <c r="U78" s="181"/>
      <c r="V78" s="169"/>
      <c r="W78" s="176"/>
      <c r="X78" s="174"/>
      <c r="Y78" s="177"/>
      <c r="Z78" s="24"/>
      <c r="AA78" s="169"/>
      <c r="AB78" s="23"/>
      <c r="AC78" s="23"/>
      <c r="AD78" s="23"/>
      <c r="AE78" s="181"/>
      <c r="AF78" s="173"/>
      <c r="AG78" s="174"/>
      <c r="AH78" s="177"/>
      <c r="AI78" s="23"/>
      <c r="AJ78" s="24"/>
      <c r="AK78" s="169"/>
      <c r="AL78" s="23"/>
      <c r="AM78" s="23"/>
      <c r="AN78" s="23"/>
      <c r="AO78" s="24"/>
      <c r="AP78" s="169"/>
      <c r="AQ78" s="23"/>
      <c r="AR78" s="23"/>
      <c r="AS78" s="23"/>
      <c r="AT78" s="24"/>
      <c r="AU78" s="169"/>
      <c r="AV78" s="23"/>
      <c r="AW78" s="23"/>
      <c r="AX78" s="23"/>
      <c r="AY78" s="24"/>
    </row>
    <row r="79" spans="10:51" x14ac:dyDescent="0.25">
      <c r="J79" s="165"/>
      <c r="K79" s="39"/>
      <c r="L79" s="39"/>
      <c r="M79" s="39"/>
      <c r="N79" s="39"/>
      <c r="Q79" s="166"/>
      <c r="R79" s="167"/>
      <c r="S79" s="167"/>
      <c r="T79" s="167"/>
      <c r="U79" s="168"/>
      <c r="V79" s="195"/>
      <c r="W79" s="194"/>
      <c r="X79" s="202"/>
      <c r="Y79" s="203"/>
      <c r="Z79" s="204"/>
      <c r="AA79" s="205"/>
      <c r="AB79" s="175">
        <v>2</v>
      </c>
      <c r="AC79" s="171"/>
      <c r="AD79" s="172"/>
      <c r="AE79" s="168"/>
      <c r="AF79" s="166"/>
      <c r="AG79" s="167"/>
      <c r="AH79" s="206"/>
      <c r="AI79" s="178"/>
      <c r="AJ79" s="204"/>
      <c r="AK79" s="166"/>
      <c r="AL79" s="167"/>
      <c r="AM79" s="167"/>
      <c r="AN79" s="167"/>
      <c r="AO79" s="168"/>
      <c r="AP79" s="166"/>
      <c r="AQ79" s="167"/>
      <c r="AR79" s="167"/>
      <c r="AS79" s="167"/>
      <c r="AT79" s="168"/>
      <c r="AU79" s="166"/>
      <c r="AV79" s="167"/>
      <c r="AW79" s="167"/>
      <c r="AX79" s="167"/>
      <c r="AY79" s="168"/>
    </row>
    <row r="80" spans="10:51" x14ac:dyDescent="0.25">
      <c r="J80" s="165"/>
      <c r="K80" s="39">
        <v>0.5</v>
      </c>
      <c r="L80" s="39"/>
      <c r="M80" s="39"/>
      <c r="N80" s="39"/>
      <c r="O80" s="7"/>
      <c r="P80" s="5"/>
      <c r="Q80" s="169"/>
      <c r="R80" s="23"/>
      <c r="S80" s="23"/>
      <c r="T80" s="23"/>
      <c r="U80" s="24"/>
      <c r="V80" s="169"/>
      <c r="W80" s="23"/>
      <c r="X80" s="23"/>
      <c r="Y80" s="207"/>
      <c r="Z80" s="208"/>
      <c r="AA80" s="4"/>
      <c r="AB80" s="176"/>
      <c r="AC80" s="174"/>
      <c r="AD80" s="177"/>
      <c r="AE80" s="24"/>
      <c r="AF80" s="169"/>
      <c r="AG80" s="23"/>
      <c r="AH80" s="23"/>
      <c r="AI80" s="23"/>
      <c r="AJ80" s="24"/>
      <c r="AK80" s="26"/>
      <c r="AL80" s="182">
        <v>6</v>
      </c>
      <c r="AM80" s="183"/>
      <c r="AN80" s="197"/>
      <c r="AO80" s="24"/>
      <c r="AP80" s="169"/>
      <c r="AQ80" s="23"/>
      <c r="AR80" s="23"/>
      <c r="AS80" s="23"/>
      <c r="AT80" s="24"/>
      <c r="AU80" s="169"/>
      <c r="AV80" s="23"/>
      <c r="AW80" s="23"/>
      <c r="AX80" s="23"/>
      <c r="AY80" s="24"/>
    </row>
    <row r="81" spans="10:53" x14ac:dyDescent="0.25">
      <c r="J81" s="165"/>
      <c r="K81" s="39"/>
      <c r="L81" s="39"/>
      <c r="M81" s="39"/>
      <c r="N81" s="39"/>
      <c r="Q81" s="166"/>
      <c r="R81" s="167"/>
      <c r="S81" s="167"/>
      <c r="T81" s="167"/>
      <c r="U81" s="168"/>
      <c r="V81" s="166"/>
      <c r="W81" s="167"/>
      <c r="X81" s="167"/>
      <c r="Y81" s="167"/>
      <c r="Z81" s="168"/>
      <c r="AA81" s="195"/>
      <c r="AB81" s="194"/>
      <c r="AC81" s="194"/>
      <c r="AD81" s="194"/>
      <c r="AE81" s="22"/>
      <c r="AF81" s="195"/>
      <c r="AG81" s="202"/>
      <c r="AH81" s="185"/>
      <c r="AI81" s="167"/>
      <c r="AJ81" s="168"/>
      <c r="AK81" s="185"/>
      <c r="AL81" s="186"/>
      <c r="AM81" s="187"/>
      <c r="AN81" s="199"/>
      <c r="AO81" s="168"/>
      <c r="AP81" s="166"/>
      <c r="AQ81" s="167"/>
      <c r="AR81" s="167"/>
      <c r="AS81" s="167"/>
      <c r="AT81" s="168"/>
      <c r="AU81" s="166"/>
      <c r="AV81" s="167"/>
      <c r="AW81" s="167"/>
      <c r="AX81" s="167"/>
      <c r="AY81" s="168"/>
    </row>
    <row r="82" spans="10:53" x14ac:dyDescent="0.25">
      <c r="J82" s="165"/>
      <c r="K82" s="39">
        <v>0.4</v>
      </c>
      <c r="L82" s="39"/>
      <c r="M82" s="39"/>
      <c r="N82" s="39"/>
      <c r="O82" s="7"/>
      <c r="P82" s="5"/>
      <c r="Q82" s="169"/>
      <c r="R82" s="23"/>
      <c r="S82" s="23"/>
      <c r="T82" s="23"/>
      <c r="U82" s="24"/>
      <c r="V82" s="169"/>
      <c r="W82" s="23"/>
      <c r="X82" s="23"/>
      <c r="Y82" s="23"/>
      <c r="Z82" s="24"/>
      <c r="AA82" s="169"/>
      <c r="AB82" s="23"/>
      <c r="AC82" s="23"/>
      <c r="AD82" s="23"/>
      <c r="AE82" s="24"/>
      <c r="AF82" s="209"/>
      <c r="AG82" s="207"/>
      <c r="AH82" s="207"/>
      <c r="AI82" s="207"/>
      <c r="AJ82" s="208"/>
      <c r="AK82" s="209"/>
      <c r="AL82" s="23"/>
      <c r="AM82" s="23"/>
      <c r="AN82" s="23"/>
      <c r="AO82" s="24"/>
      <c r="AP82" s="169"/>
      <c r="AQ82" s="23"/>
      <c r="AR82" s="23"/>
      <c r="AS82" s="23"/>
      <c r="AT82" s="24"/>
      <c r="AU82" s="169"/>
      <c r="AV82" s="23"/>
      <c r="AW82" s="23"/>
      <c r="AX82" s="23"/>
      <c r="AY82" s="24"/>
    </row>
    <row r="83" spans="10:53" x14ac:dyDescent="0.25">
      <c r="J83" s="165"/>
      <c r="K83" s="39"/>
      <c r="L83" s="39"/>
      <c r="M83" s="39"/>
      <c r="N83" s="39"/>
      <c r="Q83" s="166"/>
      <c r="R83" s="167"/>
      <c r="S83" s="167"/>
      <c r="T83" s="167"/>
      <c r="U83" s="168"/>
      <c r="V83" s="166"/>
      <c r="W83" s="167"/>
      <c r="X83" s="167"/>
      <c r="Y83" s="167"/>
      <c r="Z83" s="168"/>
      <c r="AA83" s="166"/>
      <c r="AB83" s="167"/>
      <c r="AC83" s="167"/>
      <c r="AD83" s="167"/>
      <c r="AE83" s="168"/>
      <c r="AF83" s="166"/>
      <c r="AG83" s="167"/>
      <c r="AH83" s="167"/>
      <c r="AI83" s="167"/>
      <c r="AJ83" s="168"/>
      <c r="AK83" s="166"/>
      <c r="AL83" s="167"/>
      <c r="AM83" s="167"/>
      <c r="AN83" s="167"/>
      <c r="AO83" s="168"/>
      <c r="AP83" s="166"/>
      <c r="AQ83" s="167"/>
      <c r="AR83" s="167"/>
      <c r="AS83" s="167"/>
      <c r="AT83" s="168"/>
      <c r="AU83" s="166"/>
      <c r="AV83" s="167"/>
      <c r="AW83" s="167"/>
      <c r="AX83" s="167"/>
      <c r="AY83" s="168"/>
    </row>
    <row r="84" spans="10:53" x14ac:dyDescent="0.25">
      <c r="J84" s="165"/>
      <c r="K84" s="39">
        <v>0.3</v>
      </c>
      <c r="L84" s="39"/>
      <c r="M84" s="39"/>
      <c r="N84" s="39"/>
      <c r="O84" s="7"/>
      <c r="P84" s="5"/>
      <c r="Q84" s="169"/>
      <c r="R84" s="23"/>
      <c r="S84" s="23"/>
      <c r="T84" s="23"/>
      <c r="U84" s="24"/>
      <c r="V84" s="169"/>
      <c r="W84" s="23"/>
      <c r="X84" s="23"/>
      <c r="Y84" s="23"/>
      <c r="Z84" s="24"/>
      <c r="AA84" s="169"/>
      <c r="AB84" s="23"/>
      <c r="AC84" s="23"/>
      <c r="AD84" s="23"/>
      <c r="AE84" s="24"/>
      <c r="AF84" s="169"/>
      <c r="AG84" s="23"/>
      <c r="AH84" s="23"/>
      <c r="AI84" s="23"/>
      <c r="AJ84" s="24"/>
      <c r="AK84" s="169"/>
      <c r="AL84" s="23"/>
      <c r="AM84" s="23"/>
      <c r="AN84" s="23"/>
      <c r="AO84" s="24"/>
      <c r="AP84" s="169"/>
      <c r="AQ84" s="23"/>
      <c r="AR84" s="23"/>
      <c r="AS84" s="23"/>
      <c r="AT84" s="24"/>
      <c r="AU84" s="169"/>
      <c r="AV84" s="23"/>
      <c r="AW84" s="23"/>
      <c r="AX84" s="23"/>
      <c r="AY84" s="24"/>
    </row>
    <row r="85" spans="10:53" x14ac:dyDescent="0.25">
      <c r="J85" s="165"/>
      <c r="K85" s="39"/>
      <c r="L85" s="39"/>
      <c r="M85" s="39"/>
      <c r="N85" s="39"/>
      <c r="Q85" s="166"/>
      <c r="R85" s="167"/>
      <c r="S85" s="167"/>
      <c r="T85" s="167"/>
      <c r="U85" s="168"/>
      <c r="V85" s="166"/>
      <c r="W85" s="167"/>
      <c r="X85" s="167"/>
      <c r="Y85" s="167"/>
      <c r="Z85" s="168"/>
      <c r="AA85" s="166"/>
      <c r="AB85" s="167"/>
      <c r="AC85" s="167"/>
      <c r="AD85" s="167"/>
      <c r="AE85" s="168"/>
      <c r="AF85" s="166"/>
      <c r="AG85" s="167"/>
      <c r="AH85" s="167"/>
      <c r="AI85" s="167"/>
      <c r="AJ85" s="168"/>
      <c r="AK85" s="166"/>
      <c r="AL85" s="167"/>
      <c r="AM85" s="167"/>
      <c r="AN85" s="167"/>
      <c r="AO85" s="168"/>
      <c r="AP85" s="166"/>
      <c r="AQ85" s="167"/>
      <c r="AR85" s="167"/>
      <c r="AS85" s="167"/>
      <c r="AT85" s="168"/>
      <c r="AU85" s="166"/>
      <c r="AV85" s="167"/>
      <c r="AW85" s="167"/>
      <c r="AX85" s="167"/>
      <c r="AY85" s="168"/>
    </row>
    <row r="86" spans="10:53" x14ac:dyDescent="0.25">
      <c r="J86" s="165"/>
      <c r="K86" s="39">
        <v>0.2</v>
      </c>
      <c r="L86" s="39"/>
      <c r="M86" s="39"/>
      <c r="N86" s="39"/>
      <c r="O86" s="7"/>
      <c r="P86" s="5"/>
      <c r="Q86" s="169"/>
      <c r="R86" s="23"/>
      <c r="S86" s="23"/>
      <c r="T86" s="23"/>
      <c r="U86" s="24"/>
      <c r="V86" s="169"/>
      <c r="W86" s="23"/>
      <c r="X86" s="23"/>
      <c r="Y86" s="23"/>
      <c r="Z86" s="24"/>
      <c r="AA86" s="169"/>
      <c r="AB86" s="23"/>
      <c r="AC86" s="23"/>
      <c r="AD86" s="23"/>
      <c r="AE86" s="24"/>
      <c r="AF86" s="169"/>
      <c r="AG86" s="23"/>
      <c r="AH86" s="23"/>
      <c r="AI86" s="23"/>
      <c r="AJ86" s="24"/>
      <c r="AK86" s="169"/>
      <c r="AL86" s="23"/>
      <c r="AM86" s="23"/>
      <c r="AN86" s="23"/>
      <c r="AO86" s="24"/>
      <c r="AP86" s="169"/>
      <c r="AQ86" s="23"/>
      <c r="AR86" s="23"/>
      <c r="AS86" s="23"/>
      <c r="AT86" s="24"/>
      <c r="AU86" s="169"/>
      <c r="AV86" s="23"/>
      <c r="AW86" s="23"/>
      <c r="AX86" s="23"/>
      <c r="AY86" s="24"/>
    </row>
    <row r="87" spans="10:53" x14ac:dyDescent="0.25">
      <c r="J87" s="165"/>
      <c r="K87" s="39"/>
      <c r="L87" s="39"/>
      <c r="M87" s="39"/>
      <c r="N87" s="39"/>
      <c r="Q87" s="166"/>
      <c r="R87" s="167"/>
      <c r="S87" s="167"/>
      <c r="T87" s="167"/>
      <c r="U87" s="168"/>
      <c r="V87" s="166"/>
      <c r="W87" s="167"/>
      <c r="X87" s="167"/>
      <c r="Y87" s="167"/>
      <c r="Z87" s="168"/>
      <c r="AA87" s="166"/>
      <c r="AB87" s="167"/>
      <c r="AC87" s="167"/>
      <c r="AD87" s="167"/>
      <c r="AE87" s="168"/>
      <c r="AF87" s="166"/>
      <c r="AG87" s="167"/>
      <c r="AH87" s="167"/>
      <c r="AI87" s="167"/>
      <c r="AJ87" s="168"/>
      <c r="AK87" s="166"/>
      <c r="AL87" s="167"/>
      <c r="AM87" s="167"/>
      <c r="AN87" s="167"/>
      <c r="AO87" s="168"/>
      <c r="AP87" s="166"/>
      <c r="AQ87" s="167"/>
      <c r="AR87" s="167"/>
      <c r="AS87" s="167"/>
      <c r="AT87" s="168"/>
      <c r="AU87" s="166"/>
      <c r="AV87" s="167"/>
      <c r="AW87" s="167"/>
      <c r="AX87" s="167"/>
      <c r="AY87" s="168"/>
    </row>
    <row r="88" spans="10:53" x14ac:dyDescent="0.25">
      <c r="J88" s="165"/>
      <c r="K88" s="39">
        <v>0.1</v>
      </c>
      <c r="L88" s="39"/>
      <c r="M88" s="39"/>
      <c r="N88" s="39"/>
      <c r="O88" s="7"/>
      <c r="P88" s="5"/>
      <c r="Q88" s="169"/>
      <c r="R88" s="23"/>
      <c r="S88" s="23"/>
      <c r="T88" s="23"/>
      <c r="U88" s="24"/>
      <c r="V88" s="169"/>
      <c r="W88" s="23"/>
      <c r="X88" s="23"/>
      <c r="Y88" s="23"/>
      <c r="Z88" s="24"/>
      <c r="AA88" s="169"/>
      <c r="AB88" s="23"/>
      <c r="AC88" s="23"/>
      <c r="AD88" s="23"/>
      <c r="AE88" s="24"/>
      <c r="AF88" s="169"/>
      <c r="AG88" s="23"/>
      <c r="AH88" s="23"/>
      <c r="AI88" s="23"/>
      <c r="AJ88" s="24"/>
      <c r="AK88" s="169"/>
      <c r="AL88" s="23"/>
      <c r="AM88" s="23"/>
      <c r="AN88" s="23"/>
      <c r="AO88" s="24"/>
      <c r="AP88" s="169"/>
      <c r="AQ88" s="23"/>
      <c r="AR88" s="23"/>
      <c r="AS88" s="23"/>
      <c r="AT88" s="24"/>
      <c r="AU88" s="169"/>
      <c r="AV88" s="23"/>
      <c r="AW88" s="23"/>
      <c r="AX88" s="23"/>
      <c r="AY88" s="24"/>
    </row>
    <row r="89" spans="10:53" x14ac:dyDescent="0.25">
      <c r="J89" s="165"/>
      <c r="K89" s="39"/>
      <c r="L89" s="39"/>
      <c r="M89" s="39"/>
      <c r="N89" s="39"/>
      <c r="Q89" s="166"/>
      <c r="R89" s="167"/>
      <c r="S89" s="167"/>
      <c r="T89" s="167"/>
      <c r="U89" s="168"/>
      <c r="V89" s="166"/>
      <c r="W89" s="167"/>
      <c r="X89" s="167"/>
      <c r="Y89" s="167"/>
      <c r="Z89" s="168"/>
      <c r="AA89" s="166"/>
      <c r="AB89" s="167"/>
      <c r="AC89" s="167"/>
      <c r="AD89" s="167"/>
      <c r="AE89" s="168"/>
      <c r="AF89" s="166"/>
      <c r="AG89" s="167"/>
      <c r="AH89" s="167"/>
      <c r="AI89" s="167"/>
      <c r="AJ89" s="168"/>
      <c r="AK89" s="166"/>
      <c r="AL89" s="167"/>
      <c r="AM89" s="167"/>
      <c r="AN89" s="167"/>
      <c r="AO89" s="168"/>
      <c r="AP89" s="166"/>
      <c r="AQ89" s="167"/>
      <c r="AR89" s="167"/>
      <c r="AS89" s="167"/>
      <c r="AT89" s="168"/>
      <c r="AU89" s="166"/>
      <c r="AV89" s="167"/>
      <c r="AW89" s="167"/>
      <c r="AX89" s="167"/>
      <c r="AY89" s="168"/>
    </row>
    <row r="90" spans="10:53" x14ac:dyDescent="0.25">
      <c r="J90" s="210"/>
      <c r="Q90" s="169"/>
      <c r="R90" s="23"/>
      <c r="S90" s="23"/>
      <c r="T90" s="23"/>
      <c r="U90" s="24"/>
      <c r="V90" s="169"/>
      <c r="W90" s="23"/>
      <c r="X90" s="23"/>
      <c r="Y90" s="23"/>
      <c r="Z90" s="24"/>
      <c r="AA90" s="169"/>
      <c r="AB90" s="23"/>
      <c r="AC90" s="23"/>
      <c r="AD90" s="23"/>
      <c r="AE90" s="24"/>
      <c r="AF90" s="169"/>
      <c r="AG90" s="23"/>
      <c r="AH90" s="23"/>
      <c r="AI90" s="23"/>
      <c r="AJ90" s="24"/>
      <c r="AK90" s="169"/>
      <c r="AL90" s="23"/>
      <c r="AM90" s="23"/>
      <c r="AN90" s="23"/>
      <c r="AO90" s="24"/>
      <c r="AP90" s="169"/>
      <c r="AQ90" s="23"/>
      <c r="AR90" s="23"/>
      <c r="AS90" s="23"/>
      <c r="AT90" s="24"/>
      <c r="AU90" s="169"/>
      <c r="AV90" s="23"/>
      <c r="AW90" s="23"/>
      <c r="AX90" s="23"/>
      <c r="AY90" s="24"/>
    </row>
    <row r="91" spans="10:53" x14ac:dyDescent="0.25">
      <c r="P91" s="3"/>
      <c r="U91" s="3"/>
      <c r="Z91" s="3"/>
      <c r="AE91" s="3"/>
      <c r="AJ91" s="3"/>
      <c r="AO91" s="3"/>
      <c r="AT91" s="3"/>
      <c r="AY91" s="3"/>
    </row>
    <row r="92" spans="10:53" x14ac:dyDescent="0.25">
      <c r="P92" s="3"/>
      <c r="U92" s="3"/>
      <c r="Z92" s="3"/>
      <c r="AE92" s="3"/>
      <c r="AJ92" s="3"/>
      <c r="AO92" s="3"/>
      <c r="AT92" s="3"/>
      <c r="AY92" s="3"/>
    </row>
    <row r="93" spans="10:53" x14ac:dyDescent="0.25">
      <c r="O93" s="39">
        <v>0</v>
      </c>
      <c r="P93" s="39"/>
      <c r="Q93" s="39"/>
      <c r="R93" s="39"/>
      <c r="T93" s="39">
        <v>0.05</v>
      </c>
      <c r="U93" s="39"/>
      <c r="V93" s="39"/>
      <c r="W93" s="39"/>
      <c r="Y93" s="39">
        <v>0.1</v>
      </c>
      <c r="Z93" s="39"/>
      <c r="AA93" s="39"/>
      <c r="AB93" s="39"/>
      <c r="AD93" s="39">
        <v>0.15</v>
      </c>
      <c r="AE93" s="39"/>
      <c r="AF93" s="39"/>
      <c r="AG93" s="39"/>
      <c r="AI93" s="39">
        <v>0.2</v>
      </c>
      <c r="AJ93" s="39"/>
      <c r="AK93" s="39"/>
      <c r="AL93" s="39"/>
      <c r="AN93" s="39">
        <v>0.25</v>
      </c>
      <c r="AO93" s="39"/>
      <c r="AP93" s="39"/>
      <c r="AQ93" s="39"/>
      <c r="AS93" s="39">
        <v>0.3</v>
      </c>
      <c r="AT93" s="39"/>
      <c r="AU93" s="39"/>
      <c r="AV93" s="39"/>
      <c r="AX93" s="39">
        <v>0.35</v>
      </c>
      <c r="AY93" s="39"/>
      <c r="AZ93" s="39"/>
      <c r="BA93" s="39"/>
    </row>
    <row r="94" spans="10:53" x14ac:dyDescent="0.25">
      <c r="O94" s="39"/>
      <c r="P94" s="39"/>
      <c r="Q94" s="39"/>
      <c r="R94" s="39"/>
      <c r="T94" s="39"/>
      <c r="U94" s="39"/>
      <c r="V94" s="39"/>
      <c r="W94" s="39"/>
      <c r="Y94" s="39"/>
      <c r="Z94" s="39"/>
      <c r="AA94" s="39"/>
      <c r="AB94" s="39"/>
      <c r="AD94" s="39"/>
      <c r="AE94" s="39"/>
      <c r="AF94" s="39"/>
      <c r="AG94" s="39"/>
      <c r="AI94" s="39"/>
      <c r="AJ94" s="39"/>
      <c r="AK94" s="39"/>
      <c r="AL94" s="39"/>
      <c r="AN94" s="39"/>
      <c r="AO94" s="39"/>
      <c r="AP94" s="39"/>
      <c r="AQ94" s="39"/>
      <c r="AS94" s="39"/>
      <c r="AT94" s="39"/>
      <c r="AU94" s="39"/>
      <c r="AV94" s="39"/>
      <c r="AX94" s="39"/>
      <c r="AY94" s="39"/>
      <c r="AZ94" s="39"/>
      <c r="BA94" s="39"/>
    </row>
    <row r="95" spans="10:53" ht="24.75" x14ac:dyDescent="0.5">
      <c r="Q95" s="164" t="s">
        <v>55</v>
      </c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</row>
    <row r="96" spans="10:53" ht="21" x14ac:dyDescent="0.25">
      <c r="AC96" s="211"/>
      <c r="AD96" s="211"/>
      <c r="AE96" s="211"/>
      <c r="AF96" s="211"/>
      <c r="AG96" s="211"/>
      <c r="AH96" s="211"/>
    </row>
  </sheetData>
  <sheetProtection password="D60E" sheet="1" objects="1" scenarios="1" selectLockedCells="1"/>
  <mergeCells count="49">
    <mergeCell ref="C4:F4"/>
    <mergeCell ref="C5:F5"/>
    <mergeCell ref="AN93:AQ94"/>
    <mergeCell ref="AS93:AV94"/>
    <mergeCell ref="AX93:BA94"/>
    <mergeCell ref="Q95:AY95"/>
    <mergeCell ref="AC96:AH96"/>
    <mergeCell ref="S49:Y49"/>
    <mergeCell ref="Z49:AC49"/>
    <mergeCell ref="S50:Y50"/>
    <mergeCell ref="Z50:AC50"/>
    <mergeCell ref="S51:Y51"/>
    <mergeCell ref="AL80:AN81"/>
    <mergeCell ref="K82:N83"/>
    <mergeCell ref="K84:N85"/>
    <mergeCell ref="K86:N87"/>
    <mergeCell ref="K88:N89"/>
    <mergeCell ref="O93:R94"/>
    <mergeCell ref="T93:W94"/>
    <mergeCell ref="Y93:AB94"/>
    <mergeCell ref="AD93:AG94"/>
    <mergeCell ref="AI93:AL94"/>
    <mergeCell ref="AH75:AJ76"/>
    <mergeCell ref="K76:N77"/>
    <mergeCell ref="W77:Y78"/>
    <mergeCell ref="AF77:AH78"/>
    <mergeCell ref="K78:N79"/>
    <mergeCell ref="AB79:AD80"/>
    <mergeCell ref="K80:N81"/>
    <mergeCell ref="K70:N71"/>
    <mergeCell ref="AC70:AE71"/>
    <mergeCell ref="K72:N73"/>
    <mergeCell ref="V73:X74"/>
    <mergeCell ref="K74:N75"/>
    <mergeCell ref="Q74:S75"/>
    <mergeCell ref="AA75:AC76"/>
    <mergeCell ref="V61:X62"/>
    <mergeCell ref="K62:N63"/>
    <mergeCell ref="K64:N65"/>
    <mergeCell ref="Y65:AA66"/>
    <mergeCell ref="K66:N67"/>
    <mergeCell ref="K68:N69"/>
    <mergeCell ref="K56:N57"/>
    <mergeCell ref="O45:AF45"/>
    <mergeCell ref="S53:Y53"/>
    <mergeCell ref="J57:J89"/>
    <mergeCell ref="K58:N59"/>
    <mergeCell ref="K60:N61"/>
    <mergeCell ref="A8:C8"/>
  </mergeCells>
  <dataValidations count="1">
    <dataValidation type="list" allowBlank="1" showInputMessage="1" showErrorMessage="1" sqref="E40:H40">
      <formula1>"10,12,16,20,25,28,32"</formula1>
    </dataValidation>
  </dataValidations>
  <pageMargins left="0.7" right="0.7" top="0.75" bottom="0.75" header="0.3" footer="0.3"/>
  <pageSetup paperSize="9" orientation="portrait" r:id="rId1"/>
  <ignoredErrors>
    <ignoredError sqref="E11:H11 E17:H18 E21:H21 F20:G20 E39:H39 E22:F26 E29:F29 F28 S49:Y50 E16:G16" unlockedFormula="1"/>
    <ignoredError sqref="H29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9"/>
  <sheetViews>
    <sheetView tabSelected="1" topLeftCell="A37" zoomScale="78" zoomScaleNormal="78" workbookViewId="0">
      <selection activeCell="H12" sqref="H12"/>
    </sheetView>
  </sheetViews>
  <sheetFormatPr defaultRowHeight="15" x14ac:dyDescent="0.25"/>
  <cols>
    <col min="1" max="1" width="4.7109375" style="219" customWidth="1"/>
    <col min="2" max="2" width="9.140625" style="219"/>
    <col min="3" max="3" width="9.7109375" style="219" customWidth="1"/>
    <col min="4" max="4" width="5.7109375" style="219" customWidth="1"/>
    <col min="5" max="5" width="17.7109375" style="219" customWidth="1"/>
    <col min="6" max="10" width="15.7109375" style="219" customWidth="1"/>
    <col min="11" max="16384" width="9.140625" style="219"/>
  </cols>
  <sheetData>
    <row r="1" spans="1:11" x14ac:dyDescent="0.25">
      <c r="A1" s="217"/>
      <c r="B1" s="218"/>
      <c r="C1" s="218"/>
      <c r="D1" s="218"/>
      <c r="E1" s="218"/>
      <c r="F1" s="218"/>
      <c r="G1" s="218"/>
      <c r="H1" s="218"/>
      <c r="J1" s="220"/>
      <c r="K1" s="221"/>
    </row>
    <row r="2" spans="1:11" x14ac:dyDescent="0.25">
      <c r="A2" s="222"/>
      <c r="C2" s="223"/>
      <c r="D2" s="224"/>
      <c r="E2" s="224"/>
      <c r="F2" s="224"/>
      <c r="H2" s="223"/>
      <c r="I2" s="221"/>
      <c r="J2" s="220"/>
      <c r="K2" s="221"/>
    </row>
    <row r="3" spans="1:11" x14ac:dyDescent="0.25">
      <c r="B3" s="225" t="s">
        <v>1</v>
      </c>
      <c r="C3" s="13"/>
      <c r="D3" s="13"/>
      <c r="E3" s="13"/>
      <c r="F3" s="225" t="s">
        <v>3</v>
      </c>
      <c r="G3" s="10"/>
      <c r="H3" s="10"/>
      <c r="I3" s="226" t="s">
        <v>133</v>
      </c>
      <c r="J3" s="212"/>
      <c r="K3" s="221"/>
    </row>
    <row r="4" spans="1:11" x14ac:dyDescent="0.25">
      <c r="B4" s="225" t="s">
        <v>2</v>
      </c>
      <c r="C4" s="13"/>
      <c r="D4" s="13"/>
      <c r="E4" s="13"/>
      <c r="F4" s="225" t="s">
        <v>4</v>
      </c>
      <c r="G4" s="10"/>
      <c r="H4" s="10"/>
      <c r="I4" s="225" t="s">
        <v>134</v>
      </c>
      <c r="J4" s="213"/>
      <c r="K4" s="221"/>
    </row>
    <row r="5" spans="1:11" x14ac:dyDescent="0.25">
      <c r="A5" s="222"/>
      <c r="B5" s="223"/>
      <c r="C5" s="223"/>
      <c r="D5" s="223"/>
      <c r="E5" s="224"/>
      <c r="F5" s="223"/>
      <c r="G5" s="223"/>
      <c r="H5" s="223"/>
      <c r="I5" s="223"/>
      <c r="J5" s="227"/>
      <c r="K5" s="221"/>
    </row>
    <row r="6" spans="1:11" ht="15" customHeight="1" x14ac:dyDescent="0.25">
      <c r="A6" s="222"/>
      <c r="B6" s="228"/>
      <c r="C6" s="229"/>
      <c r="D6" s="229"/>
      <c r="E6" s="230" t="s">
        <v>5</v>
      </c>
      <c r="F6" s="230"/>
      <c r="G6" s="230"/>
      <c r="H6" s="230"/>
      <c r="I6" s="231"/>
      <c r="J6" s="232"/>
      <c r="K6" s="221"/>
    </row>
    <row r="7" spans="1:11" ht="15" customHeight="1" x14ac:dyDescent="0.25">
      <c r="A7" s="233" t="s">
        <v>116</v>
      </c>
      <c r="B7" s="234"/>
      <c r="C7" s="235"/>
      <c r="D7" s="229"/>
      <c r="E7" s="236" t="s">
        <v>132</v>
      </c>
      <c r="F7" s="236"/>
      <c r="G7" s="236"/>
      <c r="H7" s="236"/>
      <c r="I7" s="231"/>
      <c r="J7" s="214">
        <v>2</v>
      </c>
      <c r="K7" s="221"/>
    </row>
    <row r="8" spans="1:11" ht="18.75" x14ac:dyDescent="0.3">
      <c r="A8" s="237"/>
      <c r="B8" s="238"/>
      <c r="C8" s="239"/>
      <c r="D8" s="229"/>
      <c r="E8" s="240"/>
      <c r="F8" s="221"/>
      <c r="G8" s="229"/>
      <c r="H8" s="229"/>
      <c r="I8" s="231"/>
      <c r="J8" s="241" t="s">
        <v>88</v>
      </c>
      <c r="K8" s="221"/>
    </row>
    <row r="9" spans="1:11" ht="20.100000000000001" customHeight="1" x14ac:dyDescent="0.25">
      <c r="A9" s="242" t="s">
        <v>115</v>
      </c>
      <c r="B9" s="243"/>
      <c r="C9" s="243"/>
      <c r="D9" s="243"/>
      <c r="E9" s="244"/>
      <c r="F9" s="245" t="s">
        <v>10</v>
      </c>
      <c r="G9" s="215">
        <v>90</v>
      </c>
      <c r="H9" s="215">
        <v>85</v>
      </c>
      <c r="I9" s="215">
        <v>85</v>
      </c>
      <c r="J9" s="215">
        <v>60</v>
      </c>
    </row>
    <row r="10" spans="1:11" ht="21.75" x14ac:dyDescent="0.3">
      <c r="A10" s="217"/>
      <c r="B10" s="246"/>
      <c r="C10" s="247"/>
      <c r="D10" s="247"/>
      <c r="E10" s="248"/>
      <c r="F10" s="249" t="s">
        <v>90</v>
      </c>
      <c r="G10" s="250" t="s">
        <v>6</v>
      </c>
      <c r="H10" s="250" t="s">
        <v>7</v>
      </c>
      <c r="I10" s="250" t="s">
        <v>60</v>
      </c>
      <c r="J10" s="250" t="s">
        <v>58</v>
      </c>
      <c r="K10" s="221"/>
    </row>
    <row r="11" spans="1:11" x14ac:dyDescent="0.25">
      <c r="A11" s="222"/>
      <c r="B11" s="251" t="s">
        <v>49</v>
      </c>
      <c r="C11" s="18">
        <v>280</v>
      </c>
      <c r="D11" s="253" t="s">
        <v>89</v>
      </c>
      <c r="E11" s="254" t="s">
        <v>9</v>
      </c>
      <c r="F11" s="255" t="s">
        <v>10</v>
      </c>
      <c r="G11" s="256">
        <f>SUM(G9:K9)</f>
        <v>320</v>
      </c>
      <c r="H11" s="256">
        <f>J7+I9+J9+H9</f>
        <v>232</v>
      </c>
      <c r="I11" s="256">
        <f>J7+J9+I9</f>
        <v>147</v>
      </c>
      <c r="J11" s="256">
        <f>J7+J9</f>
        <v>62</v>
      </c>
      <c r="K11" s="221"/>
    </row>
    <row r="12" spans="1:11" x14ac:dyDescent="0.25">
      <c r="A12" s="222"/>
      <c r="B12" s="251" t="s">
        <v>52</v>
      </c>
      <c r="C12" s="18">
        <v>4000</v>
      </c>
      <c r="D12" s="253" t="s">
        <v>89</v>
      </c>
      <c r="E12" s="254" t="s">
        <v>12</v>
      </c>
      <c r="F12" s="257" t="s">
        <v>13</v>
      </c>
      <c r="G12" s="29">
        <v>6.7</v>
      </c>
      <c r="H12" s="29">
        <v>6.7</v>
      </c>
      <c r="I12" s="29">
        <v>6.7</v>
      </c>
      <c r="J12" s="29">
        <v>6.7</v>
      </c>
      <c r="K12" s="221"/>
    </row>
    <row r="13" spans="1:11" x14ac:dyDescent="0.25">
      <c r="A13" s="222"/>
      <c r="B13" s="251" t="s">
        <v>69</v>
      </c>
      <c r="C13" s="216">
        <f>2.04*10^6</f>
        <v>2040000</v>
      </c>
      <c r="D13" s="258" t="s">
        <v>89</v>
      </c>
      <c r="E13" s="254" t="s">
        <v>14</v>
      </c>
      <c r="F13" s="257" t="s">
        <v>13</v>
      </c>
      <c r="G13" s="30">
        <v>6.27</v>
      </c>
      <c r="H13" s="30">
        <v>6.27</v>
      </c>
      <c r="I13" s="30">
        <v>6.27</v>
      </c>
      <c r="J13" s="30">
        <v>6.27</v>
      </c>
      <c r="K13" s="221"/>
    </row>
    <row r="14" spans="1:11" x14ac:dyDescent="0.25">
      <c r="A14" s="222"/>
      <c r="B14" s="251" t="s">
        <v>63</v>
      </c>
      <c r="C14" s="252"/>
      <c r="D14" s="252"/>
      <c r="E14" s="259" t="s">
        <v>65</v>
      </c>
      <c r="F14" s="260" t="s">
        <v>66</v>
      </c>
      <c r="G14" s="261">
        <f>ROUND(G11/$C$15,2)</f>
        <v>457.14</v>
      </c>
      <c r="H14" s="261">
        <f>ROUND(H11/$C$15,2)</f>
        <v>331.43</v>
      </c>
      <c r="I14" s="261">
        <f>ROUND(I11/$C$15,2)</f>
        <v>210</v>
      </c>
      <c r="J14" s="261">
        <f>ROUND(J11/$C$15,2)</f>
        <v>88.57</v>
      </c>
      <c r="K14" s="221"/>
    </row>
    <row r="15" spans="1:11" x14ac:dyDescent="0.25">
      <c r="A15" s="222"/>
      <c r="B15" s="262" t="s">
        <v>64</v>
      </c>
      <c r="C15" s="18">
        <v>0.7</v>
      </c>
      <c r="D15" s="252"/>
      <c r="E15" s="254" t="s">
        <v>67</v>
      </c>
      <c r="F15" s="260" t="s">
        <v>13</v>
      </c>
      <c r="G15" s="263">
        <f>ROUND(MAX(G12:G13)/$C$15,2)</f>
        <v>9.57</v>
      </c>
      <c r="H15" s="263">
        <f>ROUND(MAX(H12:H13)/$C$15,2)</f>
        <v>9.57</v>
      </c>
      <c r="I15" s="263">
        <f>ROUND(MAX(I12:I13)/$C$15,2)</f>
        <v>9.57</v>
      </c>
      <c r="J15" s="263">
        <f>ROUND(MAX(J12:J13)/$C$15,2)</f>
        <v>9.57</v>
      </c>
      <c r="K15" s="221"/>
    </row>
    <row r="16" spans="1:11" x14ac:dyDescent="0.25">
      <c r="A16" s="222"/>
      <c r="B16" s="264" t="s">
        <v>71</v>
      </c>
      <c r="C16" s="18">
        <v>0.85</v>
      </c>
      <c r="D16" s="252"/>
      <c r="E16" s="254" t="s">
        <v>68</v>
      </c>
      <c r="F16" s="260" t="s">
        <v>84</v>
      </c>
      <c r="G16" s="263">
        <f>ROUND((MAX(G12:G13)/G11)*100,2)</f>
        <v>2.09</v>
      </c>
      <c r="H16" s="263">
        <f t="shared" ref="H16:J16" si="0">ROUND((MAX(H12:H13)/H11)*100,2)</f>
        <v>2.89</v>
      </c>
      <c r="I16" s="263">
        <f t="shared" si="0"/>
        <v>4.5599999999999996</v>
      </c>
      <c r="J16" s="263">
        <f t="shared" si="0"/>
        <v>10.81</v>
      </c>
      <c r="K16" s="221"/>
    </row>
    <row r="17" spans="1:12" x14ac:dyDescent="0.25">
      <c r="A17" s="222"/>
      <c r="B17" s="251"/>
      <c r="C17" s="265"/>
      <c r="D17" s="265"/>
      <c r="E17" s="266" t="s">
        <v>15</v>
      </c>
      <c r="F17" s="260" t="s">
        <v>84</v>
      </c>
      <c r="G17" s="29">
        <v>40</v>
      </c>
      <c r="H17" s="29">
        <v>40</v>
      </c>
      <c r="I17" s="29">
        <v>40</v>
      </c>
      <c r="J17" s="29">
        <v>40</v>
      </c>
      <c r="K17" s="221"/>
    </row>
    <row r="18" spans="1:12" x14ac:dyDescent="0.25">
      <c r="A18" s="222"/>
      <c r="B18" s="251"/>
      <c r="C18" s="265"/>
      <c r="D18" s="265"/>
      <c r="E18" s="267" t="s">
        <v>17</v>
      </c>
      <c r="F18" s="260" t="s">
        <v>84</v>
      </c>
      <c r="G18" s="29">
        <v>60</v>
      </c>
      <c r="H18" s="29">
        <v>60</v>
      </c>
      <c r="I18" s="29">
        <v>60</v>
      </c>
      <c r="J18" s="29">
        <v>60</v>
      </c>
      <c r="K18" s="221"/>
    </row>
    <row r="19" spans="1:12" x14ac:dyDescent="0.25">
      <c r="A19" s="222"/>
      <c r="B19" s="251"/>
      <c r="C19" s="265"/>
      <c r="D19" s="265"/>
      <c r="E19" s="267" t="s">
        <v>87</v>
      </c>
      <c r="F19" s="260" t="s">
        <v>84</v>
      </c>
      <c r="G19" s="31">
        <v>3</v>
      </c>
      <c r="H19" s="31">
        <v>3</v>
      </c>
      <c r="I19" s="31">
        <v>3</v>
      </c>
      <c r="J19" s="31">
        <v>3</v>
      </c>
      <c r="K19" s="221"/>
    </row>
    <row r="20" spans="1:12" x14ac:dyDescent="0.25">
      <c r="A20" s="222"/>
      <c r="B20" s="251"/>
      <c r="C20" s="265"/>
      <c r="D20" s="265"/>
      <c r="E20" s="267" t="s">
        <v>56</v>
      </c>
      <c r="F20" s="260" t="s">
        <v>84</v>
      </c>
      <c r="G20" s="268">
        <f>G18-G21</f>
        <v>55.4</v>
      </c>
      <c r="H20" s="268">
        <f>H18-H21</f>
        <v>55.4</v>
      </c>
      <c r="I20" s="268">
        <f>I18-I21</f>
        <v>55.4</v>
      </c>
      <c r="J20" s="268">
        <f>J18-J21</f>
        <v>54.9</v>
      </c>
      <c r="K20" s="221"/>
    </row>
    <row r="21" spans="1:12" x14ac:dyDescent="0.25">
      <c r="A21" s="269"/>
      <c r="B21" s="270"/>
      <c r="C21" s="271"/>
      <c r="D21" s="271"/>
      <c r="E21" s="272" t="s">
        <v>18</v>
      </c>
      <c r="F21" s="260" t="s">
        <v>84</v>
      </c>
      <c r="G21" s="273">
        <f>G19+G26/10+G23/10/2</f>
        <v>4.5999999999999996</v>
      </c>
      <c r="H21" s="273">
        <f>H19+H26/10+H23/10/2</f>
        <v>4.5999999999999996</v>
      </c>
      <c r="I21" s="273">
        <f>I19+I26/10+I23/10/2</f>
        <v>4.5999999999999996</v>
      </c>
      <c r="J21" s="273">
        <f>J19+J26/10+J23/10/2</f>
        <v>5.0999999999999996</v>
      </c>
      <c r="K21" s="221"/>
    </row>
    <row r="22" spans="1:12" ht="69.95" customHeight="1" x14ac:dyDescent="0.25">
      <c r="A22" s="274"/>
      <c r="B22" s="275" t="s">
        <v>38</v>
      </c>
      <c r="C22" s="275"/>
      <c r="D22" s="275"/>
      <c r="E22" s="275"/>
      <c r="F22" s="276" t="s">
        <v>124</v>
      </c>
      <c r="G22" s="277"/>
      <c r="H22" s="277"/>
      <c r="I22" s="277"/>
      <c r="J22" s="277"/>
      <c r="K22" s="221"/>
      <c r="L22" s="221"/>
    </row>
    <row r="23" spans="1:12" ht="15" customHeight="1" x14ac:dyDescent="0.25">
      <c r="A23" s="217"/>
      <c r="B23" s="278"/>
      <c r="C23" s="279"/>
      <c r="D23" s="279"/>
      <c r="E23" s="280" t="s">
        <v>130</v>
      </c>
      <c r="F23" s="255" t="s">
        <v>40</v>
      </c>
      <c r="G23" s="27">
        <v>20</v>
      </c>
      <c r="H23" s="27">
        <v>20</v>
      </c>
      <c r="I23" s="27">
        <v>20</v>
      </c>
      <c r="J23" s="27">
        <v>28</v>
      </c>
      <c r="K23" s="221"/>
      <c r="L23" s="221"/>
    </row>
    <row r="24" spans="1:12" x14ac:dyDescent="0.25">
      <c r="A24" s="222"/>
      <c r="B24" s="251"/>
      <c r="C24" s="265"/>
      <c r="D24" s="265"/>
      <c r="E24" s="281" t="s">
        <v>41</v>
      </c>
      <c r="F24" s="257" t="s">
        <v>0</v>
      </c>
      <c r="G24" s="28">
        <v>9</v>
      </c>
      <c r="H24" s="28">
        <v>1</v>
      </c>
      <c r="I24" s="28">
        <v>10</v>
      </c>
      <c r="J24" s="28">
        <v>6</v>
      </c>
      <c r="K24" s="221"/>
      <c r="L24" s="221"/>
    </row>
    <row r="25" spans="1:12" ht="18" x14ac:dyDescent="0.25">
      <c r="A25" s="222"/>
      <c r="B25" s="251"/>
      <c r="C25" s="265"/>
      <c r="D25" s="265"/>
      <c r="E25" s="281" t="s">
        <v>42</v>
      </c>
      <c r="F25" s="257" t="s">
        <v>22</v>
      </c>
      <c r="G25" s="282">
        <f>IF(G57="comp.failure",0,+G$24*(G$23/10)^2*PI()/4)</f>
        <v>0</v>
      </c>
      <c r="H25" s="282">
        <f t="shared" ref="H25:J25" si="1">IF(H57="comp.failure",0,+H$24*(H$23/10)^2*PI()/4)</f>
        <v>0</v>
      </c>
      <c r="I25" s="282">
        <f t="shared" si="1"/>
        <v>0</v>
      </c>
      <c r="J25" s="282">
        <f t="shared" si="1"/>
        <v>36.945129606215964</v>
      </c>
      <c r="K25" s="221"/>
      <c r="L25" s="283"/>
    </row>
    <row r="26" spans="1:12" x14ac:dyDescent="0.25">
      <c r="A26" s="269"/>
      <c r="B26" s="284"/>
      <c r="C26" s="265"/>
      <c r="D26" s="265"/>
      <c r="E26" s="285" t="s">
        <v>43</v>
      </c>
      <c r="F26" s="286" t="s">
        <v>40</v>
      </c>
      <c r="G26" s="28">
        <v>6</v>
      </c>
      <c r="H26" s="28">
        <v>6</v>
      </c>
      <c r="I26" s="28">
        <v>6</v>
      </c>
      <c r="J26" s="28">
        <v>7</v>
      </c>
      <c r="K26" s="221"/>
      <c r="L26" s="221"/>
    </row>
    <row r="27" spans="1:12" x14ac:dyDescent="0.25">
      <c r="A27" s="287" t="s">
        <v>45</v>
      </c>
      <c r="B27" s="288"/>
      <c r="C27" s="289"/>
      <c r="D27" s="290"/>
      <c r="E27" s="285" t="s">
        <v>44</v>
      </c>
      <c r="F27" s="291"/>
      <c r="G27" s="292">
        <f>IF(G57="comp.failure",0,16*G$23/10)</f>
        <v>0</v>
      </c>
      <c r="H27" s="292">
        <f t="shared" ref="H27:J27" si="2">IF(H57="comp.failure",0,16*H$23/10)</f>
        <v>0</v>
      </c>
      <c r="I27" s="292">
        <f t="shared" si="2"/>
        <v>0</v>
      </c>
      <c r="J27" s="292">
        <f t="shared" si="2"/>
        <v>44.8</v>
      </c>
      <c r="K27" s="221"/>
      <c r="L27" s="221"/>
    </row>
    <row r="28" spans="1:12" ht="18.75" customHeight="1" x14ac:dyDescent="0.25">
      <c r="A28" s="293"/>
      <c r="B28" s="294"/>
      <c r="C28" s="289"/>
      <c r="D28" s="290"/>
      <c r="E28" s="285" t="s">
        <v>46</v>
      </c>
      <c r="F28" s="291"/>
      <c r="G28" s="292">
        <f>IF(G57="comp.failure",0,48*G$26/10)</f>
        <v>0</v>
      </c>
      <c r="H28" s="292">
        <f t="shared" ref="H28:J28" si="3">IF(H57="comp.failure",0,48*H$26/10)</f>
        <v>0</v>
      </c>
      <c r="I28" s="292">
        <f t="shared" si="3"/>
        <v>0</v>
      </c>
      <c r="J28" s="292">
        <f t="shared" si="3"/>
        <v>33.6</v>
      </c>
      <c r="K28" s="221"/>
      <c r="L28" s="221"/>
    </row>
    <row r="29" spans="1:12" x14ac:dyDescent="0.25">
      <c r="A29" s="295"/>
      <c r="B29" s="296"/>
      <c r="C29" s="297"/>
      <c r="D29" s="284"/>
      <c r="E29" s="298" t="s">
        <v>47</v>
      </c>
      <c r="F29" s="299"/>
      <c r="G29" s="300">
        <f>IF(G57="comp.failure",0,+MIN(G$17,G$18))</f>
        <v>0</v>
      </c>
      <c r="H29" s="300">
        <f t="shared" ref="H29:J29" si="4">IF(H57="comp.failure",0,+MIN(H$17,H$18))</f>
        <v>0</v>
      </c>
      <c r="I29" s="300">
        <f t="shared" si="4"/>
        <v>0</v>
      </c>
      <c r="J29" s="300">
        <f t="shared" si="4"/>
        <v>40</v>
      </c>
      <c r="K29" s="221"/>
      <c r="L29" s="221"/>
    </row>
    <row r="30" spans="1:12" x14ac:dyDescent="0.25">
      <c r="A30" s="222"/>
      <c r="B30" s="265"/>
      <c r="C30" s="265"/>
      <c r="D30" s="265"/>
      <c r="E30" s="301" t="s">
        <v>23</v>
      </c>
      <c r="F30" s="257"/>
      <c r="G30" s="32">
        <v>0.7</v>
      </c>
      <c r="H30" s="32">
        <v>0.7</v>
      </c>
      <c r="I30" s="32">
        <v>0.7</v>
      </c>
      <c r="J30" s="32">
        <v>0.7</v>
      </c>
      <c r="K30" s="221"/>
      <c r="L30" s="221"/>
    </row>
    <row r="31" spans="1:12" x14ac:dyDescent="0.25">
      <c r="A31" s="222"/>
      <c r="B31" s="265"/>
      <c r="C31" s="265"/>
      <c r="D31" s="265"/>
      <c r="E31" s="302" t="s">
        <v>24</v>
      </c>
      <c r="F31" s="257" t="s">
        <v>72</v>
      </c>
      <c r="G31" s="29">
        <v>400</v>
      </c>
      <c r="H31" s="29">
        <v>300</v>
      </c>
      <c r="I31" s="29">
        <v>300</v>
      </c>
      <c r="J31" s="29">
        <v>300</v>
      </c>
      <c r="K31" s="221"/>
      <c r="L31" s="221"/>
    </row>
    <row r="32" spans="1:12" x14ac:dyDescent="0.25">
      <c r="A32" s="222"/>
      <c r="B32" s="265"/>
      <c r="C32" s="265"/>
      <c r="D32" s="265"/>
      <c r="E32" s="301" t="s">
        <v>25</v>
      </c>
      <c r="F32" s="286"/>
      <c r="G32" s="303">
        <f>G$30*G$31/0.3/G18</f>
        <v>15.555555555555555</v>
      </c>
      <c r="H32" s="303">
        <f>H$30*H$31/0.3/H18</f>
        <v>11.666666666666666</v>
      </c>
      <c r="I32" s="303">
        <f>I$30*I$31/0.3/I18</f>
        <v>11.666666666666666</v>
      </c>
      <c r="J32" s="303">
        <f>J$30*J$31/0.3/J18</f>
        <v>11.666666666666666</v>
      </c>
      <c r="K32" s="221"/>
      <c r="L32" s="221"/>
    </row>
    <row r="33" spans="1:13" x14ac:dyDescent="0.25">
      <c r="A33" s="222"/>
      <c r="B33" s="265"/>
      <c r="C33" s="265"/>
      <c r="D33" s="265"/>
      <c r="E33" s="301" t="s">
        <v>26</v>
      </c>
      <c r="F33" s="286"/>
      <c r="G33" s="303">
        <f>IF(34-12*(G$12/G$13)&gt;40,40,34-12*(G$12/G$13))</f>
        <v>21.177033492822964</v>
      </c>
      <c r="H33" s="303">
        <f>IF(34-12*(H$12/H$13)&gt;40,40,34-12*(H$12/H$13))</f>
        <v>21.177033492822964</v>
      </c>
      <c r="I33" s="303">
        <f>IF(34-12*(I$12/I$13)&gt;40,40,34-12*(I$12/I$13))</f>
        <v>21.177033492822964</v>
      </c>
      <c r="J33" s="303">
        <f>IF(34-12*(J$12/J$13)&gt;40,40,34-12*(J$12/J$13))</f>
        <v>21.177033492822964</v>
      </c>
      <c r="K33" s="221"/>
      <c r="L33" s="221"/>
    </row>
    <row r="34" spans="1:13" x14ac:dyDescent="0.25">
      <c r="A34" s="222"/>
      <c r="B34" s="265"/>
      <c r="C34" s="265"/>
      <c r="D34" s="265"/>
      <c r="E34" s="302"/>
      <c r="F34" s="304"/>
      <c r="G34" s="263" t="str">
        <f>IF(G$32&lt;G$33, "Short colum", IF(G$32&gt;=100,"Not OK","Consider Slender"))</f>
        <v>Short colum</v>
      </c>
      <c r="H34" s="263" t="str">
        <f>IF(H$32&lt;H$33, "Short colum", IF(H$32&gt;=100,"Not OK","Consider Slender"))</f>
        <v>Short colum</v>
      </c>
      <c r="I34" s="263" t="str">
        <f>IF(I$32&lt;I$33, "Short colum", IF(I$32&gt;=100,"Not OK","Consider Slender"))</f>
        <v>Short colum</v>
      </c>
      <c r="J34" s="263" t="str">
        <f>IF(J$32&lt;J$33, "Short colum", IF(J$32&gt;=100,"Not OK","Consider Slender"))</f>
        <v>Short colum</v>
      </c>
      <c r="K34" s="221"/>
      <c r="L34" s="221"/>
    </row>
    <row r="35" spans="1:13" ht="18" x14ac:dyDescent="0.25">
      <c r="A35" s="222"/>
      <c r="B35" s="265"/>
      <c r="C35" s="265"/>
      <c r="D35" s="265"/>
      <c r="E35" s="302" t="s">
        <v>101</v>
      </c>
      <c r="F35" s="257" t="s">
        <v>22</v>
      </c>
      <c r="G35" s="263">
        <f>G17*G18</f>
        <v>2400</v>
      </c>
      <c r="H35" s="263">
        <f t="shared" ref="H35:J35" si="5">H17*H18</f>
        <v>2400</v>
      </c>
      <c r="I35" s="263">
        <f t="shared" si="5"/>
        <v>2400</v>
      </c>
      <c r="J35" s="263">
        <f t="shared" si="5"/>
        <v>2400</v>
      </c>
      <c r="K35" s="221"/>
      <c r="L35" s="221"/>
    </row>
    <row r="36" spans="1:13" x14ac:dyDescent="0.25">
      <c r="A36" s="222"/>
      <c r="B36" s="265"/>
      <c r="C36" s="265"/>
      <c r="D36" s="265"/>
      <c r="E36" s="302" t="s">
        <v>99</v>
      </c>
      <c r="F36" s="304"/>
      <c r="G36" s="263">
        <f>ROUND(G25/G35,4)</f>
        <v>0</v>
      </c>
      <c r="H36" s="263">
        <f>ROUND(H25/H35,4)</f>
        <v>0</v>
      </c>
      <c r="I36" s="263">
        <f>ROUND(I25/I35,4)</f>
        <v>0</v>
      </c>
      <c r="J36" s="263">
        <f>ROUND(J25/J35,4)</f>
        <v>1.54E-2</v>
      </c>
      <c r="K36" s="221"/>
      <c r="L36" s="221"/>
    </row>
    <row r="37" spans="1:13" x14ac:dyDescent="0.25">
      <c r="A37" s="222"/>
      <c r="B37" s="265"/>
      <c r="C37" s="265"/>
      <c r="D37" s="265"/>
      <c r="E37" s="305" t="s">
        <v>103</v>
      </c>
      <c r="F37" s="305"/>
      <c r="G37" s="306" t="str">
        <f>IF(AND(G36&gt;=0.01,G36&lt;=0.08),"Ok","NK")</f>
        <v>NK</v>
      </c>
      <c r="H37" s="306" t="str">
        <f t="shared" ref="H37:J37" si="6">IF(AND(H36&gt;=0.01,H36&lt;=0.08),"Ok","NK")</f>
        <v>NK</v>
      </c>
      <c r="I37" s="306" t="str">
        <f t="shared" si="6"/>
        <v>NK</v>
      </c>
      <c r="J37" s="306" t="str">
        <f t="shared" si="6"/>
        <v>Ok</v>
      </c>
      <c r="K37" s="221"/>
      <c r="L37" s="221"/>
    </row>
    <row r="38" spans="1:13" x14ac:dyDescent="0.25">
      <c r="A38" s="222"/>
      <c r="B38" s="265"/>
      <c r="C38" s="265"/>
      <c r="D38" s="265"/>
      <c r="E38" s="302" t="s">
        <v>100</v>
      </c>
      <c r="F38" s="304"/>
      <c r="G38" s="263">
        <f>ROUND($C$12/(0.85*$C$11),2)</f>
        <v>16.809999999999999</v>
      </c>
      <c r="H38" s="263">
        <f t="shared" ref="H38:J38" si="7">ROUND($C$12/(0.85*$C$11),2)</f>
        <v>16.809999999999999</v>
      </c>
      <c r="I38" s="263">
        <f t="shared" si="7"/>
        <v>16.809999999999999</v>
      </c>
      <c r="J38" s="263">
        <f t="shared" si="7"/>
        <v>16.809999999999999</v>
      </c>
      <c r="K38" s="221"/>
      <c r="L38" s="221"/>
    </row>
    <row r="39" spans="1:13" ht="15.75" x14ac:dyDescent="0.25">
      <c r="A39" s="222"/>
      <c r="B39" s="221"/>
      <c r="C39" s="221"/>
      <c r="D39" s="221"/>
      <c r="E39" s="221" t="s">
        <v>98</v>
      </c>
      <c r="F39" s="307"/>
      <c r="G39" s="308">
        <f>ROUND((0.2+0.77*G36*G38)*G18,2)</f>
        <v>12</v>
      </c>
      <c r="H39" s="308">
        <f>ROUND((0.2+0.77*H36*H38)*H18,2)</f>
        <v>12</v>
      </c>
      <c r="I39" s="308">
        <f>ROUND((0.2+0.77*I36*I38)*I18,2)</f>
        <v>12</v>
      </c>
      <c r="J39" s="308">
        <f>ROUND((0.2+0.77*J36*J38)*J18,2)</f>
        <v>23.96</v>
      </c>
      <c r="K39" s="221"/>
      <c r="L39" s="221"/>
    </row>
    <row r="40" spans="1:13" x14ac:dyDescent="0.25">
      <c r="A40" s="222"/>
      <c r="B40" s="265"/>
      <c r="C40" s="271"/>
      <c r="D40" s="265"/>
      <c r="E40" s="221"/>
      <c r="F40" s="305" t="s">
        <v>102</v>
      </c>
      <c r="G40" s="309" t="str">
        <f t="shared" ref="G40:I40" si="8">IF(G57="Tension failure","Ten. Control",IF(G39&gt;G16,"Comp. Control","Tens. Control"))</f>
        <v>Comp. Control</v>
      </c>
      <c r="H40" s="309" t="str">
        <f t="shared" si="8"/>
        <v>Comp. Control</v>
      </c>
      <c r="I40" s="309" t="str">
        <f t="shared" si="8"/>
        <v>Comp. Control</v>
      </c>
      <c r="J40" s="309" t="str">
        <f>IF(J57="Tension failure","Ten. Control",IF(J39&gt;J16,"Comp. Control","Tens. Control"))</f>
        <v>Ten. Control</v>
      </c>
      <c r="K40" s="221"/>
      <c r="L40" s="221"/>
    </row>
    <row r="41" spans="1:13" x14ac:dyDescent="0.25">
      <c r="A41" s="310"/>
      <c r="B41" s="311"/>
      <c r="C41" s="221" t="s">
        <v>129</v>
      </c>
      <c r="D41" s="311"/>
      <c r="E41" s="312" t="s">
        <v>92</v>
      </c>
      <c r="F41" s="313"/>
      <c r="G41" s="314" t="str">
        <f>IF(G57="Comp.failure","No","Yes")</f>
        <v>No</v>
      </c>
      <c r="H41" s="314" t="str">
        <f t="shared" ref="H41:J41" si="9">IF(H57="Comp.failure","No","Yes")</f>
        <v>No</v>
      </c>
      <c r="I41" s="314" t="str">
        <f t="shared" si="9"/>
        <v>No</v>
      </c>
      <c r="J41" s="314" t="str">
        <f t="shared" si="9"/>
        <v>Yes</v>
      </c>
      <c r="K41" s="221"/>
      <c r="L41" s="221"/>
    </row>
    <row r="42" spans="1:13" ht="15.75" x14ac:dyDescent="0.25">
      <c r="A42" s="222"/>
      <c r="B42" s="265"/>
      <c r="C42" s="265"/>
      <c r="D42" s="265"/>
      <c r="E42" s="302" t="s">
        <v>96</v>
      </c>
      <c r="F42" s="286" t="s">
        <v>72</v>
      </c>
      <c r="G42" s="315" t="str">
        <f t="shared" ref="G42:I42" si="10">IF(G57="Tension failure",ROUND(G25/2/(G17*G20),5),IF(G40="Comp. Control","-",ROUND(G25/2/(G17*G20),5)))</f>
        <v>-</v>
      </c>
      <c r="H42" s="315" t="str">
        <f t="shared" si="10"/>
        <v>-</v>
      </c>
      <c r="I42" s="315" t="str">
        <f t="shared" si="10"/>
        <v>-</v>
      </c>
      <c r="J42" s="315">
        <f>IF(J57="Tension failure",ROUND(J25/2/(J17*J20),5),IF(J40="Comp. Control","-",ROUND(J25/2/(J17*J20),5)))</f>
        <v>8.4100000000000008E-3</v>
      </c>
      <c r="K42" s="221"/>
      <c r="L42" s="221"/>
    </row>
    <row r="43" spans="1:13" x14ac:dyDescent="0.25">
      <c r="A43" s="222"/>
      <c r="B43" s="265"/>
      <c r="C43" s="265"/>
      <c r="D43" s="265"/>
      <c r="E43" s="302" t="s">
        <v>93</v>
      </c>
      <c r="F43" s="286"/>
      <c r="G43" s="315" t="str">
        <f t="shared" ref="G43:I43" si="11">IF(G57="Tension failure",0.85*$C$11*G17*G20,IF(G40="Comp. Control","-",0.85*$C$11*G17*G20))</f>
        <v>-</v>
      </c>
      <c r="H43" s="315" t="str">
        <f t="shared" si="11"/>
        <v>-</v>
      </c>
      <c r="I43" s="315" t="str">
        <f t="shared" si="11"/>
        <v>-</v>
      </c>
      <c r="J43" s="315">
        <f>IF(J57="Tension failure",0.85*$C$11*J17*J20,IF(J40="Comp. Control","-",0.85*$C$11*J17*J20))</f>
        <v>522648</v>
      </c>
      <c r="K43" s="221"/>
      <c r="L43" s="221"/>
    </row>
    <row r="44" spans="1:13" x14ac:dyDescent="0.25">
      <c r="A44" s="222"/>
      <c r="B44" s="265"/>
      <c r="C44" s="265"/>
      <c r="D44" s="265"/>
      <c r="E44" s="302" t="s">
        <v>94</v>
      </c>
      <c r="F44" s="286"/>
      <c r="G44" s="315" t="str">
        <f t="shared" ref="G44:H44" si="12">IF(G40="Comp. Control","-",ROUND((G18-2*G16)/(2*G20),3))</f>
        <v>-</v>
      </c>
      <c r="H44" s="315" t="str">
        <f t="shared" si="12"/>
        <v>-</v>
      </c>
      <c r="I44" s="315" t="str">
        <f>IF(I40="Comp. Control","-",ROUND((I18-2*I16)/(2*I20),3))</f>
        <v>-</v>
      </c>
      <c r="J44" s="315">
        <f>IF(J57="Tension failure",ROUND((J18-2*J16)/(2*J20),3),IF(J40="Comp. Control","-",ROUND((J18-2*J16)/(2*J20),3)))</f>
        <v>0.35</v>
      </c>
      <c r="K44" s="221"/>
      <c r="L44" s="221"/>
    </row>
    <row r="45" spans="1:13" ht="18" x14ac:dyDescent="0.25">
      <c r="A45" s="222"/>
      <c r="B45" s="265"/>
      <c r="C45" s="265"/>
      <c r="D45" s="265"/>
      <c r="E45" s="302" t="s">
        <v>95</v>
      </c>
      <c r="F45" s="286"/>
      <c r="G45" s="315" t="str">
        <f t="shared" ref="G45:I45" si="13">IF(G57="Tension failure",ROUND(2*G38*(1-G21/G20)*G42,2),IF(G40="Comp. Control","-",ROUND(2*G38*(1-G21/G20)*G42,2)))</f>
        <v>-</v>
      </c>
      <c r="H45" s="315" t="str">
        <f t="shared" si="13"/>
        <v>-</v>
      </c>
      <c r="I45" s="315" t="str">
        <f t="shared" si="13"/>
        <v>-</v>
      </c>
      <c r="J45" s="315">
        <f>IF(J57="Tension failure",ROUND(2*J38*(1-J21/J20)*J42,2),IF(J40="Comp. Control","-",ROUND(2*J38*(1-J21/J20)*J42,2)))</f>
        <v>0.26</v>
      </c>
      <c r="K45" s="221"/>
      <c r="L45" s="221"/>
    </row>
    <row r="46" spans="1:13" x14ac:dyDescent="0.25">
      <c r="A46" s="222"/>
      <c r="B46" s="265"/>
      <c r="C46" s="265"/>
      <c r="D46" s="265"/>
      <c r="E46" s="226" t="s">
        <v>86</v>
      </c>
      <c r="F46" s="286" t="s">
        <v>66</v>
      </c>
      <c r="G46" s="315" t="str">
        <f t="shared" ref="G46:I46" si="14">IF(G57="Tension failure",ROUND(G43*(G44+SQRT(G44^2+G45))/10^3,2),IF(G40="Comp. Control","-",ROUND(G43*(G44+SQRT(G44^2+G45))/10^3,2)))</f>
        <v>-</v>
      </c>
      <c r="H46" s="315" t="str">
        <f t="shared" si="14"/>
        <v>-</v>
      </c>
      <c r="I46" s="315" t="str">
        <f t="shared" si="14"/>
        <v>-</v>
      </c>
      <c r="J46" s="315">
        <f>IF(J57="Tension failure",ROUND(J43*(J44+SQRT(J44^2+J45))/10^3,2),IF(J40="Comp. Control","-",ROUND(J43*(J44+SQRT(J44^2+J45))/10^3,2)))</f>
        <v>506.17</v>
      </c>
      <c r="K46" s="221"/>
      <c r="L46" s="221"/>
      <c r="M46" s="251"/>
    </row>
    <row r="47" spans="1:13" x14ac:dyDescent="0.25">
      <c r="A47" s="222"/>
      <c r="B47" s="265"/>
      <c r="C47" s="265"/>
      <c r="D47" s="265"/>
      <c r="E47" s="302" t="s">
        <v>97</v>
      </c>
      <c r="F47" s="286"/>
      <c r="G47" s="306" t="str">
        <f>IF(G46&gt;G14,"OK","NK")</f>
        <v>OK</v>
      </c>
      <c r="H47" s="306" t="str">
        <f>IF(H46&gt;H14,"OK","NK")</f>
        <v>OK</v>
      </c>
      <c r="I47" s="306" t="str">
        <f>IF(I46&gt;I14,"OK","NK")</f>
        <v>OK</v>
      </c>
      <c r="J47" s="306" t="str">
        <f>IF(J46&gt;J14,"OK","NK")</f>
        <v>OK</v>
      </c>
      <c r="K47" s="221"/>
      <c r="L47" s="221"/>
    </row>
    <row r="48" spans="1:13" x14ac:dyDescent="0.25">
      <c r="A48" s="222"/>
      <c r="B48" s="265"/>
      <c r="C48" s="265"/>
      <c r="D48" s="265"/>
      <c r="E48" s="316" t="s">
        <v>107</v>
      </c>
      <c r="F48" s="286"/>
      <c r="G48" s="306"/>
      <c r="H48" s="306"/>
      <c r="I48" s="306"/>
      <c r="J48" s="306"/>
      <c r="K48" s="221"/>
      <c r="L48" s="221"/>
    </row>
    <row r="49" spans="1:11" x14ac:dyDescent="0.25">
      <c r="A49" s="222"/>
      <c r="B49" s="265"/>
      <c r="C49" s="265"/>
      <c r="D49" s="265"/>
      <c r="E49" s="301" t="s">
        <v>85</v>
      </c>
      <c r="F49" s="286"/>
      <c r="G49" s="317"/>
      <c r="H49" s="317"/>
      <c r="I49" s="317"/>
      <c r="J49" s="317"/>
      <c r="K49" s="221"/>
    </row>
    <row r="50" spans="1:11" x14ac:dyDescent="0.25">
      <c r="A50" s="222"/>
      <c r="B50" s="221"/>
      <c r="C50" s="251"/>
      <c r="D50" s="251"/>
      <c r="E50" s="302" t="s">
        <v>91</v>
      </c>
      <c r="F50" s="257" t="s">
        <v>72</v>
      </c>
      <c r="G50" s="303">
        <f>(0.003/(0.003+($C$12/$C$13)))*G20</f>
        <v>33.502766798418975</v>
      </c>
      <c r="H50" s="303">
        <f>(0.003/(0.003+($C$12/$C$13)))*H20</f>
        <v>33.502766798418975</v>
      </c>
      <c r="I50" s="303">
        <f>(0.003/(0.003+($C$12/$C$13)))*I20</f>
        <v>33.502766798418975</v>
      </c>
      <c r="J50" s="303">
        <f>(0.003/(0.003+($C$12/$C$13)))*J20</f>
        <v>33.200395256916998</v>
      </c>
      <c r="K50" s="221"/>
    </row>
    <row r="51" spans="1:11" ht="16.5" x14ac:dyDescent="0.3">
      <c r="A51" s="222"/>
      <c r="B51" s="221"/>
      <c r="C51" s="318"/>
      <c r="D51" s="318"/>
      <c r="E51" s="302" t="s">
        <v>70</v>
      </c>
      <c r="F51" s="286" t="s">
        <v>72</v>
      </c>
      <c r="G51" s="308">
        <f>ROUND($C$16*G50,2)</f>
        <v>28.48</v>
      </c>
      <c r="H51" s="308">
        <f>ROUND($C$16*H50,2)</f>
        <v>28.48</v>
      </c>
      <c r="I51" s="308">
        <f>ROUND($C$16*I50,2)</f>
        <v>28.48</v>
      </c>
      <c r="J51" s="308">
        <f>ROUND($C$16*J50,2)</f>
        <v>28.22</v>
      </c>
      <c r="K51" s="221"/>
    </row>
    <row r="52" spans="1:11" ht="16.5" x14ac:dyDescent="0.3">
      <c r="A52" s="222"/>
      <c r="B52" s="319"/>
      <c r="C52" s="319"/>
      <c r="D52" s="320"/>
      <c r="E52" s="301" t="s">
        <v>104</v>
      </c>
      <c r="F52" s="257" t="s">
        <v>66</v>
      </c>
      <c r="G52" s="321">
        <f>0.85*$C$11*G17</f>
        <v>9520</v>
      </c>
      <c r="H52" s="321">
        <f>0.85*$C$11*H17</f>
        <v>9520</v>
      </c>
      <c r="I52" s="321">
        <f>0.85*$C$11*I17</f>
        <v>9520</v>
      </c>
      <c r="J52" s="321">
        <f>0.85*$C$11*J17</f>
        <v>9520</v>
      </c>
      <c r="K52" s="221"/>
    </row>
    <row r="53" spans="1:11" x14ac:dyDescent="0.25">
      <c r="A53" s="222"/>
      <c r="B53" s="221"/>
      <c r="C53" s="221"/>
      <c r="D53" s="221"/>
      <c r="E53" s="226" t="s">
        <v>105</v>
      </c>
      <c r="F53" s="286" t="s">
        <v>72</v>
      </c>
      <c r="G53" s="308">
        <f>ROUND(G14*1000/G52,2)</f>
        <v>48.02</v>
      </c>
      <c r="H53" s="308">
        <f>ROUND(H14*1000/H52,2)</f>
        <v>34.81</v>
      </c>
      <c r="I53" s="308">
        <f>ROUND(I14*1000/I52,2)</f>
        <v>22.06</v>
      </c>
      <c r="J53" s="308">
        <f>ROUND(J14*1000/J52,2)</f>
        <v>9.3000000000000007</v>
      </c>
      <c r="K53" s="221"/>
    </row>
    <row r="54" spans="1:11" ht="18" x14ac:dyDescent="0.35">
      <c r="A54" s="222"/>
      <c r="B54" s="221"/>
      <c r="C54" s="221"/>
      <c r="D54" s="221"/>
      <c r="E54" s="226" t="s">
        <v>106</v>
      </c>
      <c r="F54" s="286" t="s">
        <v>72</v>
      </c>
      <c r="G54" s="308">
        <f>ROUND(G53/$C$16,2)</f>
        <v>56.49</v>
      </c>
      <c r="H54" s="308">
        <f t="shared" ref="H54:J54" si="15">ROUND(H53/$C$16,2)</f>
        <v>40.950000000000003</v>
      </c>
      <c r="I54" s="308">
        <f t="shared" si="15"/>
        <v>25.95</v>
      </c>
      <c r="J54" s="308">
        <f t="shared" si="15"/>
        <v>10.94</v>
      </c>
      <c r="K54" s="221"/>
    </row>
    <row r="55" spans="1:11" ht="21.75" x14ac:dyDescent="0.35">
      <c r="A55" s="222"/>
      <c r="B55" s="221"/>
      <c r="C55" s="221"/>
      <c r="D55" s="221"/>
      <c r="E55" s="226" t="s">
        <v>108</v>
      </c>
      <c r="F55" s="286"/>
      <c r="G55" s="308">
        <f>ROUND(0.003*((G54-G21)/G54),5)</f>
        <v>2.7599999999999999E-3</v>
      </c>
      <c r="H55" s="308">
        <f t="shared" ref="H55:J55" si="16">ROUND(0.003*((H54-H21)/H54),5)</f>
        <v>2.66E-3</v>
      </c>
      <c r="I55" s="308">
        <f t="shared" si="16"/>
        <v>2.47E-3</v>
      </c>
      <c r="J55" s="308">
        <f t="shared" si="16"/>
        <v>1.6000000000000001E-3</v>
      </c>
      <c r="K55" s="221"/>
    </row>
    <row r="56" spans="1:11" ht="21.75" x14ac:dyDescent="0.35">
      <c r="A56" s="222"/>
      <c r="B56" s="221"/>
      <c r="C56" s="221"/>
      <c r="D56" s="221"/>
      <c r="E56" s="226" t="s">
        <v>114</v>
      </c>
      <c r="F56" s="286"/>
      <c r="G56" s="322">
        <f>ROUND($C$12/$C$13,5)</f>
        <v>1.9599999999999999E-3</v>
      </c>
      <c r="H56" s="322">
        <f t="shared" ref="H56:J56" si="17">ROUND($C$12/$C$13,5)</f>
        <v>1.9599999999999999E-3</v>
      </c>
      <c r="I56" s="322">
        <f t="shared" si="17"/>
        <v>1.9599999999999999E-3</v>
      </c>
      <c r="J56" s="322">
        <f t="shared" si="17"/>
        <v>1.9599999999999999E-3</v>
      </c>
      <c r="K56" s="221"/>
    </row>
    <row r="57" spans="1:11" x14ac:dyDescent="0.25">
      <c r="A57" s="222"/>
      <c r="B57" s="221"/>
      <c r="C57" s="221"/>
      <c r="D57" s="221"/>
      <c r="E57" s="226" t="s">
        <v>83</v>
      </c>
      <c r="F57" s="286"/>
      <c r="G57" s="322" t="str">
        <f>IF(G55&gt;G56,"Comp.failure","Tension failure")</f>
        <v>Comp.failure</v>
      </c>
      <c r="H57" s="322" t="str">
        <f t="shared" ref="H57:J57" si="18">IF(H55&gt;H56,"Comp.failure","Tension failure")</f>
        <v>Comp.failure</v>
      </c>
      <c r="I57" s="322" t="str">
        <f t="shared" si="18"/>
        <v>Comp.failure</v>
      </c>
      <c r="J57" s="322" t="str">
        <f t="shared" si="18"/>
        <v>Tension failure</v>
      </c>
      <c r="K57" s="221"/>
    </row>
    <row r="58" spans="1:11" x14ac:dyDescent="0.25">
      <c r="A58" s="269"/>
      <c r="B58" s="323"/>
      <c r="C58" s="323"/>
      <c r="D58" s="323"/>
      <c r="E58" s="324" t="s">
        <v>109</v>
      </c>
      <c r="F58" s="325"/>
      <c r="G58" s="326" t="str">
        <f>IF(AND(G40="Tens. Control",G57="Comp.failure"),"OK","NK")</f>
        <v>NK</v>
      </c>
      <c r="H58" s="326" t="str">
        <f t="shared" ref="H58:J58" si="19">IF(AND(H40="Tens. Control",H57="Comp.failure"),"OK","NK")</f>
        <v>NK</v>
      </c>
      <c r="I58" s="326" t="str">
        <f t="shared" si="19"/>
        <v>NK</v>
      </c>
      <c r="J58" s="326" t="str">
        <f t="shared" si="19"/>
        <v>NK</v>
      </c>
      <c r="K58" s="221"/>
    </row>
    <row r="59" spans="1:11" x14ac:dyDescent="0.25">
      <c r="A59" s="222"/>
      <c r="B59" s="221"/>
      <c r="C59" s="221" t="s">
        <v>129</v>
      </c>
      <c r="D59" s="221"/>
      <c r="E59" s="327" t="s">
        <v>110</v>
      </c>
      <c r="F59" s="286"/>
      <c r="G59" s="328" t="str">
        <f>IF(G57="Comp.failure","yes","No")</f>
        <v>yes</v>
      </c>
      <c r="H59" s="328" t="str">
        <f t="shared" ref="H59:J59" si="20">IF(H57="Comp.failure","yes","No")</f>
        <v>yes</v>
      </c>
      <c r="I59" s="328" t="str">
        <f t="shared" si="20"/>
        <v>yes</v>
      </c>
      <c r="J59" s="328" t="str">
        <f t="shared" si="20"/>
        <v>No</v>
      </c>
      <c r="K59" s="221"/>
    </row>
    <row r="60" spans="1:11" x14ac:dyDescent="0.25">
      <c r="A60" s="222"/>
      <c r="B60" s="221"/>
      <c r="C60" s="221" t="s">
        <v>111</v>
      </c>
      <c r="D60" s="221"/>
      <c r="E60" s="327" t="s">
        <v>112</v>
      </c>
      <c r="F60" s="286" t="s">
        <v>84</v>
      </c>
      <c r="G60" s="329">
        <v>32.5</v>
      </c>
      <c r="H60" s="329">
        <v>30</v>
      </c>
      <c r="I60" s="329">
        <v>20</v>
      </c>
      <c r="J60" s="329">
        <v>18.2</v>
      </c>
      <c r="K60" s="221"/>
    </row>
    <row r="61" spans="1:11" x14ac:dyDescent="0.25">
      <c r="A61" s="222"/>
      <c r="B61" s="221"/>
      <c r="C61" s="221"/>
      <c r="D61" s="221"/>
      <c r="E61" s="330" t="s">
        <v>113</v>
      </c>
      <c r="F61" s="286" t="s">
        <v>84</v>
      </c>
      <c r="G61" s="331">
        <f>IF(G57="comp.failure",G60/$C$16,0)</f>
        <v>38.235294117647058</v>
      </c>
      <c r="H61" s="331">
        <f t="shared" ref="H61:J61" si="21">IF(H57="comp.failure",H60/$C$16,0)</f>
        <v>35.294117647058826</v>
      </c>
      <c r="I61" s="331">
        <f t="shared" si="21"/>
        <v>23.529411764705884</v>
      </c>
      <c r="J61" s="331">
        <f t="shared" si="21"/>
        <v>0</v>
      </c>
      <c r="K61" s="221"/>
    </row>
    <row r="62" spans="1:11" x14ac:dyDescent="0.25">
      <c r="A62" s="222"/>
      <c r="B62" s="221"/>
      <c r="C62" s="221"/>
      <c r="D62" s="221"/>
      <c r="E62" s="330" t="s">
        <v>123</v>
      </c>
      <c r="F62" s="286" t="s">
        <v>89</v>
      </c>
      <c r="G62" s="332">
        <f>IF(G57="comp.failure",$C$13*((0.003*($C$16*G20-G60))/G60),0)</f>
        <v>2747.4092307692299</v>
      </c>
      <c r="H62" s="332">
        <f t="shared" ref="H62:J62" si="22">IF(H57="comp.failure",$C$13*((0.003*($C$16*H20-H60))/H60),0)</f>
        <v>3486.3599999999992</v>
      </c>
      <c r="I62" s="332">
        <f t="shared" si="22"/>
        <v>8289.5399999999991</v>
      </c>
      <c r="J62" s="332">
        <f t="shared" si="22"/>
        <v>0</v>
      </c>
      <c r="K62" s="221"/>
    </row>
    <row r="63" spans="1:11" x14ac:dyDescent="0.25">
      <c r="A63" s="222"/>
      <c r="B63" s="221"/>
      <c r="C63" s="221"/>
      <c r="D63" s="221"/>
      <c r="E63" s="330" t="s">
        <v>117</v>
      </c>
      <c r="F63" s="286" t="s">
        <v>89</v>
      </c>
      <c r="G63" s="332">
        <f>IF(G57="comp.failure",$C$12,0)</f>
        <v>4000</v>
      </c>
      <c r="H63" s="332">
        <f t="shared" ref="H63:J63" si="23">IF(H57="comp.failure",$C$12,0)</f>
        <v>4000</v>
      </c>
      <c r="I63" s="332">
        <f t="shared" si="23"/>
        <v>4000</v>
      </c>
      <c r="J63" s="332">
        <f t="shared" si="23"/>
        <v>0</v>
      </c>
      <c r="K63" s="221"/>
    </row>
    <row r="64" spans="1:11" x14ac:dyDescent="0.25">
      <c r="A64" s="222"/>
      <c r="B64" s="221"/>
      <c r="C64" s="301"/>
      <c r="D64" s="301"/>
      <c r="E64" s="301" t="s">
        <v>118</v>
      </c>
      <c r="F64" s="257" t="s">
        <v>73</v>
      </c>
      <c r="G64" s="333">
        <f>IF(G57="comp.failure",(G14*10^3*(G16+(G20-G21)/2)-0.85*$C$11*G17*G60)/(G63*(G20-G21)),0)</f>
        <v>60.321745078740157</v>
      </c>
      <c r="H64" s="333">
        <f t="shared" ref="H64:J64" si="24">IF(H57="comp.failure",(H14*10^3*(H16+(H20-H21)/2)-0.85*$C$11*H17*H60)/(H63*(H20-H21)),0)</f>
        <v>44.736981791338579</v>
      </c>
      <c r="I64" s="333">
        <f t="shared" si="24"/>
        <v>30.025590551181097</v>
      </c>
      <c r="J64" s="333">
        <f t="shared" si="24"/>
        <v>0</v>
      </c>
      <c r="K64" s="221"/>
    </row>
    <row r="65" spans="1:16" x14ac:dyDescent="0.25">
      <c r="A65" s="222"/>
      <c r="B65" s="221"/>
      <c r="C65" s="301"/>
      <c r="D65" s="301"/>
      <c r="E65" s="334" t="s">
        <v>119</v>
      </c>
      <c r="F65" s="257" t="s">
        <v>84</v>
      </c>
      <c r="G65" s="333">
        <f>IF(G57="comp.failure",((G14*10^3)+G64*G62-G64*G63)/(0.85*$C$11*G17),0)</f>
        <v>40.08209442547043</v>
      </c>
      <c r="H65" s="333">
        <f t="shared" ref="H65:J65" si="25">IF(H57="comp.failure",((H14*10^3)+H64*H62-H64*H63)/(0.85*$C$11*H17),0)</f>
        <v>32.400346289148828</v>
      </c>
      <c r="I65" s="333">
        <f t="shared" si="25"/>
        <v>35.587812152616948</v>
      </c>
      <c r="J65" s="333">
        <f t="shared" si="25"/>
        <v>0</v>
      </c>
      <c r="K65" s="221"/>
    </row>
    <row r="66" spans="1:16" x14ac:dyDescent="0.25">
      <c r="A66" s="222"/>
      <c r="B66" s="221"/>
      <c r="C66" s="301"/>
      <c r="D66" s="301"/>
      <c r="E66" s="301" t="s">
        <v>120</v>
      </c>
      <c r="F66" s="257" t="s">
        <v>66</v>
      </c>
      <c r="G66" s="333">
        <f>IF(G57="comp.failure",(0.85*$C$11*G60*G18+G64*G62+G64*G63)/1000,0)</f>
        <v>871.11549956039971</v>
      </c>
      <c r="H66" s="333">
        <f t="shared" ref="H66:J66" si="26">IF(H57="comp.failure",(0.85*$C$11*H60*H18+H64*H62+H64*H63)/1000,0)</f>
        <v>763.31715100340546</v>
      </c>
      <c r="I66" s="333">
        <f t="shared" si="26"/>
        <v>654.60069610236201</v>
      </c>
      <c r="J66" s="333">
        <f t="shared" si="26"/>
        <v>0</v>
      </c>
      <c r="K66" s="221"/>
    </row>
    <row r="67" spans="1:16" x14ac:dyDescent="0.25">
      <c r="A67" s="222"/>
      <c r="B67" s="221"/>
      <c r="C67" s="301"/>
      <c r="D67" s="301"/>
      <c r="E67" s="301" t="s">
        <v>121</v>
      </c>
      <c r="F67" s="257" t="s">
        <v>66</v>
      </c>
      <c r="G67" s="333">
        <f>IF(G57="comp.failure",(0.85*$C$11*G17*G60*(G20-G60/2)+G64*G63*(G20-G21))/(G16+(G20-G21)/2)/1000,0)</f>
        <v>886.51831938886869</v>
      </c>
      <c r="H67" s="333">
        <f t="shared" ref="H67:J67" si="27">IF(H57="comp.failure",(0.85*$C$11*H17*H60*(H20-H60/2)+H64*H63*(H20-H21))/(H16+(H20-H21)/2)/1000,0)</f>
        <v>729.19033934252388</v>
      </c>
      <c r="I67" s="333">
        <f t="shared" si="27"/>
        <v>492.1682242990654</v>
      </c>
      <c r="J67" s="333">
        <f t="shared" si="27"/>
        <v>0</v>
      </c>
      <c r="K67" s="221"/>
    </row>
    <row r="68" spans="1:16" x14ac:dyDescent="0.25">
      <c r="A68" s="222"/>
      <c r="B68" s="221"/>
      <c r="C68" s="301"/>
      <c r="D68" s="301"/>
      <c r="E68" s="301" t="s">
        <v>122</v>
      </c>
      <c r="F68" s="257"/>
      <c r="G68" s="335" t="str">
        <f>IF(G57="comp.failure",IF(G14&lt;G67,"OK","NK"),0)</f>
        <v>OK</v>
      </c>
      <c r="H68" s="335" t="str">
        <f t="shared" ref="H68:J68" si="28">IF(H57="comp.failure",IF(H14&lt;H67,"OK","NK"),0)</f>
        <v>OK</v>
      </c>
      <c r="I68" s="335" t="str">
        <f t="shared" si="28"/>
        <v>OK</v>
      </c>
      <c r="J68" s="335">
        <f t="shared" si="28"/>
        <v>0</v>
      </c>
      <c r="K68" s="221"/>
    </row>
    <row r="69" spans="1:16" ht="18" x14ac:dyDescent="0.25">
      <c r="A69" s="222"/>
      <c r="B69" s="221"/>
      <c r="C69" s="301"/>
      <c r="D69" s="301"/>
      <c r="E69" s="301" t="s">
        <v>128</v>
      </c>
      <c r="F69" s="257" t="s">
        <v>126</v>
      </c>
      <c r="G69" s="336">
        <f>G64*2</f>
        <v>120.64349015748031</v>
      </c>
      <c r="H69" s="336">
        <f t="shared" ref="H69:J69" si="29">H64*2</f>
        <v>89.473963582677158</v>
      </c>
      <c r="I69" s="336">
        <f t="shared" si="29"/>
        <v>60.051181102362193</v>
      </c>
      <c r="J69" s="336">
        <f t="shared" si="29"/>
        <v>0</v>
      </c>
      <c r="K69" s="221"/>
    </row>
    <row r="70" spans="1:16" x14ac:dyDescent="0.25">
      <c r="A70" s="269"/>
      <c r="B70" s="271"/>
      <c r="C70" s="271"/>
      <c r="D70" s="337"/>
      <c r="E70" s="338"/>
      <c r="F70" s="339"/>
      <c r="G70" s="340"/>
      <c r="H70" s="340"/>
      <c r="I70" s="340"/>
      <c r="J70" s="340"/>
      <c r="K70" s="265"/>
      <c r="L70" s="265"/>
      <c r="M70" s="265"/>
      <c r="N70" s="264"/>
      <c r="P70" s="341"/>
    </row>
    <row r="71" spans="1:16" ht="69.95" customHeight="1" x14ac:dyDescent="0.25">
      <c r="A71" s="274"/>
      <c r="B71" s="342" t="s">
        <v>38</v>
      </c>
      <c r="C71" s="275"/>
      <c r="D71" s="275"/>
      <c r="E71" s="275"/>
      <c r="F71" s="343" t="s">
        <v>125</v>
      </c>
      <c r="G71" s="277"/>
      <c r="H71" s="277"/>
      <c r="I71" s="277"/>
      <c r="J71" s="277"/>
      <c r="K71" s="221"/>
    </row>
    <row r="72" spans="1:16" ht="15" customHeight="1" x14ac:dyDescent="0.25">
      <c r="A72" s="217"/>
      <c r="B72" s="344"/>
      <c r="C72" s="279"/>
      <c r="D72" s="279"/>
      <c r="E72" s="345" t="s">
        <v>130</v>
      </c>
      <c r="F72" s="255" t="s">
        <v>40</v>
      </c>
      <c r="G72" s="33">
        <v>28</v>
      </c>
      <c r="H72" s="33">
        <v>28</v>
      </c>
      <c r="I72" s="33">
        <v>28</v>
      </c>
      <c r="J72" s="33">
        <v>20</v>
      </c>
      <c r="K72" s="221"/>
    </row>
    <row r="73" spans="1:16" x14ac:dyDescent="0.25">
      <c r="A73" s="222"/>
      <c r="B73" s="251"/>
      <c r="C73" s="265"/>
      <c r="D73" s="265"/>
      <c r="E73" s="346" t="s">
        <v>41</v>
      </c>
      <c r="F73" s="257" t="s">
        <v>0</v>
      </c>
      <c r="G73" s="34">
        <v>20</v>
      </c>
      <c r="H73" s="34">
        <v>14</v>
      </c>
      <c r="I73" s="34">
        <v>12</v>
      </c>
      <c r="J73" s="34">
        <v>8</v>
      </c>
      <c r="K73" s="221"/>
    </row>
    <row r="74" spans="1:16" ht="18" x14ac:dyDescent="0.25">
      <c r="A74" s="222"/>
      <c r="B74" s="251"/>
      <c r="C74" s="265"/>
      <c r="D74" s="265"/>
      <c r="E74" s="346" t="s">
        <v>42</v>
      </c>
      <c r="F74" s="257" t="s">
        <v>22</v>
      </c>
      <c r="G74" s="347">
        <f>IF(G57="comp.failure",+G73*(G72/10)^2*PI()/4,0)</f>
        <v>123.15043202071988</v>
      </c>
      <c r="H74" s="347">
        <f t="shared" ref="H74:J74" si="30">IF(H57="comp.failure",+H73*(H72/10)^2*PI()/4,0)</f>
        <v>86.205302414503919</v>
      </c>
      <c r="I74" s="347">
        <f t="shared" si="30"/>
        <v>73.890259212431928</v>
      </c>
      <c r="J74" s="347">
        <f t="shared" si="30"/>
        <v>0</v>
      </c>
      <c r="K74" s="221"/>
      <c r="L74" s="283"/>
    </row>
    <row r="75" spans="1:16" x14ac:dyDescent="0.25">
      <c r="A75" s="222"/>
      <c r="B75" s="251"/>
      <c r="C75" s="265"/>
      <c r="D75" s="265"/>
      <c r="E75" s="302" t="s">
        <v>127</v>
      </c>
      <c r="F75" s="257"/>
      <c r="G75" s="348" t="str">
        <f>IF(G69&lt;G74,"OK","NK")</f>
        <v>OK</v>
      </c>
      <c r="H75" s="348" t="str">
        <f t="shared" ref="H75:J75" si="31">IF(H69&lt;H74,"OK","NK")</f>
        <v>NK</v>
      </c>
      <c r="I75" s="348" t="str">
        <f t="shared" si="31"/>
        <v>OK</v>
      </c>
      <c r="J75" s="348" t="str">
        <f t="shared" si="31"/>
        <v>NK</v>
      </c>
      <c r="K75" s="221"/>
      <c r="L75" s="283"/>
    </row>
    <row r="76" spans="1:16" x14ac:dyDescent="0.25">
      <c r="A76" s="222"/>
      <c r="B76" s="290" t="s">
        <v>131</v>
      </c>
      <c r="C76" s="265"/>
      <c r="D76" s="265"/>
      <c r="E76" s="349" t="s">
        <v>43</v>
      </c>
      <c r="F76" s="286" t="s">
        <v>40</v>
      </c>
      <c r="G76" s="34">
        <v>6</v>
      </c>
      <c r="H76" s="34">
        <v>6</v>
      </c>
      <c r="I76" s="34">
        <v>6</v>
      </c>
      <c r="J76" s="34">
        <v>7</v>
      </c>
      <c r="K76" s="221"/>
    </row>
    <row r="77" spans="1:16" x14ac:dyDescent="0.25">
      <c r="A77" s="222"/>
      <c r="B77" s="350"/>
      <c r="C77" s="290"/>
      <c r="D77" s="290"/>
      <c r="E77" s="349" t="s">
        <v>44</v>
      </c>
      <c r="F77" s="257" t="s">
        <v>16</v>
      </c>
      <c r="G77" s="351">
        <f>IF(G57="comp.failure",16*G$23/10,0)</f>
        <v>32</v>
      </c>
      <c r="H77" s="351">
        <f t="shared" ref="H77:J77" si="32">IF(H57="comp.failure",16*H$23/10,0)</f>
        <v>32</v>
      </c>
      <c r="I77" s="351">
        <f t="shared" si="32"/>
        <v>32</v>
      </c>
      <c r="J77" s="351">
        <f t="shared" si="32"/>
        <v>0</v>
      </c>
      <c r="K77" s="221"/>
    </row>
    <row r="78" spans="1:16" x14ac:dyDescent="0.25">
      <c r="A78" s="222"/>
      <c r="B78" s="350"/>
      <c r="C78" s="290"/>
      <c r="D78" s="290"/>
      <c r="E78" s="349" t="s">
        <v>46</v>
      </c>
      <c r="F78" s="257" t="s">
        <v>16</v>
      </c>
      <c r="G78" s="351">
        <f>IF(G57="comp.failure",48*G$26/10,0)</f>
        <v>28.8</v>
      </c>
      <c r="H78" s="351">
        <f t="shared" ref="H78:J78" si="33">IF(H57="comp.failure",48*H$26/10,0)</f>
        <v>28.8</v>
      </c>
      <c r="I78" s="351">
        <f t="shared" si="33"/>
        <v>28.8</v>
      </c>
      <c r="J78" s="351">
        <f t="shared" si="33"/>
        <v>0</v>
      </c>
      <c r="K78" s="221"/>
    </row>
    <row r="79" spans="1:16" x14ac:dyDescent="0.25">
      <c r="A79" s="269"/>
      <c r="B79" s="352"/>
      <c r="C79" s="284"/>
      <c r="D79" s="284"/>
      <c r="E79" s="338" t="s">
        <v>47</v>
      </c>
      <c r="F79" s="339" t="s">
        <v>16</v>
      </c>
      <c r="G79" s="353">
        <f>IF(G57="comp.failure",+MIN(G$17,G$18),0)</f>
        <v>40</v>
      </c>
      <c r="H79" s="353">
        <f t="shared" ref="H79:J79" si="34">IF(H57="comp.failure",+MIN(H$17,H$18),0)</f>
        <v>40</v>
      </c>
      <c r="I79" s="353">
        <f t="shared" si="34"/>
        <v>40</v>
      </c>
      <c r="J79" s="353">
        <f t="shared" si="34"/>
        <v>0</v>
      </c>
      <c r="K79" s="221"/>
    </row>
  </sheetData>
  <sheetProtection password="D60E" sheet="1" objects="1" scenarios="1" selectLockedCells="1"/>
  <mergeCells count="8">
    <mergeCell ref="B52:C52"/>
    <mergeCell ref="B71:E71"/>
    <mergeCell ref="A27:B29"/>
    <mergeCell ref="E6:H6"/>
    <mergeCell ref="E7:H7"/>
    <mergeCell ref="A7:B8"/>
    <mergeCell ref="A9:E9"/>
    <mergeCell ref="B22:E22"/>
  </mergeCells>
  <dataValidations count="2">
    <dataValidation type="list" allowBlank="1" showInputMessage="1" showErrorMessage="1" sqref="G24:J24 G73:J73">
      <formula1>"1,2,3,4,5,6,7,8,9,10,11,12,13,14,15,16,17,18,19,20,21,22,23,24,25,26"</formula1>
    </dataValidation>
    <dataValidation type="list" allowBlank="1" showInputMessage="1" showErrorMessage="1" sqref="G23:J23 G72:J72">
      <formula1>"10,12,16,20,25,28,32"</formula1>
    </dataValidation>
  </dataValidations>
  <pageMargins left="0.7" right="0.7" top="0.75" bottom="0.75" header="0.3" footer="0.3"/>
  <pageSetup paperSize="9" orientation="portrait" r:id="rId1"/>
  <ignoredErrors>
    <ignoredError sqref="I11:J11 H11 G11 I14:J15 H14:H16 H19:H22 I19:J22 J16 G21 C13" unlockedFormula="1"/>
    <ignoredError sqref="G15" formulaRange="1"/>
    <ignoredError sqref="G20 G22" formulaRange="1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Long Column</vt:lpstr>
      <vt:lpstr>Short Column</vt:lpstr>
      <vt:lpstr>Sheet5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2011-04-02T16:59:05Z</dcterms:modified>
</cp:coreProperties>
</file>