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งานระบบไฟฟ้า!$A$1:$M$71</definedName>
    <definedName name="_xlnm.Print_Area" localSheetId="4">งานระบบประปา!$A$1:$M$93</definedName>
    <definedName name="_xlnm.Print_Area" localSheetId="2">'งานสถาปัตยกรรม '!$A$1:$M$144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14" i="1" l="1"/>
  <c r="D12" i="1"/>
  <c r="K83" i="6"/>
  <c r="I83" i="6"/>
  <c r="L83" i="6" s="1"/>
  <c r="K82" i="6"/>
  <c r="L82" i="6" s="1"/>
  <c r="I82" i="6"/>
  <c r="L81" i="6"/>
  <c r="K81" i="6"/>
  <c r="I81" i="6"/>
  <c r="K80" i="6"/>
  <c r="H80" i="6"/>
  <c r="I80" i="6" s="1"/>
  <c r="K79" i="6"/>
  <c r="L79" i="6" s="1"/>
  <c r="H79" i="6"/>
  <c r="I79" i="6" s="1"/>
  <c r="K78" i="6"/>
  <c r="K92" i="6" s="1"/>
  <c r="I78" i="6"/>
  <c r="K73" i="6"/>
  <c r="L73" i="6" s="1"/>
  <c r="J73" i="6"/>
  <c r="I73" i="6"/>
  <c r="C72" i="6"/>
  <c r="K72" i="6" s="1"/>
  <c r="C60" i="6"/>
  <c r="K60" i="6" s="1"/>
  <c r="I56" i="6"/>
  <c r="C56" i="6"/>
  <c r="K56" i="6" s="1"/>
  <c r="I55" i="6"/>
  <c r="C55" i="6"/>
  <c r="K55" i="6" s="1"/>
  <c r="K54" i="6"/>
  <c r="I54" i="6"/>
  <c r="L54" i="6" s="1"/>
  <c r="C53" i="6"/>
  <c r="K53" i="6" s="1"/>
  <c r="K52" i="6"/>
  <c r="L52" i="6" s="1"/>
  <c r="K51" i="6"/>
  <c r="I51" i="6"/>
  <c r="L51" i="6" s="1"/>
  <c r="K50" i="6"/>
  <c r="I50" i="6"/>
  <c r="L50" i="6" s="1"/>
  <c r="H50" i="6"/>
  <c r="K48" i="6"/>
  <c r="I48" i="6"/>
  <c r="L48" i="6" s="1"/>
  <c r="K47" i="6"/>
  <c r="L47" i="6" s="1"/>
  <c r="J47" i="6"/>
  <c r="I47" i="6"/>
  <c r="H45" i="6"/>
  <c r="C45" i="6"/>
  <c r="K45" i="6" s="1"/>
  <c r="K44" i="6"/>
  <c r="H44" i="6"/>
  <c r="I44" i="6" s="1"/>
  <c r="C44" i="6"/>
  <c r="C38" i="6"/>
  <c r="K38" i="6" s="1"/>
  <c r="C37" i="6"/>
  <c r="K37" i="6" s="1"/>
  <c r="K36" i="6"/>
  <c r="I36" i="6"/>
  <c r="L36" i="6" s="1"/>
  <c r="I35" i="6"/>
  <c r="L35" i="6" s="1"/>
  <c r="C35" i="6"/>
  <c r="K35" i="6" s="1"/>
  <c r="K34" i="6"/>
  <c r="I34" i="6"/>
  <c r="L34" i="6" s="1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L27" i="6"/>
  <c r="K27" i="6"/>
  <c r="I27" i="6"/>
  <c r="K26" i="6"/>
  <c r="I26" i="6"/>
  <c r="L26" i="6" s="1"/>
  <c r="K25" i="6"/>
  <c r="I25" i="6"/>
  <c r="L25" i="6" s="1"/>
  <c r="I22" i="6"/>
  <c r="L22" i="6" s="1"/>
  <c r="H22" i="6"/>
  <c r="C22" i="6"/>
  <c r="K22" i="6" s="1"/>
  <c r="K21" i="6"/>
  <c r="H21" i="6"/>
  <c r="C21" i="6"/>
  <c r="I21" i="6" s="1"/>
  <c r="L21" i="6" s="1"/>
  <c r="H20" i="6"/>
  <c r="C20" i="6"/>
  <c r="I20" i="6" s="1"/>
  <c r="B13" i="6"/>
  <c r="A13" i="6"/>
  <c r="B12" i="6"/>
  <c r="A12" i="6"/>
  <c r="B11" i="6"/>
  <c r="A11" i="6"/>
  <c r="B10" i="6"/>
  <c r="A10" i="6"/>
  <c r="B9" i="6"/>
  <c r="A9" i="6"/>
  <c r="K69" i="5"/>
  <c r="K70" i="5" s="1"/>
  <c r="I69" i="5"/>
  <c r="I70" i="5" s="1"/>
  <c r="L66" i="5"/>
  <c r="K66" i="5"/>
  <c r="I66" i="5"/>
  <c r="K65" i="5"/>
  <c r="L65" i="5" s="1"/>
  <c r="I65" i="5"/>
  <c r="K64" i="5"/>
  <c r="I64" i="5"/>
  <c r="L64" i="5" s="1"/>
  <c r="K63" i="5"/>
  <c r="I63" i="5"/>
  <c r="L63" i="5" s="1"/>
  <c r="L62" i="5"/>
  <c r="K62" i="5"/>
  <c r="I62" i="5"/>
  <c r="K61" i="5"/>
  <c r="L61" i="5" s="1"/>
  <c r="I61" i="5"/>
  <c r="K60" i="5"/>
  <c r="K67" i="5" s="1"/>
  <c r="I60" i="5"/>
  <c r="L60" i="5" s="1"/>
  <c r="L67" i="5" s="1"/>
  <c r="L57" i="5"/>
  <c r="K57" i="5"/>
  <c r="I57" i="5"/>
  <c r="K56" i="5"/>
  <c r="I56" i="5"/>
  <c r="L56" i="5" s="1"/>
  <c r="K55" i="5"/>
  <c r="I55" i="5"/>
  <c r="L55" i="5" s="1"/>
  <c r="K54" i="5"/>
  <c r="I54" i="5"/>
  <c r="L54" i="5" s="1"/>
  <c r="L53" i="5"/>
  <c r="K53" i="5"/>
  <c r="I53" i="5"/>
  <c r="K52" i="5"/>
  <c r="I52" i="5"/>
  <c r="L52" i="5" s="1"/>
  <c r="K51" i="5"/>
  <c r="I51" i="5"/>
  <c r="L51" i="5" s="1"/>
  <c r="K50" i="5"/>
  <c r="I50" i="5"/>
  <c r="L50" i="5" s="1"/>
  <c r="G49" i="5"/>
  <c r="K49" i="5" s="1"/>
  <c r="G48" i="5"/>
  <c r="K48" i="5" s="1"/>
  <c r="K58" i="5" s="1"/>
  <c r="K45" i="5"/>
  <c r="G45" i="5"/>
  <c r="I45" i="5" s="1"/>
  <c r="L45" i="5" s="1"/>
  <c r="K44" i="5"/>
  <c r="G44" i="5"/>
  <c r="I44" i="5" s="1"/>
  <c r="L44" i="5" s="1"/>
  <c r="K43" i="5"/>
  <c r="L43" i="5" s="1"/>
  <c r="I43" i="5"/>
  <c r="K42" i="5"/>
  <c r="I42" i="5"/>
  <c r="L42" i="5" s="1"/>
  <c r="K41" i="5"/>
  <c r="I41" i="5"/>
  <c r="L41" i="5" s="1"/>
  <c r="L40" i="5"/>
  <c r="K40" i="5"/>
  <c r="I40" i="5"/>
  <c r="K39" i="5"/>
  <c r="L39" i="5" s="1"/>
  <c r="I39" i="5"/>
  <c r="K38" i="5"/>
  <c r="K46" i="5" s="1"/>
  <c r="I38" i="5"/>
  <c r="G34" i="5"/>
  <c r="K34" i="5" s="1"/>
  <c r="G33" i="5"/>
  <c r="K33" i="5" s="1"/>
  <c r="G32" i="5"/>
  <c r="K32" i="5" s="1"/>
  <c r="G31" i="5"/>
  <c r="K31" i="5" s="1"/>
  <c r="G30" i="5"/>
  <c r="K30" i="5" s="1"/>
  <c r="G29" i="5"/>
  <c r="K29" i="5" s="1"/>
  <c r="G28" i="5"/>
  <c r="K28" i="5" s="1"/>
  <c r="G27" i="5"/>
  <c r="K27" i="5" s="1"/>
  <c r="G26" i="5"/>
  <c r="K26" i="5" s="1"/>
  <c r="G25" i="5"/>
  <c r="K25" i="5" s="1"/>
  <c r="G24" i="5"/>
  <c r="K24" i="5" s="1"/>
  <c r="G23" i="5"/>
  <c r="K23" i="5" s="1"/>
  <c r="G22" i="5"/>
  <c r="K22" i="5" s="1"/>
  <c r="G21" i="5"/>
  <c r="K21" i="5" s="1"/>
  <c r="G20" i="5"/>
  <c r="K20" i="5" s="1"/>
  <c r="K36" i="5" s="1"/>
  <c r="L17" i="5"/>
  <c r="K17" i="5"/>
  <c r="I17" i="5"/>
  <c r="K16" i="5"/>
  <c r="I16" i="5"/>
  <c r="L16" i="5" s="1"/>
  <c r="K15" i="5"/>
  <c r="I15" i="5"/>
  <c r="L15" i="5" s="1"/>
  <c r="K14" i="5"/>
  <c r="I14" i="5"/>
  <c r="L14" i="5" s="1"/>
  <c r="L13" i="5"/>
  <c r="K13" i="5"/>
  <c r="I13" i="5"/>
  <c r="K12" i="5"/>
  <c r="I12" i="5"/>
  <c r="L12" i="5" s="1"/>
  <c r="K11" i="5"/>
  <c r="I11" i="5"/>
  <c r="L11" i="5" s="1"/>
  <c r="K10" i="5"/>
  <c r="K18" i="5" s="1"/>
  <c r="I10" i="5"/>
  <c r="L10" i="5" s="1"/>
  <c r="D10" i="1"/>
  <c r="D8" i="1"/>
  <c r="L69" i="7"/>
  <c r="K69" i="7"/>
  <c r="I69" i="7"/>
  <c r="K68" i="7"/>
  <c r="L68" i="7" s="1"/>
  <c r="I68" i="7"/>
  <c r="K67" i="7"/>
  <c r="I67" i="7"/>
  <c r="L67" i="7" s="1"/>
  <c r="K66" i="7"/>
  <c r="I66" i="7"/>
  <c r="L66" i="7" s="1"/>
  <c r="E66" i="7"/>
  <c r="K65" i="7"/>
  <c r="I65" i="7"/>
  <c r="L65" i="7" s="1"/>
  <c r="E65" i="7"/>
  <c r="K64" i="7"/>
  <c r="I64" i="7"/>
  <c r="L64" i="7" s="1"/>
  <c r="L63" i="7"/>
  <c r="K63" i="7"/>
  <c r="I63" i="7"/>
  <c r="K62" i="7"/>
  <c r="L62" i="7" s="1"/>
  <c r="I62" i="7"/>
  <c r="K59" i="7"/>
  <c r="I59" i="7"/>
  <c r="L59" i="7" s="1"/>
  <c r="K58" i="7"/>
  <c r="I58" i="7"/>
  <c r="L58" i="7" s="1"/>
  <c r="L57" i="7"/>
  <c r="K57" i="7"/>
  <c r="I57" i="7"/>
  <c r="K56" i="7"/>
  <c r="L56" i="7" s="1"/>
  <c r="I56" i="7"/>
  <c r="K54" i="7"/>
  <c r="I54" i="7"/>
  <c r="L54" i="7" s="1"/>
  <c r="G54" i="7"/>
  <c r="K53" i="7"/>
  <c r="I53" i="7"/>
  <c r="L53" i="7" s="1"/>
  <c r="K52" i="7"/>
  <c r="I52" i="7"/>
  <c r="L52" i="7" s="1"/>
  <c r="L51" i="7"/>
  <c r="K51" i="7"/>
  <c r="I51" i="7"/>
  <c r="K47" i="7"/>
  <c r="L47" i="7" s="1"/>
  <c r="I47" i="7"/>
  <c r="K46" i="7"/>
  <c r="I46" i="7"/>
  <c r="L46" i="7" s="1"/>
  <c r="K45" i="7"/>
  <c r="I45" i="7"/>
  <c r="L45" i="7" s="1"/>
  <c r="L44" i="7"/>
  <c r="K44" i="7"/>
  <c r="I44" i="7"/>
  <c r="E44" i="7"/>
  <c r="L43" i="7"/>
  <c r="K43" i="7"/>
  <c r="I43" i="7"/>
  <c r="K41" i="7"/>
  <c r="L41" i="7" s="1"/>
  <c r="I41" i="7"/>
  <c r="K40" i="7"/>
  <c r="I40" i="7"/>
  <c r="L40" i="7" s="1"/>
  <c r="K39" i="7"/>
  <c r="I39" i="7"/>
  <c r="L39" i="7" s="1"/>
  <c r="L38" i="7"/>
  <c r="K38" i="7"/>
  <c r="I38" i="7"/>
  <c r="K37" i="7"/>
  <c r="L37" i="7" s="1"/>
  <c r="I37" i="7"/>
  <c r="K35" i="7"/>
  <c r="I35" i="7"/>
  <c r="L35" i="7" s="1"/>
  <c r="G35" i="7"/>
  <c r="K34" i="7"/>
  <c r="I34" i="7"/>
  <c r="L34" i="7" s="1"/>
  <c r="K33" i="7"/>
  <c r="I33" i="7"/>
  <c r="L33" i="7" s="1"/>
  <c r="L32" i="7"/>
  <c r="K32" i="7"/>
  <c r="I32" i="7"/>
  <c r="K31" i="7"/>
  <c r="L31" i="7" s="1"/>
  <c r="I31" i="7"/>
  <c r="K30" i="7"/>
  <c r="I30" i="7"/>
  <c r="L30" i="7" s="1"/>
  <c r="K29" i="7"/>
  <c r="I29" i="7"/>
  <c r="L29" i="7" s="1"/>
  <c r="L28" i="7"/>
  <c r="K28" i="7"/>
  <c r="I28" i="7"/>
  <c r="K24" i="7"/>
  <c r="L24" i="7" s="1"/>
  <c r="I24" i="7"/>
  <c r="K23" i="7"/>
  <c r="I23" i="7"/>
  <c r="L23" i="7" s="1"/>
  <c r="K22" i="7"/>
  <c r="I22" i="7"/>
  <c r="L22" i="7" s="1"/>
  <c r="G20" i="7"/>
  <c r="K20" i="7" s="1"/>
  <c r="L19" i="7"/>
  <c r="K19" i="7"/>
  <c r="I19" i="7"/>
  <c r="K18" i="7"/>
  <c r="L18" i="7" s="1"/>
  <c r="I18" i="7"/>
  <c r="K17" i="7"/>
  <c r="I17" i="7"/>
  <c r="L17" i="7" s="1"/>
  <c r="K16" i="7"/>
  <c r="I16" i="7"/>
  <c r="L16" i="7" s="1"/>
  <c r="L15" i="7"/>
  <c r="K15" i="7"/>
  <c r="I15" i="7"/>
  <c r="K14" i="7"/>
  <c r="L14" i="7" s="1"/>
  <c r="I14" i="7"/>
  <c r="K13" i="7"/>
  <c r="I13" i="7"/>
  <c r="L13" i="7" s="1"/>
  <c r="P12" i="7"/>
  <c r="K12" i="7"/>
  <c r="I12" i="7"/>
  <c r="L12" i="7" s="1"/>
  <c r="P11" i="7"/>
  <c r="K11" i="7"/>
  <c r="I11" i="7"/>
  <c r="L11" i="7" s="1"/>
  <c r="K10" i="7"/>
  <c r="I10" i="7"/>
  <c r="L10" i="7" s="1"/>
  <c r="A5" i="7"/>
  <c r="A4" i="7"/>
  <c r="M3" i="7"/>
  <c r="A3" i="7"/>
  <c r="I41" i="3"/>
  <c r="L41" i="3" s="1"/>
  <c r="I40" i="3"/>
  <c r="L40" i="3" s="1"/>
  <c r="I39" i="3"/>
  <c r="L39" i="3" s="1"/>
  <c r="I38" i="3"/>
  <c r="L38" i="3" s="1"/>
  <c r="L37" i="3"/>
  <c r="I37" i="3"/>
  <c r="I36" i="3"/>
  <c r="L36" i="3" s="1"/>
  <c r="F35" i="3"/>
  <c r="E35" i="3"/>
  <c r="L55" i="6" l="1"/>
  <c r="I92" i="6"/>
  <c r="H23" i="6"/>
  <c r="K13" i="6"/>
  <c r="L80" i="6"/>
  <c r="K76" i="6"/>
  <c r="K12" i="6" s="1"/>
  <c r="L44" i="6"/>
  <c r="L56" i="6"/>
  <c r="K20" i="6"/>
  <c r="I37" i="6"/>
  <c r="L37" i="6" s="1"/>
  <c r="I38" i="6"/>
  <c r="L38" i="6" s="1"/>
  <c r="I60" i="6"/>
  <c r="I72" i="6"/>
  <c r="I76" i="6" s="1"/>
  <c r="I12" i="6" s="1"/>
  <c r="L78" i="6"/>
  <c r="L92" i="6" s="1"/>
  <c r="H31" i="6"/>
  <c r="I45" i="6"/>
  <c r="I53" i="6"/>
  <c r="L53" i="6" s="1"/>
  <c r="L18" i="5"/>
  <c r="K71" i="5"/>
  <c r="I46" i="5"/>
  <c r="I18" i="5"/>
  <c r="I20" i="5"/>
  <c r="I21" i="5"/>
  <c r="L21" i="5" s="1"/>
  <c r="I22" i="5"/>
  <c r="L22" i="5" s="1"/>
  <c r="I23" i="5"/>
  <c r="L23" i="5" s="1"/>
  <c r="I24" i="5"/>
  <c r="L24" i="5" s="1"/>
  <c r="I25" i="5"/>
  <c r="L25" i="5" s="1"/>
  <c r="I26" i="5"/>
  <c r="L26" i="5" s="1"/>
  <c r="I27" i="5"/>
  <c r="L27" i="5" s="1"/>
  <c r="I28" i="5"/>
  <c r="L28" i="5" s="1"/>
  <c r="I29" i="5"/>
  <c r="L29" i="5" s="1"/>
  <c r="I30" i="5"/>
  <c r="L30" i="5" s="1"/>
  <c r="I31" i="5"/>
  <c r="L31" i="5" s="1"/>
  <c r="I32" i="5"/>
  <c r="L32" i="5" s="1"/>
  <c r="I33" i="5"/>
  <c r="L33" i="5" s="1"/>
  <c r="I34" i="5"/>
  <c r="L34" i="5" s="1"/>
  <c r="I67" i="5"/>
  <c r="L38" i="5"/>
  <c r="L46" i="5" s="1"/>
  <c r="I48" i="5"/>
  <c r="I49" i="5"/>
  <c r="L49" i="5" s="1"/>
  <c r="L69" i="5"/>
  <c r="L70" i="5" s="1"/>
  <c r="L71" i="7"/>
  <c r="K71" i="7"/>
  <c r="I20" i="7"/>
  <c r="L20" i="7" s="1"/>
  <c r="L42" i="3"/>
  <c r="I42" i="3"/>
  <c r="A4" i="6"/>
  <c r="M3" i="6"/>
  <c r="A3" i="6"/>
  <c r="A4" i="5"/>
  <c r="M3" i="5"/>
  <c r="A3" i="5"/>
  <c r="A4" i="3"/>
  <c r="M3" i="3"/>
  <c r="A3" i="3"/>
  <c r="I141" i="3"/>
  <c r="L141" i="3" s="1"/>
  <c r="E141" i="3"/>
  <c r="I140" i="3"/>
  <c r="L140" i="3" s="1"/>
  <c r="L139" i="3"/>
  <c r="I139" i="3"/>
  <c r="I138" i="3"/>
  <c r="L138" i="3" s="1"/>
  <c r="I137" i="3"/>
  <c r="L137" i="3" s="1"/>
  <c r="I136" i="3"/>
  <c r="L136" i="3" s="1"/>
  <c r="L135" i="3"/>
  <c r="I135" i="3"/>
  <c r="I134" i="3"/>
  <c r="L134" i="3" s="1"/>
  <c r="I133" i="3"/>
  <c r="L133" i="3" s="1"/>
  <c r="I132" i="3"/>
  <c r="L132" i="3" s="1"/>
  <c r="L131" i="3"/>
  <c r="I131" i="3"/>
  <c r="I130" i="3"/>
  <c r="I143" i="3" s="1"/>
  <c r="I126" i="3"/>
  <c r="L126" i="3" s="1"/>
  <c r="E126" i="3"/>
  <c r="I125" i="3"/>
  <c r="L125" i="3" s="1"/>
  <c r="I124" i="3"/>
  <c r="L124" i="3" s="1"/>
  <c r="I123" i="3"/>
  <c r="L123" i="3" s="1"/>
  <c r="I122" i="3"/>
  <c r="L122" i="3" s="1"/>
  <c r="E122" i="3"/>
  <c r="L121" i="3"/>
  <c r="I121" i="3"/>
  <c r="E121" i="3"/>
  <c r="I120" i="3"/>
  <c r="E120" i="3"/>
  <c r="I114" i="3"/>
  <c r="I117" i="3" s="1"/>
  <c r="I107" i="3"/>
  <c r="L107" i="3" s="1"/>
  <c r="I106" i="3"/>
  <c r="L106" i="3" s="1"/>
  <c r="L105" i="3"/>
  <c r="I104" i="3"/>
  <c r="L104" i="3" s="1"/>
  <c r="I103" i="3"/>
  <c r="L103" i="3" s="1"/>
  <c r="I102" i="3"/>
  <c r="L102" i="3" s="1"/>
  <c r="L101" i="3"/>
  <c r="I101" i="3"/>
  <c r="I100" i="3"/>
  <c r="L100" i="3" s="1"/>
  <c r="I99" i="3"/>
  <c r="L99" i="3" s="1"/>
  <c r="I98" i="3"/>
  <c r="L98" i="3" s="1"/>
  <c r="I97" i="3"/>
  <c r="L97" i="3" s="1"/>
  <c r="I96" i="3"/>
  <c r="L96" i="3" s="1"/>
  <c r="I95" i="3"/>
  <c r="L95" i="3" s="1"/>
  <c r="I94" i="3"/>
  <c r="L94" i="3" s="1"/>
  <c r="I93" i="3"/>
  <c r="L93" i="3" s="1"/>
  <c r="I92" i="3"/>
  <c r="L92" i="3" s="1"/>
  <c r="I91" i="3"/>
  <c r="L91" i="3" s="1"/>
  <c r="I88" i="3"/>
  <c r="L88" i="3" s="1"/>
  <c r="L87" i="3"/>
  <c r="I87" i="3"/>
  <c r="L86" i="3"/>
  <c r="I85" i="3"/>
  <c r="L85" i="3" s="1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I78" i="3"/>
  <c r="L78" i="3" s="1"/>
  <c r="I77" i="3"/>
  <c r="L77" i="3" s="1"/>
  <c r="I76" i="3"/>
  <c r="L76" i="3" s="1"/>
  <c r="I75" i="3"/>
  <c r="L75" i="3" s="1"/>
  <c r="I74" i="3"/>
  <c r="L74" i="3" s="1"/>
  <c r="I73" i="3"/>
  <c r="L73" i="3" s="1"/>
  <c r="I72" i="3"/>
  <c r="I68" i="3"/>
  <c r="L68" i="3" s="1"/>
  <c r="I67" i="3"/>
  <c r="L67" i="3" s="1"/>
  <c r="I66" i="3"/>
  <c r="L66" i="3" s="1"/>
  <c r="I65" i="3"/>
  <c r="L65" i="3" s="1"/>
  <c r="I62" i="3"/>
  <c r="L62" i="3" s="1"/>
  <c r="I61" i="3"/>
  <c r="L61" i="3" s="1"/>
  <c r="I60" i="3"/>
  <c r="L60" i="3" s="1"/>
  <c r="I59" i="3"/>
  <c r="L59" i="3" s="1"/>
  <c r="I58" i="3"/>
  <c r="L58" i="3" s="1"/>
  <c r="I57" i="3"/>
  <c r="L57" i="3" s="1"/>
  <c r="I56" i="3"/>
  <c r="L56" i="3" s="1"/>
  <c r="K51" i="3"/>
  <c r="I51" i="3"/>
  <c r="E51" i="3"/>
  <c r="K50" i="3"/>
  <c r="I50" i="3"/>
  <c r="E50" i="3"/>
  <c r="K49" i="3"/>
  <c r="I49" i="3"/>
  <c r="E49" i="3"/>
  <c r="K47" i="3"/>
  <c r="I47" i="3"/>
  <c r="E47" i="3"/>
  <c r="K46" i="3"/>
  <c r="I46" i="3"/>
  <c r="E46" i="3"/>
  <c r="K45" i="3"/>
  <c r="L45" i="3" s="1"/>
  <c r="I45" i="3"/>
  <c r="K44" i="3"/>
  <c r="I44" i="3"/>
  <c r="K31" i="3"/>
  <c r="L31" i="3" s="1"/>
  <c r="I31" i="3"/>
  <c r="K30" i="3"/>
  <c r="I30" i="3"/>
  <c r="K28" i="3"/>
  <c r="L28" i="3" s="1"/>
  <c r="I28" i="3"/>
  <c r="K27" i="3"/>
  <c r="I27" i="3"/>
  <c r="L26" i="3"/>
  <c r="K26" i="3"/>
  <c r="I26" i="3"/>
  <c r="E26" i="3"/>
  <c r="L25" i="3"/>
  <c r="K25" i="3"/>
  <c r="I25" i="3"/>
  <c r="E25" i="3"/>
  <c r="L24" i="3"/>
  <c r="K24" i="3"/>
  <c r="I24" i="3"/>
  <c r="E24" i="3"/>
  <c r="L23" i="3"/>
  <c r="K23" i="3"/>
  <c r="I23" i="3"/>
  <c r="E23" i="3"/>
  <c r="L22" i="3"/>
  <c r="K22" i="3"/>
  <c r="I22" i="3"/>
  <c r="E22" i="3"/>
  <c r="L21" i="3"/>
  <c r="K21" i="3"/>
  <c r="I21" i="3"/>
  <c r="E21" i="3"/>
  <c r="E45" i="3" s="1"/>
  <c r="F20" i="3"/>
  <c r="K18" i="3"/>
  <c r="I18" i="3"/>
  <c r="K17" i="3"/>
  <c r="I17" i="3"/>
  <c r="K16" i="3"/>
  <c r="I16" i="3"/>
  <c r="E16" i="3"/>
  <c r="E18" i="3" s="1"/>
  <c r="K15" i="3"/>
  <c r="I15" i="3"/>
  <c r="E15" i="3"/>
  <c r="E9" i="3" s="1"/>
  <c r="K14" i="3"/>
  <c r="I14" i="3"/>
  <c r="K13" i="3"/>
  <c r="I13" i="3"/>
  <c r="K12" i="3"/>
  <c r="L12" i="3" s="1"/>
  <c r="I12" i="3"/>
  <c r="K11" i="3"/>
  <c r="I11" i="3"/>
  <c r="K10" i="3"/>
  <c r="I10" i="3"/>
  <c r="F9" i="3"/>
  <c r="H61" i="6" l="1"/>
  <c r="L45" i="6"/>
  <c r="J31" i="6"/>
  <c r="K31" i="6" s="1"/>
  <c r="I31" i="6"/>
  <c r="L60" i="6"/>
  <c r="L72" i="6"/>
  <c r="L76" i="6" s="1"/>
  <c r="L12" i="6" s="1"/>
  <c r="H46" i="6"/>
  <c r="J23" i="6"/>
  <c r="K23" i="6" s="1"/>
  <c r="K41" i="6" s="1"/>
  <c r="K9" i="6" s="1"/>
  <c r="I23" i="6"/>
  <c r="L20" i="6"/>
  <c r="L13" i="6"/>
  <c r="I13" i="6"/>
  <c r="I71" i="5"/>
  <c r="L48" i="5"/>
  <c r="L58" i="5" s="1"/>
  <c r="I58" i="5"/>
  <c r="L35" i="5"/>
  <c r="L20" i="5"/>
  <c r="L36" i="5" s="1"/>
  <c r="L71" i="5" s="1"/>
  <c r="I36" i="5"/>
  <c r="I71" i="7"/>
  <c r="L47" i="3"/>
  <c r="L11" i="3"/>
  <c r="L50" i="3"/>
  <c r="L13" i="3"/>
  <c r="I33" i="3"/>
  <c r="K53" i="3"/>
  <c r="L27" i="3"/>
  <c r="L30" i="3"/>
  <c r="L49" i="3"/>
  <c r="L130" i="3"/>
  <c r="L143" i="3" s="1"/>
  <c r="I110" i="3"/>
  <c r="I128" i="3"/>
  <c r="K33" i="3"/>
  <c r="L69" i="3"/>
  <c r="L14" i="3"/>
  <c r="L15" i="3"/>
  <c r="L10" i="3"/>
  <c r="L16" i="3"/>
  <c r="L18" i="3"/>
  <c r="L46" i="3"/>
  <c r="L51" i="3"/>
  <c r="L72" i="3"/>
  <c r="L110" i="3" s="1"/>
  <c r="I69" i="3"/>
  <c r="L33" i="3"/>
  <c r="L17" i="3"/>
  <c r="I53" i="3"/>
  <c r="L114" i="3"/>
  <c r="L117" i="3" s="1"/>
  <c r="I19" i="3"/>
  <c r="I144" i="3" s="1"/>
  <c r="K19" i="3"/>
  <c r="K144" i="3" s="1"/>
  <c r="L44" i="3"/>
  <c r="L120" i="3"/>
  <c r="L128" i="3" s="1"/>
  <c r="E17" i="3"/>
  <c r="E20" i="3"/>
  <c r="E44" i="3"/>
  <c r="J46" i="6" l="1"/>
  <c r="K46" i="6" s="1"/>
  <c r="I46" i="6"/>
  <c r="I57" i="6" s="1"/>
  <c r="I10" i="6" s="1"/>
  <c r="L23" i="6"/>
  <c r="L41" i="6" s="1"/>
  <c r="L9" i="6" s="1"/>
  <c r="I41" i="6"/>
  <c r="I9" i="6" s="1"/>
  <c r="L31" i="6"/>
  <c r="J61" i="6"/>
  <c r="K61" i="6" s="1"/>
  <c r="K69" i="6" s="1"/>
  <c r="I61" i="6"/>
  <c r="L53" i="3"/>
  <c r="L19" i="3"/>
  <c r="L144" i="3" s="1"/>
  <c r="K11" i="6" l="1"/>
  <c r="L46" i="6"/>
  <c r="L57" i="6" s="1"/>
  <c r="L10" i="6" s="1"/>
  <c r="K57" i="6"/>
  <c r="K10" i="6" s="1"/>
  <c r="K17" i="6" s="1"/>
  <c r="L61" i="6"/>
  <c r="L69" i="6" s="1"/>
  <c r="I69" i="6"/>
  <c r="D16" i="1"/>
  <c r="L11" i="6" l="1"/>
  <c r="L17" i="6" s="1"/>
  <c r="L93" i="6"/>
  <c r="I11" i="6"/>
  <c r="I17" i="6" s="1"/>
  <c r="I93" i="6"/>
  <c r="K93" i="6"/>
  <c r="D18" i="1"/>
  <c r="D19" i="1" l="1"/>
  <c r="D20" i="1" s="1"/>
  <c r="D21" i="1" s="1"/>
</calcChain>
</file>

<file path=xl/sharedStrings.xml><?xml version="1.0" encoding="utf-8"?>
<sst xmlns="http://schemas.openxmlformats.org/spreadsheetml/2006/main" count="843" uniqueCount="460">
  <si>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</si>
  <si>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</si>
  <si>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</si>
  <si>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</si>
  <si>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</si>
  <si>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</si>
  <si>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</si>
  <si>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</si>
  <si>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</si>
  <si>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</si>
  <si>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</si>
  <si>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</si>
  <si>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</si>
  <si>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</si>
  <si>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</si>
  <si>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</si>
  <si>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</si>
  <si>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</si>
  <si>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</si>
  <si>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</si>
  <si>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</si>
  <si>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</si>
  <si>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</si>
  <si>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</si>
  <si>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</si>
  <si>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</si>
  <si>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</si>
  <si>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</si>
  <si>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</si>
  <si>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</si>
  <si>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</si>
  <si>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</si>
  <si>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</si>
  <si>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</si>
  <si>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</si>
  <si>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</si>
  <si>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</si>
  <si>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</si>
  <si>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</si>
  <si>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</si>
  <si>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</si>
  <si>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</si>
  <si>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</si>
  <si>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</si>
  <si>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</si>
  <si>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</si>
  <si>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</si>
  <si>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</si>
  <si>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</si>
  <si>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</si>
  <si>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</si>
  <si>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</si>
  <si>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</si>
  <si>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</si>
  <si>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</si>
  <si>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</si>
  <si>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</si>
  <si>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</si>
  <si>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</si>
  <si>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</si>
  <si>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</si>
  <si>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</si>
  <si>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</si>
  <si>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</si>
  <si>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</si>
  <si>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</si>
  <si>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</si>
  <si>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</si>
  <si>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</si>
  <si>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</si>
  <si>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</si>
  <si>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</si>
  <si>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</si>
  <si>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</si>
  <si>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</si>
  <si>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</si>
  <si>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</si>
  <si>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</si>
  <si>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</si>
  <si>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</si>
  <si>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</si>
  <si>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</si>
  <si>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</si>
  <si>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</si>
  <si>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</si>
  <si>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</si>
  <si>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</si>
  <si>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</si>
  <si>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</si>
  <si>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</si>
  <si>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</si>
  <si>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</si>
  <si>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</si>
  <si>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</si>
  <si>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</si>
  <si>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</si>
  <si>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</si>
  <si>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</si>
  <si>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</si>
  <si>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</si>
  <si>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</si>
  <si>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</si>
  <si>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</si>
  <si>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</si>
  <si>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</si>
  <si>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</si>
  <si>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</si>
  <si>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</si>
  <si>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</si>
  <si>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</si>
  <si>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</si>
  <si>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</si>
  <si>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</si>
  <si>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</si>
  <si>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</si>
  <si>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</si>
  <si>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</si>
  <si>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</si>
  <si>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</si>
  <si>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</si>
  <si>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</si>
  <si>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</si>
  <si>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</si>
  <si>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</si>
  <si>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</si>
  <si>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</si>
  <si>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</si>
  <si>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</si>
  <si>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</si>
  <si>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</si>
  <si>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</si>
  <si>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</si>
  <si>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</si>
  <si>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</si>
  <si>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</si>
  <si>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</si>
  <si>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</si>
  <si>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</si>
  <si>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</si>
  <si>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</si>
  <si>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</si>
  <si>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</si>
  <si>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</si>
  <si>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</si>
  <si>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</si>
  <si>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</si>
  <si>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</si>
  <si>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</si>
  <si>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</si>
  <si>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</si>
  <si>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</si>
  <si>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</si>
  <si>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</si>
  <si>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</si>
  <si>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</si>
  <si>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</si>
  <si>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</si>
  <si>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</si>
  <si>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</si>
  <si>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</si>
  <si>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</si>
  <si>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</si>
  <si>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</si>
  <si>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</si>
  <si>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</si>
  <si>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</si>
  <si>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</si>
  <si>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</si>
  <si>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</si>
  <si>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</si>
  <si>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</si>
  <si>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</si>
  <si>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</si>
  <si>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</si>
  <si>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</si>
  <si>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</si>
  <si>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</si>
  <si>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</si>
  <si>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</si>
  <si>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</si>
  <si>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</si>
  <si>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</si>
  <si>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</si>
  <si>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</si>
  <si>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</si>
  <si>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</si>
  <si>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</si>
  <si>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</si>
  <si>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</si>
  <si>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</si>
  <si>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</si>
  <si>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</si>
  <si>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</si>
  <si>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</si>
  <si>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</si>
  <si>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</si>
  <si>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</si>
  <si>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</si>
  <si>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</si>
  <si>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</si>
  <si>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</si>
  <si>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</si>
  <si>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</si>
  <si>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</si>
  <si>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</si>
  <si>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</si>
  <si>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</si>
  <si>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</si>
  <si>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</si>
  <si>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>เลิอน</t>
  </si>
  <si>
    <t>เปิด</t>
  </si>
  <si>
    <t>ทุ้ง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</si>
  <si>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</si>
  <si>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</si>
  <si>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</si>
  <si>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</si>
  <si>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</si>
  <si>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</si>
  <si>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</si>
  <si>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</si>
  <si>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</si>
  <si>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</si>
  <si>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</si>
  <si>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</si>
  <si>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</si>
  <si>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</si>
  <si>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</si>
  <si>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</si>
  <si>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</si>
  <si>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</si>
  <si>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</si>
  <si>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</si>
  <si>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</si>
  <si>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</si>
  <si>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</si>
  <si>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</si>
  <si>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</si>
  <si>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</si>
  <si>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</si>
  <si>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</si>
  <si>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</si>
  <si>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</si>
  <si>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</si>
  <si>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</si>
  <si>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</si>
  <si>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</si>
  <si>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</si>
  <si>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</si>
  <si>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</si>
  <si>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</si>
  <si>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</si>
  <si>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</si>
  <si>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</si>
  <si>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</si>
  <si>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</si>
  <si>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</si>
  <si>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</si>
  <si>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</si>
  <si>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</si>
  <si>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</si>
  <si>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</si>
  <si>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</si>
  <si>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</si>
  <si>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</si>
  <si>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</si>
  <si>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</si>
  <si>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</si>
  <si>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</si>
  <si>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</si>
  <si>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</si>
  <si>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</si>
  <si>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</si>
  <si>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</si>
  <si>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</si>
  <si>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</si>
  <si>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</si>
  <si>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</si>
  <si>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</si>
  <si>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</si>
  <si>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</si>
  <si>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</si>
  <si>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</si>
  <si>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</si>
  <si>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</si>
  <si>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</si>
  <si>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</si>
  <si>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</si>
  <si>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</si>
  <si>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</si>
  <si>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</si>
  <si>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</si>
  <si>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</si>
  <si>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</si>
  <si>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</si>
  <si>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</si>
  <si>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</si>
  <si>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</si>
  <si>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</si>
  <si>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</si>
  <si>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</si>
  <si>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</si>
  <si>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</si>
  <si>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</si>
  <si>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</si>
  <si>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</si>
  <si>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</si>
  <si>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</si>
  <si>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</si>
  <si>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</si>
  <si>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</si>
  <si>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</si>
  <si>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</si>
  <si>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</si>
  <si>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</si>
  <si>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</si>
  <si>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</si>
  <si>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</si>
  <si>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</si>
  <si>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</si>
  <si>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</si>
  <si>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</si>
  <si>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</si>
  <si>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</si>
  <si>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</si>
  <si>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</si>
  <si>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</si>
  <si>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</si>
  <si>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</si>
  <si>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</si>
  <si>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</si>
  <si>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</si>
  <si>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</si>
  <si>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</si>
  <si>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</si>
  <si>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</si>
  <si>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</si>
  <si>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</si>
  <si>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</si>
  <si>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</si>
  <si>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</si>
  <si>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</si>
  <si>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</si>
  <si>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</si>
  <si>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</si>
  <si>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</si>
  <si>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</si>
  <si>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</si>
  <si>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</si>
  <si>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</si>
  <si>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</si>
  <si>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</si>
  <si>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</si>
  <si>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</si>
  <si>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</si>
  <si>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</si>
  <si>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</si>
  <si>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</si>
  <si>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</si>
  <si>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</si>
  <si>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</si>
  <si>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</si>
  <si>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</si>
  <si>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</si>
  <si>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</si>
  <si>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</si>
  <si>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</si>
  <si>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</si>
  <si>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</si>
  <si>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</si>
  <si>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</si>
  <si>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</si>
  <si>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</si>
  <si>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</si>
  <si>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</si>
  <si>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</si>
  <si>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</si>
  <si>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</si>
  <si>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B-1.7</t>
  </si>
  <si>
    <t>ซีเมนต์ขัดมันเรียบผสมน้ำยากันซึม (กันสาด)</t>
  </si>
  <si>
    <t>B-1.8</t>
  </si>
  <si>
    <t>บัวเชิงไม้เนื้อแข็ง 1/2"x4" (ชั้นบน)</t>
  </si>
  <si>
    <t>ผนังอิฐมวลเบา 2 ชั้น</t>
  </si>
  <si>
    <t>B-2.9</t>
  </si>
  <si>
    <t>B-2.10</t>
  </si>
  <si>
    <t>B-4.8</t>
  </si>
  <si>
    <t>B-5.2.3</t>
  </si>
  <si>
    <t>น3</t>
  </si>
  <si>
    <t>B-5.2.4</t>
  </si>
  <si>
    <t>น4</t>
  </si>
  <si>
    <t>ห้องน้ำ 1 (ค่าแรงอยู่ในงานสุขาภิบาลแล้ว)</t>
  </si>
  <si>
    <t>B-6.1.13</t>
  </si>
  <si>
    <t>B-6.1.14</t>
  </si>
  <si>
    <t>B-6.1.15</t>
  </si>
  <si>
    <t>ห้องน้ำ 2  (ค่าแรงอยู่ในงานสุขาภิบาลแล้ว)</t>
  </si>
  <si>
    <t xml:space="preserve"> รวมหมวดงาน B-6</t>
  </si>
  <si>
    <t>(ชูด)</t>
  </si>
  <si>
    <t>B-9.3</t>
  </si>
  <si>
    <t>B-9.4</t>
  </si>
  <si>
    <t>B-952</t>
  </si>
  <si>
    <t>แผงบังแดด 5</t>
  </si>
  <si>
    <t>B-9.6</t>
  </si>
  <si>
    <t>แผงบังแดด 6</t>
  </si>
  <si>
    <t>B-9.7</t>
  </si>
  <si>
    <t>แผงบังแดด 7</t>
  </si>
  <si>
    <t>B-9.8</t>
  </si>
  <si>
    <t>แผงบังแดด 8</t>
  </si>
  <si>
    <t>B-9.9</t>
  </si>
  <si>
    <t>แผงบังแดด 9</t>
  </si>
  <si>
    <t>B-9.10</t>
  </si>
  <si>
    <t>แผงบังแดด 10</t>
  </si>
  <si>
    <t>B-9.11</t>
  </si>
  <si>
    <t>แผงบังแดด 11</t>
  </si>
  <si>
    <t>B-9.13</t>
  </si>
  <si>
    <t>B-1.9</t>
  </si>
  <si>
    <t>B-2.8</t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</si>
  <si>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</si>
  <si>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ป4'</t>
  </si>
  <si>
    <t>ผนังปิดผิวด้วยแผ่นสมาร์ทบอร์ด รุ่นเซาะร่อง 4 นิ้ว</t>
  </si>
  <si>
    <t>แบบบ้าน  :  บ้านดีดีรักษ์ฟ้า 2</t>
  </si>
  <si>
    <t>B-3.4</t>
  </si>
  <si>
    <t>C4 - ฉาบปูนเรียบทาสีใต้ท้องพื้น</t>
  </si>
  <si>
    <t>B-3.5</t>
  </si>
  <si>
    <t>C5 - ฝ้าเพดานยิบซั่มบอร์ด หนา 9 มม. ชนิดธรรมดา โครงเคร่าเหล็กชุบสังกะสี  @ 0.60x0.60m.</t>
  </si>
  <si>
    <t>B-3.6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</si>
  <si>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</si>
  <si>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</si>
  <si>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</si>
  <si>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</si>
  <si>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</si>
  <si>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</si>
  <si>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</si>
  <si>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</si>
  <si>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</si>
  <si>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</si>
  <si>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</si>
  <si>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</si>
  <si>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</si>
  <si>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</si>
  <si>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</si>
  <si>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</si>
  <si>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</si>
  <si>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</si>
  <si>
    <t xml:space="preserve">  -  Miniature Circuit Breaker (MCB) 1P,20AT</t>
  </si>
  <si>
    <t xml:space="preserve">  -  FITTING &amp; ACCESSORIES งานติดตั้งสายไฟและงานเดินท่อ(10%)</t>
  </si>
  <si>
    <t xml:space="preserve"> - โคมไฟเพดานใช้หลอด COMPACT FLUORESCENT 2X13W/ชนิดขั้วหลอด E27 (มีครอบกันแมลง)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</si>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</sst>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36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0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3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0" fontId="10" fillId="25" borderId="53" xfId="0" applyFont="1" applyFill="1" applyBorder="1" applyAlignment="1">
      <alignment horizontal="center"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164" fontId="11" fillId="25" borderId="56" xfId="52" applyFont="1" applyFill="1" applyBorder="1" applyAlignment="1" applyProtection="1">
      <alignment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0" fontId="35" fillId="29" borderId="0" xfId="0" applyFont="1" applyFill="1" applyAlignment="1">
      <alignment horizontal="center" vertical="center"/>
    </xf>
    <xf numFmtId="166" fontId="35" fillId="29" borderId="0" xfId="52" applyNumberFormat="1" applyFont="1" applyFill="1" applyBorder="1" applyAlignment="1">
      <alignment horizontal="center" vertical="center"/>
    </xf>
    <xf numFmtId="0" fontId="9" fillId="0" borderId="0" xfId="0" applyFont="1"/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14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19" xfId="0" applyFont="1" applyFill="1" applyBorder="1" applyAlignment="1">
      <alignment horizontal="center" vertical="center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64" fontId="10" fillId="25" borderId="23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vertical="center"/>
    </xf>
    <xf numFmtId="164" fontId="11" fillId="27" borderId="26" xfId="52" applyFont="1" applyFill="1" applyBorder="1" applyAlignment="1" applyProtection="1">
      <alignment vertical="center"/>
      <protection locked="0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vertical="center" wrapText="1" shrinkToFit="1"/>
    </xf>
    <xf numFmtId="0" fontId="11" fillId="25" borderId="67" xfId="0" applyFont="1" applyFill="1" applyBorder="1" applyAlignment="1" applyProtection="1">
      <alignment vertical="center" wrapText="1" shrinkToFit="1"/>
    </xf>
    <xf numFmtId="43" fontId="11" fillId="25" borderId="37" xfId="0" applyNumberFormat="1" applyFont="1" applyFill="1" applyBorder="1" applyAlignment="1" applyProtection="1">
      <alignment vertical="center"/>
      <protection locked="0"/>
    </xf>
    <xf numFmtId="0" fontId="10" fillId="25" borderId="34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horizontal="left" vertical="center" wrapText="1"/>
    </xf>
    <xf numFmtId="4" fontId="34" fillId="25" borderId="94" xfId="0" applyNumberFormat="1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vertical="center"/>
      <protection locked="0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25" borderId="14" xfId="0" applyFont="1" applyFill="1" applyBorder="1" applyAlignment="1">
      <alignment vertical="center"/>
    </xf>
    <xf numFmtId="164" fontId="11" fillId="25" borderId="14" xfId="52" applyFont="1" applyFill="1" applyBorder="1" applyAlignment="1" applyProtection="1">
      <alignment horizontal="left" vertical="center"/>
      <protection locked="0"/>
    </xf>
    <xf numFmtId="0" fontId="10" fillId="25" borderId="49" xfId="0" applyFont="1" applyFill="1" applyBorder="1" applyAlignment="1" applyProtection="1">
      <alignment horizontal="left" vertical="center"/>
    </xf>
    <xf numFmtId="165" fontId="10" fillId="25" borderId="53" xfId="0" applyNumberFormat="1" applyFont="1" applyFill="1" applyBorder="1" applyAlignment="1" applyProtection="1">
      <alignment horizontal="center" vertical="center"/>
      <protection locked="0"/>
    </xf>
    <xf numFmtId="0" fontId="10" fillId="0" borderId="95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vertical="center"/>
      <protection locked="0"/>
    </xf>
    <xf numFmtId="0" fontId="11" fillId="25" borderId="64" xfId="0" applyFont="1" applyFill="1" applyBorder="1" applyAlignment="1" applyProtection="1">
      <alignment horizontal="center" vertical="center"/>
      <protection locked="0"/>
    </xf>
    <xf numFmtId="0" fontId="11" fillId="25" borderId="54" xfId="0" applyFont="1" applyFill="1" applyBorder="1" applyAlignment="1" applyProtection="1">
      <alignment vertical="center" wrapText="1" shrinkToFit="1"/>
    </xf>
    <xf numFmtId="0" fontId="11" fillId="25" borderId="54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164" fontId="11" fillId="25" borderId="68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centerContinuous" vertical="center"/>
    </xf>
    <xf numFmtId="164" fontId="11" fillId="25" borderId="13" xfId="52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left" vertical="center"/>
      <protection locked="0"/>
    </xf>
    <xf numFmtId="164" fontId="11" fillId="25" borderId="48" xfId="52" applyFont="1" applyFill="1" applyBorder="1" applyAlignment="1" applyProtection="1">
      <alignment horizontal="left" vertical="center"/>
      <protection locked="0"/>
    </xf>
    <xf numFmtId="164" fontId="11" fillId="25" borderId="49" xfId="52" applyFont="1" applyFill="1" applyBorder="1" applyAlignment="1" applyProtection="1">
      <alignment horizontal="left" vertical="center"/>
      <protection locked="0"/>
    </xf>
    <xf numFmtId="0" fontId="11" fillId="0" borderId="13" xfId="0" applyFont="1" applyFill="1" applyBorder="1" applyAlignment="1">
      <alignment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43" fontId="10" fillId="25" borderId="24" xfId="0" applyNumberFormat="1" applyFont="1" applyFill="1" applyBorder="1" applyAlignment="1" applyProtection="1">
      <alignment horizontal="left" vertical="center"/>
      <protection locked="0"/>
    </xf>
    <xf numFmtId="170" fontId="34" fillId="25" borderId="0" xfId="52" applyNumberFormat="1" applyFont="1" applyFill="1" applyBorder="1" applyAlignment="1">
      <alignment horizontal="right" vertical="center"/>
    </xf>
    <xf numFmtId="164" fontId="11" fillId="26" borderId="17" xfId="52" applyFont="1" applyFill="1" applyBorder="1" applyAlignment="1" applyProtection="1">
      <alignment horizontal="center" vertical="center"/>
      <protection locked="0"/>
    </xf>
    <xf numFmtId="164" fontId="10" fillId="32" borderId="31" xfId="52" applyFont="1" applyFill="1" applyBorder="1" applyAlignment="1" applyProtection="1">
      <alignment vertical="center"/>
      <protection locked="0"/>
    </xf>
    <xf numFmtId="164" fontId="11" fillId="32" borderId="31" xfId="52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24" xfId="0" applyFont="1" applyFill="1" applyBorder="1" applyAlignment="1">
      <alignment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10" fillId="25" borderId="23" xfId="0" applyFont="1" applyFill="1" applyBorder="1" applyAlignment="1" applyProtection="1">
      <alignment horizontal="left" vertical="center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0" fontId="11" fillId="25" borderId="97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98" xfId="0" applyFont="1" applyFill="1" applyBorder="1" applyAlignment="1" applyProtection="1">
      <alignment horizontal="center" vertical="center"/>
    </xf>
    <xf numFmtId="164" fontId="11" fillId="25" borderId="9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 applyProtection="1">
      <alignment vertical="center"/>
      <protection locked="0"/>
    </xf>
    <xf numFmtId="164" fontId="11" fillId="25" borderId="100" xfId="52" applyFont="1" applyFill="1" applyBorder="1" applyAlignment="1" applyProtection="1">
      <alignment vertical="center"/>
    </xf>
    <xf numFmtId="43" fontId="11" fillId="25" borderId="23" xfId="0" applyNumberFormat="1" applyFont="1" applyFill="1" applyBorder="1" applyAlignment="1" applyProtection="1">
      <alignment vertical="center"/>
      <protection locked="0"/>
    </xf>
    <xf numFmtId="0" fontId="11" fillId="25" borderId="101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/>
    </xf>
    <xf numFmtId="0" fontId="11" fillId="25" borderId="96" xfId="0" applyFont="1" applyFill="1" applyBorder="1" applyAlignment="1" applyProtection="1">
      <alignment horizontal="center" vertical="center"/>
    </xf>
    <xf numFmtId="164" fontId="11" fillId="25" borderId="77" xfId="52" applyFont="1" applyFill="1" applyBorder="1" applyAlignment="1" applyProtection="1">
      <alignment vertical="center"/>
      <protection locked="0"/>
    </xf>
    <xf numFmtId="43" fontId="11" fillId="25" borderId="36" xfId="0" applyNumberFormat="1" applyFont="1" applyFill="1" applyBorder="1" applyAlignment="1" applyProtection="1">
      <alignment vertical="center" wrapText="1" shrinkToFit="1"/>
      <protection locked="0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43" fontId="11" fillId="25" borderId="77" xfId="52" applyNumberFormat="1" applyFont="1" applyFill="1" applyBorder="1" applyAlignment="1" applyProtection="1">
      <alignment horizontal="left" vertical="center"/>
      <protection locked="0"/>
    </xf>
    <xf numFmtId="43" fontId="11" fillId="25" borderId="36" xfId="52" applyNumberFormat="1" applyFont="1" applyFill="1" applyBorder="1" applyAlignment="1" applyProtection="1">
      <alignment horizontal="left" vertical="center"/>
      <protection locked="0"/>
    </xf>
    <xf numFmtId="0" fontId="11" fillId="25" borderId="102" xfId="0" applyFont="1" applyFill="1" applyBorder="1" applyAlignment="1" applyProtection="1">
      <alignment horizontal="center" vertical="center"/>
    </xf>
    <xf numFmtId="164" fontId="11" fillId="25" borderId="103" xfId="52" applyFont="1" applyFill="1" applyBorder="1" applyAlignment="1" applyProtection="1">
      <alignment vertical="center"/>
      <protection locked="0"/>
    </xf>
    <xf numFmtId="164" fontId="11" fillId="25" borderId="104" xfId="52" applyFont="1" applyFill="1" applyBorder="1" applyAlignment="1" applyProtection="1">
      <alignment vertical="center"/>
      <protection locked="0"/>
    </xf>
    <xf numFmtId="164" fontId="11" fillId="25" borderId="74" xfId="52" applyFont="1" applyFill="1" applyBorder="1" applyAlignment="1" applyProtection="1">
      <alignment vertical="center"/>
      <protection locked="0"/>
    </xf>
    <xf numFmtId="164" fontId="11" fillId="25" borderId="105" xfId="52" applyFont="1" applyFill="1" applyBorder="1" applyAlignment="1" applyProtection="1">
      <alignment vertical="center"/>
    </xf>
    <xf numFmtId="43" fontId="11" fillId="25" borderId="18" xfId="0" applyNumberFormat="1" applyFont="1" applyFill="1" applyBorder="1" applyAlignment="1" applyProtection="1">
      <alignment vertical="center" wrapText="1" shrinkToFit="1"/>
      <protection locked="0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164" fontId="10" fillId="28" borderId="86" xfId="52" applyFont="1" applyFill="1" applyBorder="1" applyAlignment="1" applyProtection="1">
      <alignment horizontal="center" vertical="center"/>
      <protection locked="0"/>
    </xf>
    <xf numFmtId="0" fontId="10" fillId="26" borderId="87" xfId="0" applyFont="1" applyFill="1" applyBorder="1" applyAlignment="1" applyProtection="1">
      <alignment horizontal="center" vertical="center"/>
    </xf>
    <xf numFmtId="0" fontId="10" fillId="26" borderId="88" xfId="0" applyFont="1" applyFill="1" applyBorder="1" applyAlignment="1" applyProtection="1">
      <alignment horizontal="center" vertical="center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4" fontId="10" fillId="26" borderId="86" xfId="0" applyNumberFormat="1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164" fontId="10" fillId="26" borderId="86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4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0" fillId="25" borderId="63" xfId="55" applyFont="1" applyFill="1" applyBorder="1" applyAlignment="1">
      <alignment horizontal="center" vertical="center"/>
    </xf>
    <xf numFmtId="0" fontId="10" fillId="25" borderId="68" xfId="55" applyFont="1" applyFill="1" applyBorder="1" applyAlignment="1">
      <alignment horizontal="center" vertical="center"/>
    </xf>
    <xf numFmtId="0" fontId="10" fillId="25" borderId="69" xfId="55" applyFont="1" applyFill="1" applyBorder="1" applyAlignment="1">
      <alignment horizontal="center" vertical="center"/>
    </xf>
    <xf numFmtId="0" fontId="11" fillId="0" borderId="0" xfId="55" applyFont="1" applyFill="1" applyBorder="1" applyAlignment="1">
      <alignment vertical="center"/>
    </xf>
    <xf numFmtId="0" fontId="10" fillId="25" borderId="11" xfId="55" applyFont="1" applyFill="1" applyBorder="1" applyAlignment="1">
      <alignment horizontal="center" vertical="center"/>
    </xf>
    <xf numFmtId="0" fontId="10" fillId="25" borderId="0" xfId="55" applyFont="1" applyFill="1" applyBorder="1" applyAlignment="1">
      <alignment horizontal="center" vertical="center"/>
    </xf>
    <xf numFmtId="0" fontId="10" fillId="25" borderId="12" xfId="55" applyFont="1" applyFill="1" applyBorder="1" applyAlignment="1">
      <alignment horizontal="center" vertical="center"/>
    </xf>
    <xf numFmtId="0" fontId="10" fillId="25" borderId="11" xfId="55" applyFont="1" applyFill="1" applyBorder="1" applyAlignment="1">
      <alignment horizontal="left" vertical="center"/>
    </xf>
    <xf numFmtId="0" fontId="10" fillId="25" borderId="0" xfId="55" applyFont="1" applyFill="1" applyBorder="1" applyAlignment="1" applyProtection="1">
      <alignment vertical="center"/>
    </xf>
    <xf numFmtId="0" fontId="10" fillId="25" borderId="0" xfId="55" applyFont="1" applyFill="1" applyBorder="1" applyAlignment="1">
      <alignment vertical="center"/>
    </xf>
    <xf numFmtId="17" fontId="10" fillId="25" borderId="12" xfId="55" applyNumberFormat="1" applyFont="1" applyFill="1" applyBorder="1" applyAlignment="1" applyProtection="1">
      <alignment horizontal="right" vertical="center"/>
      <protection locked="0"/>
    </xf>
    <xf numFmtId="0" fontId="10" fillId="25" borderId="0" xfId="55" applyFont="1" applyFill="1" applyBorder="1" applyAlignment="1">
      <alignment horizontal="right" vertical="top" wrapText="1"/>
    </xf>
    <xf numFmtId="0" fontId="10" fillId="25" borderId="12" xfId="55" applyFont="1" applyFill="1" applyBorder="1" applyAlignment="1">
      <alignment horizontal="right" vertical="top" wrapText="1"/>
    </xf>
    <xf numFmtId="0" fontId="10" fillId="28" borderId="60" xfId="55" applyFont="1" applyFill="1" applyBorder="1" applyAlignment="1">
      <alignment horizontal="center" vertical="center"/>
    </xf>
    <xf numFmtId="0" fontId="10" fillId="28" borderId="61" xfId="55" applyFont="1" applyFill="1" applyBorder="1" applyAlignment="1">
      <alignment horizontal="center" vertical="center"/>
    </xf>
    <xf numFmtId="4" fontId="10" fillId="28" borderId="85" xfId="55" applyNumberFormat="1" applyFont="1" applyFill="1" applyBorder="1" applyAlignment="1" applyProtection="1">
      <alignment horizontal="center" vertical="center"/>
      <protection locked="0"/>
    </xf>
    <xf numFmtId="4" fontId="10" fillId="28" borderId="86" xfId="55" applyNumberFormat="1" applyFont="1" applyFill="1" applyBorder="1" applyAlignment="1" applyProtection="1">
      <alignment horizontal="center" vertical="center"/>
      <protection locked="0"/>
    </xf>
    <xf numFmtId="0" fontId="10" fillId="28" borderId="87" xfId="55" applyFont="1" applyFill="1" applyBorder="1" applyAlignment="1" applyProtection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10" fillId="28" borderId="83" xfId="55" applyFont="1" applyFill="1" applyBorder="1" applyAlignment="1">
      <alignment horizontal="center" vertical="center"/>
    </xf>
    <xf numFmtId="0" fontId="10" fillId="28" borderId="84" xfId="55" applyFont="1" applyFill="1" applyBorder="1" applyAlignment="1">
      <alignment horizontal="center" vertical="center"/>
    </xf>
    <xf numFmtId="0" fontId="10" fillId="28" borderId="88" xfId="55" applyFont="1" applyFill="1" applyBorder="1" applyAlignment="1" applyProtection="1">
      <alignment horizontal="center" vertical="center"/>
    </xf>
    <xf numFmtId="0" fontId="10" fillId="25" borderId="60" xfId="55" applyFont="1" applyFill="1" applyBorder="1" applyAlignment="1">
      <alignment horizontal="center" vertical="center"/>
    </xf>
    <xf numFmtId="0" fontId="12" fillId="25" borderId="61" xfId="55" applyFont="1" applyFill="1" applyBorder="1" applyAlignment="1" applyProtection="1">
      <alignment vertical="center"/>
    </xf>
    <xf numFmtId="0" fontId="10" fillId="25" borderId="61" xfId="55" applyFont="1" applyFill="1" applyBorder="1" applyAlignment="1" applyProtection="1">
      <alignment horizontal="center" vertical="center"/>
    </xf>
    <xf numFmtId="0" fontId="10" fillId="25" borderId="62" xfId="55" applyFont="1" applyFill="1" applyBorder="1" applyAlignment="1" applyProtection="1">
      <alignment vertical="center"/>
      <protection locked="0"/>
    </xf>
    <xf numFmtId="0" fontId="10" fillId="0" borderId="0" xfId="55" applyFont="1" applyFill="1" applyBorder="1" applyAlignment="1">
      <alignment vertical="center"/>
    </xf>
    <xf numFmtId="0" fontId="10" fillId="25" borderId="53" xfId="55" applyFont="1" applyFill="1" applyBorder="1" applyAlignment="1">
      <alignment horizontal="center" vertical="center"/>
    </xf>
    <xf numFmtId="0" fontId="12" fillId="25" borderId="49" xfId="55" applyFont="1" applyFill="1" applyBorder="1" applyAlignment="1" applyProtection="1">
      <alignment vertical="center"/>
    </xf>
    <xf numFmtId="0" fontId="10" fillId="25" borderId="49" xfId="55" applyFont="1" applyFill="1" applyBorder="1" applyAlignment="1" applyProtection="1">
      <alignment horizontal="center" vertical="center"/>
    </xf>
    <xf numFmtId="0" fontId="10" fillId="25" borderId="46" xfId="55" applyFont="1" applyFill="1" applyBorder="1" applyAlignment="1" applyProtection="1">
      <alignment vertical="center"/>
      <protection locked="0"/>
    </xf>
    <xf numFmtId="0" fontId="11" fillId="25" borderId="53" xfId="55" applyFont="1" applyFill="1" applyBorder="1" applyAlignment="1">
      <alignment horizontal="center" vertical="center"/>
    </xf>
    <xf numFmtId="0" fontId="11" fillId="25" borderId="49" xfId="55" applyFont="1" applyFill="1" applyBorder="1" applyAlignment="1" applyProtection="1">
      <alignment horizontal="left" vertical="center" wrapText="1" shrinkToFit="1"/>
    </xf>
    <xf numFmtId="0" fontId="11" fillId="25" borderId="49" xfId="55" applyFont="1" applyFill="1" applyBorder="1" applyAlignment="1" applyProtection="1">
      <alignment horizontal="center" vertical="center"/>
    </xf>
    <xf numFmtId="43" fontId="11" fillId="25" borderId="46" xfId="55" applyNumberFormat="1" applyFont="1" applyFill="1" applyBorder="1" applyAlignment="1" applyProtection="1">
      <alignment vertical="center"/>
      <protection locked="0"/>
    </xf>
    <xf numFmtId="0" fontId="9" fillId="0" borderId="0" xfId="55" applyFont="1" applyFill="1" applyBorder="1" applyAlignment="1">
      <alignment vertical="center"/>
    </xf>
    <xf numFmtId="0" fontId="11" fillId="25" borderId="49" xfId="55" applyFont="1" applyFill="1" applyBorder="1" applyAlignment="1" applyProtection="1">
      <alignment horizontal="left" vertical="center"/>
    </xf>
    <xf numFmtId="0" fontId="11" fillId="25" borderId="49" xfId="55" applyFont="1" applyFill="1" applyBorder="1" applyAlignment="1" applyProtection="1">
      <alignment vertical="center"/>
    </xf>
    <xf numFmtId="0" fontId="11" fillId="25" borderId="71" xfId="55" applyFont="1" applyFill="1" applyBorder="1" applyAlignment="1" applyProtection="1">
      <alignment vertical="center"/>
    </xf>
    <xf numFmtId="0" fontId="11" fillId="25" borderId="53" xfId="55" applyFont="1" applyFill="1" applyBorder="1" applyAlignment="1">
      <alignment horizontal="right" vertical="center"/>
    </xf>
    <xf numFmtId="2" fontId="11" fillId="25" borderId="64" xfId="55" applyNumberFormat="1" applyFont="1" applyFill="1" applyBorder="1" applyAlignment="1">
      <alignment horizontal="center" vertical="center"/>
    </xf>
    <xf numFmtId="0" fontId="11" fillId="25" borderId="54" xfId="55" applyFont="1" applyFill="1" applyBorder="1" applyAlignment="1" applyProtection="1">
      <alignment vertical="center"/>
    </xf>
    <xf numFmtId="0" fontId="11" fillId="25" borderId="54" xfId="55" applyFont="1" applyFill="1" applyBorder="1" applyAlignment="1" applyProtection="1">
      <alignment horizontal="center" vertical="center"/>
    </xf>
    <xf numFmtId="43" fontId="11" fillId="25" borderId="55" xfId="55" applyNumberFormat="1" applyFont="1" applyFill="1" applyBorder="1" applyAlignment="1" applyProtection="1">
      <alignment vertical="center"/>
      <protection locked="0"/>
    </xf>
    <xf numFmtId="0" fontId="10" fillId="25" borderId="58" xfId="55" applyFont="1" applyFill="1" applyBorder="1" applyAlignment="1">
      <alignment horizontal="center" vertical="center"/>
    </xf>
    <xf numFmtId="0" fontId="10" fillId="25" borderId="44" xfId="55" applyFont="1" applyFill="1" applyBorder="1" applyAlignment="1" applyProtection="1">
      <alignment horizontal="center" vertical="center"/>
    </xf>
    <xf numFmtId="43" fontId="10" fillId="25" borderId="45" xfId="55" applyNumberFormat="1" applyFont="1" applyFill="1" applyBorder="1" applyAlignment="1" applyProtection="1">
      <alignment vertical="center"/>
      <protection locked="0"/>
    </xf>
    <xf numFmtId="0" fontId="10" fillId="25" borderId="47" xfId="55" applyFont="1" applyFill="1" applyBorder="1" applyAlignment="1">
      <alignment horizontal="center" vertical="center"/>
    </xf>
    <xf numFmtId="0" fontId="12" fillId="25" borderId="48" xfId="55" applyFont="1" applyFill="1" applyBorder="1" applyAlignment="1" applyProtection="1">
      <alignment horizontal="left" vertical="center"/>
    </xf>
    <xf numFmtId="0" fontId="10" fillId="25" borderId="48" xfId="55" applyFont="1" applyFill="1" applyBorder="1" applyAlignment="1" applyProtection="1">
      <alignment horizontal="center" vertical="center"/>
    </xf>
    <xf numFmtId="43" fontId="10" fillId="25" borderId="52" xfId="55" applyNumberFormat="1" applyFont="1" applyFill="1" applyBorder="1" applyAlignment="1" applyProtection="1">
      <alignment vertical="center"/>
      <protection locked="0"/>
    </xf>
    <xf numFmtId="43" fontId="11" fillId="25" borderId="50" xfId="55" applyNumberFormat="1" applyFont="1" applyFill="1" applyBorder="1" applyAlignment="1" applyProtection="1">
      <alignment vertical="center"/>
      <protection locked="0"/>
    </xf>
    <xf numFmtId="0" fontId="11" fillId="25" borderId="72" xfId="55" applyFont="1" applyFill="1" applyBorder="1" applyAlignment="1">
      <alignment horizontal="center" vertical="center"/>
    </xf>
    <xf numFmtId="0" fontId="11" fillId="25" borderId="56" xfId="55" applyFont="1" applyFill="1" applyBorder="1" applyAlignment="1" applyProtection="1">
      <alignment vertical="center"/>
    </xf>
    <xf numFmtId="0" fontId="11" fillId="25" borderId="56" xfId="55" applyFont="1" applyFill="1" applyBorder="1" applyAlignment="1" applyProtection="1">
      <alignment horizontal="center" vertical="center"/>
    </xf>
    <xf numFmtId="43" fontId="11" fillId="25" borderId="65" xfId="55" applyNumberFormat="1" applyFont="1" applyFill="1" applyBorder="1" applyAlignment="1" applyProtection="1">
      <alignment vertical="center"/>
      <protection locked="0"/>
    </xf>
    <xf numFmtId="0" fontId="11" fillId="25" borderId="66" xfId="55" applyFont="1" applyFill="1" applyBorder="1" applyAlignment="1">
      <alignment horizontal="right" vertical="center"/>
    </xf>
    <xf numFmtId="0" fontId="11" fillId="25" borderId="67" xfId="55" applyFont="1" applyFill="1" applyBorder="1" applyAlignment="1" applyProtection="1">
      <alignment vertical="center"/>
    </xf>
    <xf numFmtId="0" fontId="11" fillId="25" borderId="67" xfId="55" applyFont="1" applyFill="1" applyBorder="1" applyAlignment="1" applyProtection="1">
      <alignment horizontal="center" vertical="center"/>
    </xf>
    <xf numFmtId="43" fontId="11" fillId="25" borderId="51" xfId="55" applyNumberFormat="1" applyFont="1" applyFill="1" applyBorder="1" applyAlignment="1" applyProtection="1">
      <alignment vertical="center"/>
      <protection locked="0"/>
    </xf>
    <xf numFmtId="0" fontId="11" fillId="25" borderId="49" xfId="55" applyFont="1" applyFill="1" applyBorder="1" applyAlignment="1" applyProtection="1">
      <alignment horizontal="left" vertical="center" wrapText="1" indent="2" shrinkToFit="1"/>
    </xf>
    <xf numFmtId="0" fontId="11" fillId="25" borderId="49" xfId="55" applyFont="1" applyFill="1" applyBorder="1" applyAlignment="1" applyProtection="1">
      <alignment horizontal="left" vertical="center" indent="2"/>
    </xf>
    <xf numFmtId="0" fontId="11" fillId="25" borderId="54" xfId="55" applyFont="1" applyFill="1" applyBorder="1" applyAlignment="1" applyProtection="1">
      <alignment horizontal="left" vertical="center"/>
    </xf>
    <xf numFmtId="0" fontId="12" fillId="25" borderId="44" xfId="55" applyFont="1" applyFill="1" applyBorder="1" applyAlignment="1" applyProtection="1">
      <alignment horizontal="left" vertical="center"/>
    </xf>
    <xf numFmtId="0" fontId="12" fillId="25" borderId="49" xfId="55" applyFont="1" applyFill="1" applyBorder="1" applyAlignment="1" applyProtection="1">
      <alignment horizontal="left" vertical="center"/>
    </xf>
    <xf numFmtId="43" fontId="10" fillId="25" borderId="46" xfId="55" applyNumberFormat="1" applyFont="1" applyFill="1" applyBorder="1" applyAlignment="1" applyProtection="1">
      <alignment vertical="center"/>
      <protection locked="0"/>
    </xf>
    <xf numFmtId="0" fontId="10" fillId="25" borderId="49" xfId="55" applyFont="1" applyFill="1" applyBorder="1" applyAlignment="1" applyProtection="1">
      <alignment vertical="center"/>
    </xf>
    <xf numFmtId="4" fontId="34" fillId="25" borderId="100" xfId="55" applyNumberFormat="1" applyFont="1" applyFill="1" applyBorder="1" applyAlignment="1">
      <alignment vertical="center"/>
    </xf>
    <xf numFmtId="0" fontId="11" fillId="25" borderId="49" xfId="55" applyFont="1" applyFill="1" applyBorder="1" applyAlignment="1" applyProtection="1">
      <alignment horizontal="left" vertical="center" wrapText="1" indent="1" shrinkToFit="1"/>
    </xf>
    <xf numFmtId="0" fontId="11" fillId="25" borderId="70" xfId="55" applyFont="1" applyFill="1" applyBorder="1" applyAlignment="1">
      <alignment horizontal="center" vertical="center"/>
    </xf>
    <xf numFmtId="0" fontId="10" fillId="27" borderId="25" xfId="55" applyFont="1" applyFill="1" applyBorder="1" applyAlignment="1">
      <alignment horizontal="center" vertical="center"/>
    </xf>
    <xf numFmtId="0" fontId="10" fillId="27" borderId="26" xfId="55" applyFont="1" applyFill="1" applyBorder="1" applyAlignment="1" applyProtection="1">
      <alignment horizontal="center" vertical="center"/>
    </xf>
    <xf numFmtId="43" fontId="10" fillId="27" borderId="27" xfId="55" applyNumberFormat="1" applyFont="1" applyFill="1" applyBorder="1" applyAlignment="1" applyProtection="1">
      <alignment vertical="center"/>
      <protection locked="0"/>
    </xf>
    <xf numFmtId="0" fontId="11" fillId="24" borderId="0" xfId="55" applyFont="1" applyFill="1" applyBorder="1" applyAlignment="1">
      <alignment vertical="center"/>
    </xf>
    <xf numFmtId="0" fontId="11" fillId="24" borderId="0" xfId="55" applyFont="1" applyFill="1" applyBorder="1" applyAlignment="1">
      <alignment horizontal="right" vertical="center"/>
    </xf>
    <xf numFmtId="0" fontId="11" fillId="0" borderId="0" xfId="55" applyFont="1"/>
    <xf numFmtId="0" fontId="11" fillId="0" borderId="0" xfId="55" applyFont="1" applyBorder="1"/>
    <xf numFmtId="10" fontId="13" fillId="24" borderId="18" xfId="56" applyNumberFormat="1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0" fontId="14" fillId="0" borderId="49" xfId="56" applyNumberFormat="1" applyFont="1" applyFill="1" applyBorder="1" applyAlignment="1" applyProtection="1">
      <alignment horizontal="center" vertical="center"/>
    </xf>
    <xf numFmtId="164" fontId="11" fillId="0" borderId="49" xfId="57" applyFont="1" applyFill="1" applyBorder="1" applyAlignment="1" applyProtection="1">
      <alignment horizontal="center" vertical="center"/>
    </xf>
    <xf numFmtId="164" fontId="11" fillId="0" borderId="49" xfId="57" applyFont="1" applyFill="1" applyBorder="1" applyAlignment="1" applyProtection="1">
      <alignment horizontal="center" vertical="center"/>
      <protection locked="0"/>
    </xf>
    <xf numFmtId="169" fontId="16" fillId="0" borderId="49" xfId="57" applyNumberFormat="1" applyFont="1" applyFill="1" applyBorder="1" applyAlignment="1" applyProtection="1">
      <alignment vertical="center"/>
      <protection locked="0"/>
    </xf>
    <xf numFmtId="164" fontId="11" fillId="0" borderId="49" xfId="57" applyFont="1" applyFill="1" applyBorder="1" applyAlignment="1" applyProtection="1">
      <alignment horizontal="left" vertical="center"/>
      <protection locked="0"/>
    </xf>
    <xf numFmtId="164" fontId="11" fillId="0" borderId="49" xfId="57" applyFont="1" applyFill="1" applyBorder="1" applyAlignment="1" applyProtection="1">
      <alignment vertical="center"/>
    </xf>
    <xf numFmtId="10" fontId="14" fillId="25" borderId="49" xfId="56" applyNumberFormat="1" applyFont="1" applyFill="1" applyBorder="1" applyAlignment="1" applyProtection="1">
      <alignment horizontal="center" vertical="center"/>
    </xf>
    <xf numFmtId="164" fontId="11" fillId="25" borderId="49" xfId="57" applyFont="1" applyFill="1" applyBorder="1" applyAlignment="1" applyProtection="1">
      <alignment horizontal="center" vertical="center"/>
    </xf>
    <xf numFmtId="164" fontId="11" fillId="25" borderId="49" xfId="57" applyFont="1" applyFill="1" applyBorder="1" applyAlignment="1" applyProtection="1">
      <alignment horizontal="center" vertical="center"/>
      <protection locked="0"/>
    </xf>
    <xf numFmtId="164" fontId="11" fillId="25" borderId="49" xfId="57" applyFont="1" applyFill="1" applyBorder="1" applyAlignment="1" applyProtection="1">
      <alignment vertical="center"/>
      <protection locked="0"/>
    </xf>
    <xf numFmtId="164" fontId="11" fillId="25" borderId="49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vertical="center"/>
      <protection locked="0"/>
    </xf>
    <xf numFmtId="10" fontId="14" fillId="27" borderId="31" xfId="56" applyNumberFormat="1" applyFont="1" applyFill="1" applyBorder="1" applyAlignment="1" applyProtection="1">
      <alignment horizontal="center" vertical="center"/>
      <protection locked="0"/>
    </xf>
    <xf numFmtId="164" fontId="11" fillId="27" borderId="31" xfId="57" applyFont="1" applyFill="1" applyBorder="1" applyAlignment="1" applyProtection="1">
      <alignment horizontal="center" vertical="center"/>
      <protection locked="0"/>
    </xf>
    <xf numFmtId="164" fontId="11" fillId="27" borderId="31" xfId="57" applyFont="1" applyFill="1" applyBorder="1" applyAlignment="1" applyProtection="1">
      <alignment vertical="center"/>
      <protection locked="0"/>
    </xf>
    <xf numFmtId="164" fontId="10" fillId="27" borderId="31" xfId="57" applyFont="1" applyFill="1" applyBorder="1" applyAlignment="1" applyProtection="1">
      <alignment vertical="center"/>
      <protection locked="0"/>
    </xf>
    <xf numFmtId="10" fontId="13" fillId="25" borderId="44" xfId="56" applyNumberFormat="1" applyFont="1" applyFill="1" applyBorder="1" applyAlignment="1" applyProtection="1">
      <alignment horizontal="center" vertical="center"/>
    </xf>
    <xf numFmtId="164" fontId="11" fillId="25" borderId="44" xfId="57" applyFont="1" applyFill="1" applyBorder="1" applyAlignment="1" applyProtection="1">
      <alignment horizontal="center" vertical="center"/>
    </xf>
    <xf numFmtId="164" fontId="11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vertical="center"/>
      <protection locked="0"/>
    </xf>
    <xf numFmtId="164" fontId="10" fillId="25" borderId="44" xfId="57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6" applyNumberFormat="1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vertical="center"/>
      <protection locked="0"/>
    </xf>
    <xf numFmtId="164" fontId="10" fillId="0" borderId="44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6" applyNumberFormat="1" applyFont="1" applyFill="1" applyBorder="1" applyAlignment="1" applyProtection="1">
      <alignment horizontal="center" vertical="center"/>
      <protection locked="0"/>
    </xf>
    <xf numFmtId="164" fontId="10" fillId="31" borderId="26" xfId="57" applyFont="1" applyFill="1" applyBorder="1" applyAlignment="1" applyProtection="1">
      <alignment horizontal="center" vertical="center"/>
      <protection locked="0"/>
    </xf>
    <xf numFmtId="164" fontId="10" fillId="31" borderId="26" xfId="57" applyFont="1" applyFill="1" applyBorder="1" applyAlignment="1" applyProtection="1">
      <alignment vertical="center"/>
      <protection locked="0"/>
    </xf>
    <xf numFmtId="43" fontId="10" fillId="31" borderId="26" xfId="57" applyNumberFormat="1" applyFont="1" applyFill="1" applyBorder="1" applyAlignment="1" applyProtection="1">
      <alignment vertical="center"/>
      <protection locked="0"/>
    </xf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5"/>
    <cellStyle name="Note" xfId="47"/>
    <cellStyle name="Output" xfId="48"/>
    <cellStyle name="Percent" xfId="54" builtinId="5"/>
    <cellStyle name="Percent 2" xfId="56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15;&#3657;&#3634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15;&#3657;&#3656;&#3634;%202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บ้านดีดีรักษ์ฟ้า 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26" sqref="D26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46" t="s">
        <v>2</v>
      </c>
      <c r="B1" s="447"/>
      <c r="C1" s="447"/>
      <c r="D1" s="447"/>
      <c r="E1" s="448"/>
    </row>
    <row r="2" spans="1:10" ht="20.100000000000001" customHeight="1">
      <c r="A2" s="133" t="s">
        <v>217</v>
      </c>
      <c r="B2" s="134"/>
      <c r="C2" s="134"/>
      <c r="D2" s="454" t="s">
        <v>242</v>
      </c>
      <c r="E2" s="455"/>
    </row>
    <row r="3" spans="1:10" ht="20.100000000000001" customHeight="1">
      <c r="A3" s="133" t="s">
        <v>218</v>
      </c>
      <c r="B3" s="135"/>
      <c r="C3" s="456" t="s">
        <v>243</v>
      </c>
      <c r="D3" s="456"/>
      <c r="E3" s="457"/>
    </row>
    <row r="4" spans="1:10" ht="14.4" thickBot="1">
      <c r="A4" s="133" t="s">
        <v>418</v>
      </c>
      <c r="B4" s="146"/>
      <c r="C4" s="146"/>
      <c r="D4" s="146"/>
      <c r="E4" s="149"/>
    </row>
    <row r="5" spans="1:10" ht="20.100000000000001" customHeight="1" thickBot="1">
      <c r="A5" s="65" t="s">
        <v>3</v>
      </c>
      <c r="B5" s="66" t="s">
        <v>4</v>
      </c>
      <c r="C5" s="66" t="s">
        <v>5</v>
      </c>
      <c r="D5" s="66" t="s">
        <v>6</v>
      </c>
      <c r="E5" s="67" t="s">
        <v>7</v>
      </c>
    </row>
    <row r="6" spans="1:10">
      <c r="A6" s="339"/>
      <c r="B6" s="336"/>
      <c r="C6" s="337"/>
      <c r="D6" s="337"/>
      <c r="E6" s="338"/>
    </row>
    <row r="7" spans="1:10">
      <c r="A7" s="68"/>
      <c r="B7" s="327" t="s">
        <v>8</v>
      </c>
      <c r="C7" s="69"/>
      <c r="D7" s="69"/>
      <c r="E7" s="70"/>
    </row>
    <row r="8" spans="1:10">
      <c r="A8" s="354" t="s">
        <v>9</v>
      </c>
      <c r="B8" s="352" t="s">
        <v>10</v>
      </c>
      <c r="C8" s="344"/>
      <c r="D8" s="349">
        <f>หมวดงานโครงสร้าง!L71</f>
        <v>1024895.8539823603</v>
      </c>
      <c r="E8" s="355"/>
      <c r="F8" s="254"/>
      <c r="G8" s="4"/>
    </row>
    <row r="9" spans="1:10">
      <c r="A9" s="356"/>
      <c r="B9" s="329"/>
      <c r="C9" s="345"/>
      <c r="D9" s="142"/>
      <c r="E9" s="357"/>
      <c r="I9" s="255"/>
      <c r="J9" s="255"/>
    </row>
    <row r="10" spans="1:10">
      <c r="A10" s="358" t="s">
        <v>14</v>
      </c>
      <c r="B10" s="324" t="s">
        <v>15</v>
      </c>
      <c r="C10" s="346"/>
      <c r="D10" s="361">
        <f>'งานสถาปัตยกรรม '!L144</f>
        <v>882953.31</v>
      </c>
      <c r="E10" s="359"/>
      <c r="F10" s="254"/>
      <c r="G10" s="4"/>
      <c r="I10" s="255"/>
      <c r="J10" s="255"/>
    </row>
    <row r="11" spans="1:10" ht="21.75" customHeight="1">
      <c r="A11" s="356"/>
      <c r="B11" s="330"/>
      <c r="C11" s="345"/>
      <c r="D11" s="142"/>
      <c r="E11" s="357"/>
      <c r="I11" s="255"/>
      <c r="J11" s="255"/>
    </row>
    <row r="12" spans="1:10">
      <c r="A12" s="358" t="s">
        <v>24</v>
      </c>
      <c r="B12" s="324" t="s">
        <v>25</v>
      </c>
      <c r="C12" s="346"/>
      <c r="D12" s="361">
        <f>งานระบบไฟฟ้า!L71</f>
        <v>109836.59300000001</v>
      </c>
      <c r="E12" s="359"/>
      <c r="F12" s="254"/>
      <c r="G12" s="4"/>
      <c r="I12" s="255"/>
      <c r="J12" s="255"/>
    </row>
    <row r="13" spans="1:10">
      <c r="A13" s="356"/>
      <c r="B13" s="329"/>
      <c r="C13" s="347"/>
      <c r="D13" s="142"/>
      <c r="E13" s="359"/>
      <c r="I13" s="255"/>
      <c r="J13" s="255"/>
    </row>
    <row r="14" spans="1:10" s="309" customFormat="1">
      <c r="A14" s="358" t="s">
        <v>27</v>
      </c>
      <c r="B14" s="324" t="s">
        <v>176</v>
      </c>
      <c r="C14" s="346"/>
      <c r="D14" s="361">
        <f>งานระบบประปา!L93</f>
        <v>104177.97777083333</v>
      </c>
      <c r="E14" s="359"/>
      <c r="F14" s="325"/>
      <c r="G14" s="326"/>
      <c r="I14" s="28"/>
      <c r="J14" s="28"/>
    </row>
    <row r="15" spans="1:10" ht="14.4" thickBot="1">
      <c r="A15" s="334"/>
      <c r="B15" s="353"/>
      <c r="C15" s="348"/>
      <c r="D15" s="332"/>
      <c r="E15" s="360"/>
      <c r="J15" s="255"/>
    </row>
    <row r="16" spans="1:10" ht="20.100000000000001" customHeight="1" thickTop="1">
      <c r="A16" s="328"/>
      <c r="B16" s="350" t="s">
        <v>28</v>
      </c>
      <c r="C16" s="331"/>
      <c r="D16" s="331">
        <f>SUM(D8:D15)</f>
        <v>2121863.7347531938</v>
      </c>
      <c r="E16" s="351"/>
      <c r="I16" s="2"/>
    </row>
    <row r="17" spans="1:14" ht="20.100000000000001" customHeight="1">
      <c r="A17" s="54" t="s">
        <v>30</v>
      </c>
      <c r="B17" s="55" t="s">
        <v>29</v>
      </c>
      <c r="C17" s="56" t="s">
        <v>177</v>
      </c>
      <c r="D17" s="56">
        <v>0</v>
      </c>
      <c r="E17" s="57"/>
      <c r="F17" s="4"/>
      <c r="I17" s="3"/>
    </row>
    <row r="18" spans="1:14" ht="20.100000000000001" customHeight="1">
      <c r="A18" s="54" t="s">
        <v>162</v>
      </c>
      <c r="B18" s="58" t="s">
        <v>179</v>
      </c>
      <c r="C18" s="97"/>
      <c r="D18" s="56">
        <f>ROUNDUP(D16*0.1,0)</f>
        <v>212187</v>
      </c>
      <c r="E18" s="59"/>
      <c r="F18" s="449"/>
      <c r="G18" s="449"/>
      <c r="H18" s="256"/>
      <c r="I18" s="3"/>
      <c r="J18" s="451"/>
      <c r="K18" s="452"/>
    </row>
    <row r="19" spans="1:14" ht="20.100000000000001" customHeight="1" thickBot="1">
      <c r="A19" s="60"/>
      <c r="B19" s="61" t="s">
        <v>31</v>
      </c>
      <c r="C19" s="62"/>
      <c r="D19" s="62">
        <f>SUM(D16:D18)</f>
        <v>2334050.7347531938</v>
      </c>
      <c r="E19" s="63"/>
      <c r="F19" s="450"/>
      <c r="G19" s="450"/>
      <c r="I19" s="6"/>
      <c r="J19" s="453"/>
      <c r="K19" s="450"/>
    </row>
    <row r="20" spans="1:14" ht="20.100000000000001" customHeight="1" outlineLevel="1" thickTop="1">
      <c r="A20" s="51"/>
      <c r="B20" s="52" t="s">
        <v>32</v>
      </c>
      <c r="C20" s="64"/>
      <c r="D20" s="64">
        <f>ROUNDUP(D19*7%,2)</f>
        <v>163383.56</v>
      </c>
      <c r="E20" s="53"/>
      <c r="N20" s="5">
        <v>515921.81</v>
      </c>
    </row>
    <row r="21" spans="1:14" ht="20.100000000000001" customHeight="1" outlineLevel="1" thickBot="1">
      <c r="A21" s="340"/>
      <c r="B21" s="341" t="s">
        <v>33</v>
      </c>
      <c r="C21" s="342"/>
      <c r="D21" s="342">
        <f>SUM(D19:D20)</f>
        <v>2497434.2947531939</v>
      </c>
      <c r="E21" s="343"/>
    </row>
    <row r="22" spans="1:14">
      <c r="A22" s="143" t="s">
        <v>34</v>
      </c>
      <c r="B22" s="144"/>
      <c r="C22" s="144"/>
      <c r="D22" s="144"/>
      <c r="E22" s="145"/>
    </row>
    <row r="24" spans="1:14">
      <c r="B24" s="141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3" activePane="bottomRight" state="frozen"/>
      <selection activeCell="P4" sqref="P4"/>
      <selection pane="topRight" activeCell="P4" sqref="P4"/>
      <selection pane="bottomLeft" activeCell="P4" sqref="P4"/>
      <selection pane="bottomRight" activeCell="M10" sqref="M10"/>
    </sheetView>
  </sheetViews>
  <sheetFormatPr defaultColWidth="9.109375" defaultRowHeight="13.8" outlineLevelCol="1"/>
  <cols>
    <col min="1" max="1" width="9.5546875" style="549" customWidth="1"/>
    <col min="2" max="2" width="56.5546875" style="549" customWidth="1"/>
    <col min="3" max="3" width="7.5546875" style="549" customWidth="1"/>
    <col min="4" max="4" width="11.44140625" style="549" hidden="1" customWidth="1" outlineLevel="1"/>
    <col min="5" max="5" width="11.5546875" style="549" hidden="1" customWidth="1" outlineLevel="1"/>
    <col min="6" max="6" width="9.109375" style="549" hidden="1" customWidth="1" outlineLevel="1"/>
    <col min="7" max="7" width="10.6640625" style="549" customWidth="1" collapsed="1"/>
    <col min="8" max="11" width="13.5546875" style="549" customWidth="1"/>
    <col min="12" max="12" width="15.5546875" style="549" customWidth="1"/>
    <col min="13" max="13" width="21.5546875" style="549" customWidth="1"/>
    <col min="14" max="15" width="9.109375" style="549"/>
    <col min="16" max="16" width="9.109375" style="550"/>
    <col min="17" max="256" width="9.109375" style="549"/>
    <col min="257" max="257" width="9.5546875" style="549" customWidth="1"/>
    <col min="258" max="258" width="56.5546875" style="549" customWidth="1"/>
    <col min="259" max="259" width="7.5546875" style="549" customWidth="1"/>
    <col min="260" max="262" width="0" style="549" hidden="1" customWidth="1"/>
    <col min="263" max="263" width="10.6640625" style="549" customWidth="1"/>
    <col min="264" max="267" width="13.5546875" style="549" customWidth="1"/>
    <col min="268" max="268" width="15.5546875" style="549" customWidth="1"/>
    <col min="269" max="269" width="21.5546875" style="549" customWidth="1"/>
    <col min="270" max="512" width="9.109375" style="549"/>
    <col min="513" max="513" width="9.5546875" style="549" customWidth="1"/>
    <col min="514" max="514" width="56.5546875" style="549" customWidth="1"/>
    <col min="515" max="515" width="7.5546875" style="549" customWidth="1"/>
    <col min="516" max="518" width="0" style="549" hidden="1" customWidth="1"/>
    <col min="519" max="519" width="10.6640625" style="549" customWidth="1"/>
    <col min="520" max="523" width="13.5546875" style="549" customWidth="1"/>
    <col min="524" max="524" width="15.5546875" style="549" customWidth="1"/>
    <col min="525" max="525" width="21.5546875" style="549" customWidth="1"/>
    <col min="526" max="768" width="9.109375" style="549"/>
    <col min="769" max="769" width="9.5546875" style="549" customWidth="1"/>
    <col min="770" max="770" width="56.5546875" style="549" customWidth="1"/>
    <col min="771" max="771" width="7.5546875" style="549" customWidth="1"/>
    <col min="772" max="774" width="0" style="549" hidden="1" customWidth="1"/>
    <col min="775" max="775" width="10.6640625" style="549" customWidth="1"/>
    <col min="776" max="779" width="13.5546875" style="549" customWidth="1"/>
    <col min="780" max="780" width="15.5546875" style="549" customWidth="1"/>
    <col min="781" max="781" width="21.5546875" style="549" customWidth="1"/>
    <col min="782" max="1024" width="9.109375" style="549"/>
    <col min="1025" max="1025" width="9.5546875" style="549" customWidth="1"/>
    <col min="1026" max="1026" width="56.5546875" style="549" customWidth="1"/>
    <col min="1027" max="1027" width="7.5546875" style="549" customWidth="1"/>
    <col min="1028" max="1030" width="0" style="549" hidden="1" customWidth="1"/>
    <col min="1031" max="1031" width="10.6640625" style="549" customWidth="1"/>
    <col min="1032" max="1035" width="13.5546875" style="549" customWidth="1"/>
    <col min="1036" max="1036" width="15.5546875" style="549" customWidth="1"/>
    <col min="1037" max="1037" width="21.5546875" style="549" customWidth="1"/>
    <col min="1038" max="1280" width="9.109375" style="549"/>
    <col min="1281" max="1281" width="9.5546875" style="549" customWidth="1"/>
    <col min="1282" max="1282" width="56.5546875" style="549" customWidth="1"/>
    <col min="1283" max="1283" width="7.5546875" style="549" customWidth="1"/>
    <col min="1284" max="1286" width="0" style="549" hidden="1" customWidth="1"/>
    <col min="1287" max="1287" width="10.6640625" style="549" customWidth="1"/>
    <col min="1288" max="1291" width="13.5546875" style="549" customWidth="1"/>
    <col min="1292" max="1292" width="15.5546875" style="549" customWidth="1"/>
    <col min="1293" max="1293" width="21.5546875" style="549" customWidth="1"/>
    <col min="1294" max="1536" width="9.109375" style="549"/>
    <col min="1537" max="1537" width="9.5546875" style="549" customWidth="1"/>
    <col min="1538" max="1538" width="56.5546875" style="549" customWidth="1"/>
    <col min="1539" max="1539" width="7.5546875" style="549" customWidth="1"/>
    <col min="1540" max="1542" width="0" style="549" hidden="1" customWidth="1"/>
    <col min="1543" max="1543" width="10.6640625" style="549" customWidth="1"/>
    <col min="1544" max="1547" width="13.5546875" style="549" customWidth="1"/>
    <col min="1548" max="1548" width="15.5546875" style="549" customWidth="1"/>
    <col min="1549" max="1549" width="21.5546875" style="549" customWidth="1"/>
    <col min="1550" max="1792" width="9.109375" style="549"/>
    <col min="1793" max="1793" width="9.5546875" style="549" customWidth="1"/>
    <col min="1794" max="1794" width="56.5546875" style="549" customWidth="1"/>
    <col min="1795" max="1795" width="7.5546875" style="549" customWidth="1"/>
    <col min="1796" max="1798" width="0" style="549" hidden="1" customWidth="1"/>
    <col min="1799" max="1799" width="10.6640625" style="549" customWidth="1"/>
    <col min="1800" max="1803" width="13.5546875" style="549" customWidth="1"/>
    <col min="1804" max="1804" width="15.5546875" style="549" customWidth="1"/>
    <col min="1805" max="1805" width="21.5546875" style="549" customWidth="1"/>
    <col min="1806" max="2048" width="9.109375" style="549"/>
    <col min="2049" max="2049" width="9.5546875" style="549" customWidth="1"/>
    <col min="2050" max="2050" width="56.5546875" style="549" customWidth="1"/>
    <col min="2051" max="2051" width="7.5546875" style="549" customWidth="1"/>
    <col min="2052" max="2054" width="0" style="549" hidden="1" customWidth="1"/>
    <col min="2055" max="2055" width="10.6640625" style="549" customWidth="1"/>
    <col min="2056" max="2059" width="13.5546875" style="549" customWidth="1"/>
    <col min="2060" max="2060" width="15.5546875" style="549" customWidth="1"/>
    <col min="2061" max="2061" width="21.5546875" style="549" customWidth="1"/>
    <col min="2062" max="2304" width="9.109375" style="549"/>
    <col min="2305" max="2305" width="9.5546875" style="549" customWidth="1"/>
    <col min="2306" max="2306" width="56.5546875" style="549" customWidth="1"/>
    <col min="2307" max="2307" width="7.5546875" style="549" customWidth="1"/>
    <col min="2308" max="2310" width="0" style="549" hidden="1" customWidth="1"/>
    <col min="2311" max="2311" width="10.6640625" style="549" customWidth="1"/>
    <col min="2312" max="2315" width="13.5546875" style="549" customWidth="1"/>
    <col min="2316" max="2316" width="15.5546875" style="549" customWidth="1"/>
    <col min="2317" max="2317" width="21.5546875" style="549" customWidth="1"/>
    <col min="2318" max="2560" width="9.109375" style="549"/>
    <col min="2561" max="2561" width="9.5546875" style="549" customWidth="1"/>
    <col min="2562" max="2562" width="56.5546875" style="549" customWidth="1"/>
    <col min="2563" max="2563" width="7.5546875" style="549" customWidth="1"/>
    <col min="2564" max="2566" width="0" style="549" hidden="1" customWidth="1"/>
    <col min="2567" max="2567" width="10.6640625" style="549" customWidth="1"/>
    <col min="2568" max="2571" width="13.5546875" style="549" customWidth="1"/>
    <col min="2572" max="2572" width="15.5546875" style="549" customWidth="1"/>
    <col min="2573" max="2573" width="21.5546875" style="549" customWidth="1"/>
    <col min="2574" max="2816" width="9.109375" style="549"/>
    <col min="2817" max="2817" width="9.5546875" style="549" customWidth="1"/>
    <col min="2818" max="2818" width="56.5546875" style="549" customWidth="1"/>
    <col min="2819" max="2819" width="7.5546875" style="549" customWidth="1"/>
    <col min="2820" max="2822" width="0" style="549" hidden="1" customWidth="1"/>
    <col min="2823" max="2823" width="10.6640625" style="549" customWidth="1"/>
    <col min="2824" max="2827" width="13.5546875" style="549" customWidth="1"/>
    <col min="2828" max="2828" width="15.5546875" style="549" customWidth="1"/>
    <col min="2829" max="2829" width="21.5546875" style="549" customWidth="1"/>
    <col min="2830" max="3072" width="9.109375" style="549"/>
    <col min="3073" max="3073" width="9.5546875" style="549" customWidth="1"/>
    <col min="3074" max="3074" width="56.5546875" style="549" customWidth="1"/>
    <col min="3075" max="3075" width="7.5546875" style="549" customWidth="1"/>
    <col min="3076" max="3078" width="0" style="549" hidden="1" customWidth="1"/>
    <col min="3079" max="3079" width="10.6640625" style="549" customWidth="1"/>
    <col min="3080" max="3083" width="13.5546875" style="549" customWidth="1"/>
    <col min="3084" max="3084" width="15.5546875" style="549" customWidth="1"/>
    <col min="3085" max="3085" width="21.5546875" style="549" customWidth="1"/>
    <col min="3086" max="3328" width="9.109375" style="549"/>
    <col min="3329" max="3329" width="9.5546875" style="549" customWidth="1"/>
    <col min="3330" max="3330" width="56.5546875" style="549" customWidth="1"/>
    <col min="3331" max="3331" width="7.5546875" style="549" customWidth="1"/>
    <col min="3332" max="3334" width="0" style="549" hidden="1" customWidth="1"/>
    <col min="3335" max="3335" width="10.6640625" style="549" customWidth="1"/>
    <col min="3336" max="3339" width="13.5546875" style="549" customWidth="1"/>
    <col min="3340" max="3340" width="15.5546875" style="549" customWidth="1"/>
    <col min="3341" max="3341" width="21.5546875" style="549" customWidth="1"/>
    <col min="3342" max="3584" width="9.109375" style="549"/>
    <col min="3585" max="3585" width="9.5546875" style="549" customWidth="1"/>
    <col min="3586" max="3586" width="56.5546875" style="549" customWidth="1"/>
    <col min="3587" max="3587" width="7.5546875" style="549" customWidth="1"/>
    <col min="3588" max="3590" width="0" style="549" hidden="1" customWidth="1"/>
    <col min="3591" max="3591" width="10.6640625" style="549" customWidth="1"/>
    <col min="3592" max="3595" width="13.5546875" style="549" customWidth="1"/>
    <col min="3596" max="3596" width="15.5546875" style="549" customWidth="1"/>
    <col min="3597" max="3597" width="21.5546875" style="549" customWidth="1"/>
    <col min="3598" max="3840" width="9.109375" style="549"/>
    <col min="3841" max="3841" width="9.5546875" style="549" customWidth="1"/>
    <col min="3842" max="3842" width="56.5546875" style="549" customWidth="1"/>
    <col min="3843" max="3843" width="7.5546875" style="549" customWidth="1"/>
    <col min="3844" max="3846" width="0" style="549" hidden="1" customWidth="1"/>
    <col min="3847" max="3847" width="10.6640625" style="549" customWidth="1"/>
    <col min="3848" max="3851" width="13.5546875" style="549" customWidth="1"/>
    <col min="3852" max="3852" width="15.5546875" style="549" customWidth="1"/>
    <col min="3853" max="3853" width="21.5546875" style="549" customWidth="1"/>
    <col min="3854" max="4096" width="9.109375" style="549"/>
    <col min="4097" max="4097" width="9.5546875" style="549" customWidth="1"/>
    <col min="4098" max="4098" width="56.5546875" style="549" customWidth="1"/>
    <col min="4099" max="4099" width="7.5546875" style="549" customWidth="1"/>
    <col min="4100" max="4102" width="0" style="549" hidden="1" customWidth="1"/>
    <col min="4103" max="4103" width="10.6640625" style="549" customWidth="1"/>
    <col min="4104" max="4107" width="13.5546875" style="549" customWidth="1"/>
    <col min="4108" max="4108" width="15.5546875" style="549" customWidth="1"/>
    <col min="4109" max="4109" width="21.5546875" style="549" customWidth="1"/>
    <col min="4110" max="4352" width="9.109375" style="549"/>
    <col min="4353" max="4353" width="9.5546875" style="549" customWidth="1"/>
    <col min="4354" max="4354" width="56.5546875" style="549" customWidth="1"/>
    <col min="4355" max="4355" width="7.5546875" style="549" customWidth="1"/>
    <col min="4356" max="4358" width="0" style="549" hidden="1" customWidth="1"/>
    <col min="4359" max="4359" width="10.6640625" style="549" customWidth="1"/>
    <col min="4360" max="4363" width="13.5546875" style="549" customWidth="1"/>
    <col min="4364" max="4364" width="15.5546875" style="549" customWidth="1"/>
    <col min="4365" max="4365" width="21.5546875" style="549" customWidth="1"/>
    <col min="4366" max="4608" width="9.109375" style="549"/>
    <col min="4609" max="4609" width="9.5546875" style="549" customWidth="1"/>
    <col min="4610" max="4610" width="56.5546875" style="549" customWidth="1"/>
    <col min="4611" max="4611" width="7.5546875" style="549" customWidth="1"/>
    <col min="4612" max="4614" width="0" style="549" hidden="1" customWidth="1"/>
    <col min="4615" max="4615" width="10.6640625" style="549" customWidth="1"/>
    <col min="4616" max="4619" width="13.5546875" style="549" customWidth="1"/>
    <col min="4620" max="4620" width="15.5546875" style="549" customWidth="1"/>
    <col min="4621" max="4621" width="21.5546875" style="549" customWidth="1"/>
    <col min="4622" max="4864" width="9.109375" style="549"/>
    <col min="4865" max="4865" width="9.5546875" style="549" customWidth="1"/>
    <col min="4866" max="4866" width="56.5546875" style="549" customWidth="1"/>
    <col min="4867" max="4867" width="7.5546875" style="549" customWidth="1"/>
    <col min="4868" max="4870" width="0" style="549" hidden="1" customWidth="1"/>
    <col min="4871" max="4871" width="10.6640625" style="549" customWidth="1"/>
    <col min="4872" max="4875" width="13.5546875" style="549" customWidth="1"/>
    <col min="4876" max="4876" width="15.5546875" style="549" customWidth="1"/>
    <col min="4877" max="4877" width="21.5546875" style="549" customWidth="1"/>
    <col min="4878" max="5120" width="9.109375" style="549"/>
    <col min="5121" max="5121" width="9.5546875" style="549" customWidth="1"/>
    <col min="5122" max="5122" width="56.5546875" style="549" customWidth="1"/>
    <col min="5123" max="5123" width="7.5546875" style="549" customWidth="1"/>
    <col min="5124" max="5126" width="0" style="549" hidden="1" customWidth="1"/>
    <col min="5127" max="5127" width="10.6640625" style="549" customWidth="1"/>
    <col min="5128" max="5131" width="13.5546875" style="549" customWidth="1"/>
    <col min="5132" max="5132" width="15.5546875" style="549" customWidth="1"/>
    <col min="5133" max="5133" width="21.5546875" style="549" customWidth="1"/>
    <col min="5134" max="5376" width="9.109375" style="549"/>
    <col min="5377" max="5377" width="9.5546875" style="549" customWidth="1"/>
    <col min="5378" max="5378" width="56.5546875" style="549" customWidth="1"/>
    <col min="5379" max="5379" width="7.5546875" style="549" customWidth="1"/>
    <col min="5380" max="5382" width="0" style="549" hidden="1" customWidth="1"/>
    <col min="5383" max="5383" width="10.6640625" style="549" customWidth="1"/>
    <col min="5384" max="5387" width="13.5546875" style="549" customWidth="1"/>
    <col min="5388" max="5388" width="15.5546875" style="549" customWidth="1"/>
    <col min="5389" max="5389" width="21.5546875" style="549" customWidth="1"/>
    <col min="5390" max="5632" width="9.109375" style="549"/>
    <col min="5633" max="5633" width="9.5546875" style="549" customWidth="1"/>
    <col min="5634" max="5634" width="56.5546875" style="549" customWidth="1"/>
    <col min="5635" max="5635" width="7.5546875" style="549" customWidth="1"/>
    <col min="5636" max="5638" width="0" style="549" hidden="1" customWidth="1"/>
    <col min="5639" max="5639" width="10.6640625" style="549" customWidth="1"/>
    <col min="5640" max="5643" width="13.5546875" style="549" customWidth="1"/>
    <col min="5644" max="5644" width="15.5546875" style="549" customWidth="1"/>
    <col min="5645" max="5645" width="21.5546875" style="549" customWidth="1"/>
    <col min="5646" max="5888" width="9.109375" style="549"/>
    <col min="5889" max="5889" width="9.5546875" style="549" customWidth="1"/>
    <col min="5890" max="5890" width="56.5546875" style="549" customWidth="1"/>
    <col min="5891" max="5891" width="7.5546875" style="549" customWidth="1"/>
    <col min="5892" max="5894" width="0" style="549" hidden="1" customWidth="1"/>
    <col min="5895" max="5895" width="10.6640625" style="549" customWidth="1"/>
    <col min="5896" max="5899" width="13.5546875" style="549" customWidth="1"/>
    <col min="5900" max="5900" width="15.5546875" style="549" customWidth="1"/>
    <col min="5901" max="5901" width="21.5546875" style="549" customWidth="1"/>
    <col min="5902" max="6144" width="9.109375" style="549"/>
    <col min="6145" max="6145" width="9.5546875" style="549" customWidth="1"/>
    <col min="6146" max="6146" width="56.5546875" style="549" customWidth="1"/>
    <col min="6147" max="6147" width="7.5546875" style="549" customWidth="1"/>
    <col min="6148" max="6150" width="0" style="549" hidden="1" customWidth="1"/>
    <col min="6151" max="6151" width="10.6640625" style="549" customWidth="1"/>
    <col min="6152" max="6155" width="13.5546875" style="549" customWidth="1"/>
    <col min="6156" max="6156" width="15.5546875" style="549" customWidth="1"/>
    <col min="6157" max="6157" width="21.5546875" style="549" customWidth="1"/>
    <col min="6158" max="6400" width="9.109375" style="549"/>
    <col min="6401" max="6401" width="9.5546875" style="549" customWidth="1"/>
    <col min="6402" max="6402" width="56.5546875" style="549" customWidth="1"/>
    <col min="6403" max="6403" width="7.5546875" style="549" customWidth="1"/>
    <col min="6404" max="6406" width="0" style="549" hidden="1" customWidth="1"/>
    <col min="6407" max="6407" width="10.6640625" style="549" customWidth="1"/>
    <col min="6408" max="6411" width="13.5546875" style="549" customWidth="1"/>
    <col min="6412" max="6412" width="15.5546875" style="549" customWidth="1"/>
    <col min="6413" max="6413" width="21.5546875" style="549" customWidth="1"/>
    <col min="6414" max="6656" width="9.109375" style="549"/>
    <col min="6657" max="6657" width="9.5546875" style="549" customWidth="1"/>
    <col min="6658" max="6658" width="56.5546875" style="549" customWidth="1"/>
    <col min="6659" max="6659" width="7.5546875" style="549" customWidth="1"/>
    <col min="6660" max="6662" width="0" style="549" hidden="1" customWidth="1"/>
    <col min="6663" max="6663" width="10.6640625" style="549" customWidth="1"/>
    <col min="6664" max="6667" width="13.5546875" style="549" customWidth="1"/>
    <col min="6668" max="6668" width="15.5546875" style="549" customWidth="1"/>
    <col min="6669" max="6669" width="21.5546875" style="549" customWidth="1"/>
    <col min="6670" max="6912" width="9.109375" style="549"/>
    <col min="6913" max="6913" width="9.5546875" style="549" customWidth="1"/>
    <col min="6914" max="6914" width="56.5546875" style="549" customWidth="1"/>
    <col min="6915" max="6915" width="7.5546875" style="549" customWidth="1"/>
    <col min="6916" max="6918" width="0" style="549" hidden="1" customWidth="1"/>
    <col min="6919" max="6919" width="10.6640625" style="549" customWidth="1"/>
    <col min="6920" max="6923" width="13.5546875" style="549" customWidth="1"/>
    <col min="6924" max="6924" width="15.5546875" style="549" customWidth="1"/>
    <col min="6925" max="6925" width="21.5546875" style="549" customWidth="1"/>
    <col min="6926" max="7168" width="9.109375" style="549"/>
    <col min="7169" max="7169" width="9.5546875" style="549" customWidth="1"/>
    <col min="7170" max="7170" width="56.5546875" style="549" customWidth="1"/>
    <col min="7171" max="7171" width="7.5546875" style="549" customWidth="1"/>
    <col min="7172" max="7174" width="0" style="549" hidden="1" customWidth="1"/>
    <col min="7175" max="7175" width="10.6640625" style="549" customWidth="1"/>
    <col min="7176" max="7179" width="13.5546875" style="549" customWidth="1"/>
    <col min="7180" max="7180" width="15.5546875" style="549" customWidth="1"/>
    <col min="7181" max="7181" width="21.5546875" style="549" customWidth="1"/>
    <col min="7182" max="7424" width="9.109375" style="549"/>
    <col min="7425" max="7425" width="9.5546875" style="549" customWidth="1"/>
    <col min="7426" max="7426" width="56.5546875" style="549" customWidth="1"/>
    <col min="7427" max="7427" width="7.5546875" style="549" customWidth="1"/>
    <col min="7428" max="7430" width="0" style="549" hidden="1" customWidth="1"/>
    <col min="7431" max="7431" width="10.6640625" style="549" customWidth="1"/>
    <col min="7432" max="7435" width="13.5546875" style="549" customWidth="1"/>
    <col min="7436" max="7436" width="15.5546875" style="549" customWidth="1"/>
    <col min="7437" max="7437" width="21.5546875" style="549" customWidth="1"/>
    <col min="7438" max="7680" width="9.109375" style="549"/>
    <col min="7681" max="7681" width="9.5546875" style="549" customWidth="1"/>
    <col min="7682" max="7682" width="56.5546875" style="549" customWidth="1"/>
    <col min="7683" max="7683" width="7.5546875" style="549" customWidth="1"/>
    <col min="7684" max="7686" width="0" style="549" hidden="1" customWidth="1"/>
    <col min="7687" max="7687" width="10.6640625" style="549" customWidth="1"/>
    <col min="7688" max="7691" width="13.5546875" style="549" customWidth="1"/>
    <col min="7692" max="7692" width="15.5546875" style="549" customWidth="1"/>
    <col min="7693" max="7693" width="21.5546875" style="549" customWidth="1"/>
    <col min="7694" max="7936" width="9.109375" style="549"/>
    <col min="7937" max="7937" width="9.5546875" style="549" customWidth="1"/>
    <col min="7938" max="7938" width="56.5546875" style="549" customWidth="1"/>
    <col min="7939" max="7939" width="7.5546875" style="549" customWidth="1"/>
    <col min="7940" max="7942" width="0" style="549" hidden="1" customWidth="1"/>
    <col min="7943" max="7943" width="10.6640625" style="549" customWidth="1"/>
    <col min="7944" max="7947" width="13.5546875" style="549" customWidth="1"/>
    <col min="7948" max="7948" width="15.5546875" style="549" customWidth="1"/>
    <col min="7949" max="7949" width="21.5546875" style="549" customWidth="1"/>
    <col min="7950" max="8192" width="9.109375" style="549"/>
    <col min="8193" max="8193" width="9.5546875" style="549" customWidth="1"/>
    <col min="8194" max="8194" width="56.5546875" style="549" customWidth="1"/>
    <col min="8195" max="8195" width="7.5546875" style="549" customWidth="1"/>
    <col min="8196" max="8198" width="0" style="549" hidden="1" customWidth="1"/>
    <col min="8199" max="8199" width="10.6640625" style="549" customWidth="1"/>
    <col min="8200" max="8203" width="13.5546875" style="549" customWidth="1"/>
    <col min="8204" max="8204" width="15.5546875" style="549" customWidth="1"/>
    <col min="8205" max="8205" width="21.5546875" style="549" customWidth="1"/>
    <col min="8206" max="8448" width="9.109375" style="549"/>
    <col min="8449" max="8449" width="9.5546875" style="549" customWidth="1"/>
    <col min="8450" max="8450" width="56.5546875" style="549" customWidth="1"/>
    <col min="8451" max="8451" width="7.5546875" style="549" customWidth="1"/>
    <col min="8452" max="8454" width="0" style="549" hidden="1" customWidth="1"/>
    <col min="8455" max="8455" width="10.6640625" style="549" customWidth="1"/>
    <col min="8456" max="8459" width="13.5546875" style="549" customWidth="1"/>
    <col min="8460" max="8460" width="15.5546875" style="549" customWidth="1"/>
    <col min="8461" max="8461" width="21.5546875" style="549" customWidth="1"/>
    <col min="8462" max="8704" width="9.109375" style="549"/>
    <col min="8705" max="8705" width="9.5546875" style="549" customWidth="1"/>
    <col min="8706" max="8706" width="56.5546875" style="549" customWidth="1"/>
    <col min="8707" max="8707" width="7.5546875" style="549" customWidth="1"/>
    <col min="8708" max="8710" width="0" style="549" hidden="1" customWidth="1"/>
    <col min="8711" max="8711" width="10.6640625" style="549" customWidth="1"/>
    <col min="8712" max="8715" width="13.5546875" style="549" customWidth="1"/>
    <col min="8716" max="8716" width="15.5546875" style="549" customWidth="1"/>
    <col min="8717" max="8717" width="21.5546875" style="549" customWidth="1"/>
    <col min="8718" max="8960" width="9.109375" style="549"/>
    <col min="8961" max="8961" width="9.5546875" style="549" customWidth="1"/>
    <col min="8962" max="8962" width="56.5546875" style="549" customWidth="1"/>
    <col min="8963" max="8963" width="7.5546875" style="549" customWidth="1"/>
    <col min="8964" max="8966" width="0" style="549" hidden="1" customWidth="1"/>
    <col min="8967" max="8967" width="10.6640625" style="549" customWidth="1"/>
    <col min="8968" max="8971" width="13.5546875" style="549" customWidth="1"/>
    <col min="8972" max="8972" width="15.5546875" style="549" customWidth="1"/>
    <col min="8973" max="8973" width="21.5546875" style="549" customWidth="1"/>
    <col min="8974" max="9216" width="9.109375" style="549"/>
    <col min="9217" max="9217" width="9.5546875" style="549" customWidth="1"/>
    <col min="9218" max="9218" width="56.5546875" style="549" customWidth="1"/>
    <col min="9219" max="9219" width="7.5546875" style="549" customWidth="1"/>
    <col min="9220" max="9222" width="0" style="549" hidden="1" customWidth="1"/>
    <col min="9223" max="9223" width="10.6640625" style="549" customWidth="1"/>
    <col min="9224" max="9227" width="13.5546875" style="549" customWidth="1"/>
    <col min="9228" max="9228" width="15.5546875" style="549" customWidth="1"/>
    <col min="9229" max="9229" width="21.5546875" style="549" customWidth="1"/>
    <col min="9230" max="9472" width="9.109375" style="549"/>
    <col min="9473" max="9473" width="9.5546875" style="549" customWidth="1"/>
    <col min="9474" max="9474" width="56.5546875" style="549" customWidth="1"/>
    <col min="9475" max="9475" width="7.5546875" style="549" customWidth="1"/>
    <col min="9476" max="9478" width="0" style="549" hidden="1" customWidth="1"/>
    <col min="9479" max="9479" width="10.6640625" style="549" customWidth="1"/>
    <col min="9480" max="9483" width="13.5546875" style="549" customWidth="1"/>
    <col min="9484" max="9484" width="15.5546875" style="549" customWidth="1"/>
    <col min="9485" max="9485" width="21.5546875" style="549" customWidth="1"/>
    <col min="9486" max="9728" width="9.109375" style="549"/>
    <col min="9729" max="9729" width="9.5546875" style="549" customWidth="1"/>
    <col min="9730" max="9730" width="56.5546875" style="549" customWidth="1"/>
    <col min="9731" max="9731" width="7.5546875" style="549" customWidth="1"/>
    <col min="9732" max="9734" width="0" style="549" hidden="1" customWidth="1"/>
    <col min="9735" max="9735" width="10.6640625" style="549" customWidth="1"/>
    <col min="9736" max="9739" width="13.5546875" style="549" customWidth="1"/>
    <col min="9740" max="9740" width="15.5546875" style="549" customWidth="1"/>
    <col min="9741" max="9741" width="21.5546875" style="549" customWidth="1"/>
    <col min="9742" max="9984" width="9.109375" style="549"/>
    <col min="9985" max="9985" width="9.5546875" style="549" customWidth="1"/>
    <col min="9986" max="9986" width="56.5546875" style="549" customWidth="1"/>
    <col min="9987" max="9987" width="7.5546875" style="549" customWidth="1"/>
    <col min="9988" max="9990" width="0" style="549" hidden="1" customWidth="1"/>
    <col min="9991" max="9991" width="10.6640625" style="549" customWidth="1"/>
    <col min="9992" max="9995" width="13.5546875" style="549" customWidth="1"/>
    <col min="9996" max="9996" width="15.5546875" style="549" customWidth="1"/>
    <col min="9997" max="9997" width="21.5546875" style="549" customWidth="1"/>
    <col min="9998" max="10240" width="9.109375" style="549"/>
    <col min="10241" max="10241" width="9.5546875" style="549" customWidth="1"/>
    <col min="10242" max="10242" width="56.5546875" style="549" customWidth="1"/>
    <col min="10243" max="10243" width="7.5546875" style="549" customWidth="1"/>
    <col min="10244" max="10246" width="0" style="549" hidden="1" customWidth="1"/>
    <col min="10247" max="10247" width="10.6640625" style="549" customWidth="1"/>
    <col min="10248" max="10251" width="13.5546875" style="549" customWidth="1"/>
    <col min="10252" max="10252" width="15.5546875" style="549" customWidth="1"/>
    <col min="10253" max="10253" width="21.5546875" style="549" customWidth="1"/>
    <col min="10254" max="10496" width="9.109375" style="549"/>
    <col min="10497" max="10497" width="9.5546875" style="549" customWidth="1"/>
    <col min="10498" max="10498" width="56.5546875" style="549" customWidth="1"/>
    <col min="10499" max="10499" width="7.5546875" style="549" customWidth="1"/>
    <col min="10500" max="10502" width="0" style="549" hidden="1" customWidth="1"/>
    <col min="10503" max="10503" width="10.6640625" style="549" customWidth="1"/>
    <col min="10504" max="10507" width="13.5546875" style="549" customWidth="1"/>
    <col min="10508" max="10508" width="15.5546875" style="549" customWidth="1"/>
    <col min="10509" max="10509" width="21.5546875" style="549" customWidth="1"/>
    <col min="10510" max="10752" width="9.109375" style="549"/>
    <col min="10753" max="10753" width="9.5546875" style="549" customWidth="1"/>
    <col min="10754" max="10754" width="56.5546875" style="549" customWidth="1"/>
    <col min="10755" max="10755" width="7.5546875" style="549" customWidth="1"/>
    <col min="10756" max="10758" width="0" style="549" hidden="1" customWidth="1"/>
    <col min="10759" max="10759" width="10.6640625" style="549" customWidth="1"/>
    <col min="10760" max="10763" width="13.5546875" style="549" customWidth="1"/>
    <col min="10764" max="10764" width="15.5546875" style="549" customWidth="1"/>
    <col min="10765" max="10765" width="21.5546875" style="549" customWidth="1"/>
    <col min="10766" max="11008" width="9.109375" style="549"/>
    <col min="11009" max="11009" width="9.5546875" style="549" customWidth="1"/>
    <col min="11010" max="11010" width="56.5546875" style="549" customWidth="1"/>
    <col min="11011" max="11011" width="7.5546875" style="549" customWidth="1"/>
    <col min="11012" max="11014" width="0" style="549" hidden="1" customWidth="1"/>
    <col min="11015" max="11015" width="10.6640625" style="549" customWidth="1"/>
    <col min="11016" max="11019" width="13.5546875" style="549" customWidth="1"/>
    <col min="11020" max="11020" width="15.5546875" style="549" customWidth="1"/>
    <col min="11021" max="11021" width="21.5546875" style="549" customWidth="1"/>
    <col min="11022" max="11264" width="9.109375" style="549"/>
    <col min="11265" max="11265" width="9.5546875" style="549" customWidth="1"/>
    <col min="11266" max="11266" width="56.5546875" style="549" customWidth="1"/>
    <col min="11267" max="11267" width="7.5546875" style="549" customWidth="1"/>
    <col min="11268" max="11270" width="0" style="549" hidden="1" customWidth="1"/>
    <col min="11271" max="11271" width="10.6640625" style="549" customWidth="1"/>
    <col min="11272" max="11275" width="13.5546875" style="549" customWidth="1"/>
    <col min="11276" max="11276" width="15.5546875" style="549" customWidth="1"/>
    <col min="11277" max="11277" width="21.5546875" style="549" customWidth="1"/>
    <col min="11278" max="11520" width="9.109375" style="549"/>
    <col min="11521" max="11521" width="9.5546875" style="549" customWidth="1"/>
    <col min="11522" max="11522" width="56.5546875" style="549" customWidth="1"/>
    <col min="11523" max="11523" width="7.5546875" style="549" customWidth="1"/>
    <col min="11524" max="11526" width="0" style="549" hidden="1" customWidth="1"/>
    <col min="11527" max="11527" width="10.6640625" style="549" customWidth="1"/>
    <col min="11528" max="11531" width="13.5546875" style="549" customWidth="1"/>
    <col min="11532" max="11532" width="15.5546875" style="549" customWidth="1"/>
    <col min="11533" max="11533" width="21.5546875" style="549" customWidth="1"/>
    <col min="11534" max="11776" width="9.109375" style="549"/>
    <col min="11777" max="11777" width="9.5546875" style="549" customWidth="1"/>
    <col min="11778" max="11778" width="56.5546875" style="549" customWidth="1"/>
    <col min="11779" max="11779" width="7.5546875" style="549" customWidth="1"/>
    <col min="11780" max="11782" width="0" style="549" hidden="1" customWidth="1"/>
    <col min="11783" max="11783" width="10.6640625" style="549" customWidth="1"/>
    <col min="11784" max="11787" width="13.5546875" style="549" customWidth="1"/>
    <col min="11788" max="11788" width="15.5546875" style="549" customWidth="1"/>
    <col min="11789" max="11789" width="21.5546875" style="549" customWidth="1"/>
    <col min="11790" max="12032" width="9.109375" style="549"/>
    <col min="12033" max="12033" width="9.5546875" style="549" customWidth="1"/>
    <col min="12034" max="12034" width="56.5546875" style="549" customWidth="1"/>
    <col min="12035" max="12035" width="7.5546875" style="549" customWidth="1"/>
    <col min="12036" max="12038" width="0" style="549" hidden="1" customWidth="1"/>
    <col min="12039" max="12039" width="10.6640625" style="549" customWidth="1"/>
    <col min="12040" max="12043" width="13.5546875" style="549" customWidth="1"/>
    <col min="12044" max="12044" width="15.5546875" style="549" customWidth="1"/>
    <col min="12045" max="12045" width="21.5546875" style="549" customWidth="1"/>
    <col min="12046" max="12288" width="9.109375" style="549"/>
    <col min="12289" max="12289" width="9.5546875" style="549" customWidth="1"/>
    <col min="12290" max="12290" width="56.5546875" style="549" customWidth="1"/>
    <col min="12291" max="12291" width="7.5546875" style="549" customWidth="1"/>
    <col min="12292" max="12294" width="0" style="549" hidden="1" customWidth="1"/>
    <col min="12295" max="12295" width="10.6640625" style="549" customWidth="1"/>
    <col min="12296" max="12299" width="13.5546875" style="549" customWidth="1"/>
    <col min="12300" max="12300" width="15.5546875" style="549" customWidth="1"/>
    <col min="12301" max="12301" width="21.5546875" style="549" customWidth="1"/>
    <col min="12302" max="12544" width="9.109375" style="549"/>
    <col min="12545" max="12545" width="9.5546875" style="549" customWidth="1"/>
    <col min="12546" max="12546" width="56.5546875" style="549" customWidth="1"/>
    <col min="12547" max="12547" width="7.5546875" style="549" customWidth="1"/>
    <col min="12548" max="12550" width="0" style="549" hidden="1" customWidth="1"/>
    <col min="12551" max="12551" width="10.6640625" style="549" customWidth="1"/>
    <col min="12552" max="12555" width="13.5546875" style="549" customWidth="1"/>
    <col min="12556" max="12556" width="15.5546875" style="549" customWidth="1"/>
    <col min="12557" max="12557" width="21.5546875" style="549" customWidth="1"/>
    <col min="12558" max="12800" width="9.109375" style="549"/>
    <col min="12801" max="12801" width="9.5546875" style="549" customWidth="1"/>
    <col min="12802" max="12802" width="56.5546875" style="549" customWidth="1"/>
    <col min="12803" max="12803" width="7.5546875" style="549" customWidth="1"/>
    <col min="12804" max="12806" width="0" style="549" hidden="1" customWidth="1"/>
    <col min="12807" max="12807" width="10.6640625" style="549" customWidth="1"/>
    <col min="12808" max="12811" width="13.5546875" style="549" customWidth="1"/>
    <col min="12812" max="12812" width="15.5546875" style="549" customWidth="1"/>
    <col min="12813" max="12813" width="21.5546875" style="549" customWidth="1"/>
    <col min="12814" max="13056" width="9.109375" style="549"/>
    <col min="13057" max="13057" width="9.5546875" style="549" customWidth="1"/>
    <col min="13058" max="13058" width="56.5546875" style="549" customWidth="1"/>
    <col min="13059" max="13059" width="7.5546875" style="549" customWidth="1"/>
    <col min="13060" max="13062" width="0" style="549" hidden="1" customWidth="1"/>
    <col min="13063" max="13063" width="10.6640625" style="549" customWidth="1"/>
    <col min="13064" max="13067" width="13.5546875" style="549" customWidth="1"/>
    <col min="13068" max="13068" width="15.5546875" style="549" customWidth="1"/>
    <col min="13069" max="13069" width="21.5546875" style="549" customWidth="1"/>
    <col min="13070" max="13312" width="9.109375" style="549"/>
    <col min="13313" max="13313" width="9.5546875" style="549" customWidth="1"/>
    <col min="13314" max="13314" width="56.5546875" style="549" customWidth="1"/>
    <col min="13315" max="13315" width="7.5546875" style="549" customWidth="1"/>
    <col min="13316" max="13318" width="0" style="549" hidden="1" customWidth="1"/>
    <col min="13319" max="13319" width="10.6640625" style="549" customWidth="1"/>
    <col min="13320" max="13323" width="13.5546875" style="549" customWidth="1"/>
    <col min="13324" max="13324" width="15.5546875" style="549" customWidth="1"/>
    <col min="13325" max="13325" width="21.5546875" style="549" customWidth="1"/>
    <col min="13326" max="13568" width="9.109375" style="549"/>
    <col min="13569" max="13569" width="9.5546875" style="549" customWidth="1"/>
    <col min="13570" max="13570" width="56.5546875" style="549" customWidth="1"/>
    <col min="13571" max="13571" width="7.5546875" style="549" customWidth="1"/>
    <col min="13572" max="13574" width="0" style="549" hidden="1" customWidth="1"/>
    <col min="13575" max="13575" width="10.6640625" style="549" customWidth="1"/>
    <col min="13576" max="13579" width="13.5546875" style="549" customWidth="1"/>
    <col min="13580" max="13580" width="15.5546875" style="549" customWidth="1"/>
    <col min="13581" max="13581" width="21.5546875" style="549" customWidth="1"/>
    <col min="13582" max="13824" width="9.109375" style="549"/>
    <col min="13825" max="13825" width="9.5546875" style="549" customWidth="1"/>
    <col min="13826" max="13826" width="56.5546875" style="549" customWidth="1"/>
    <col min="13827" max="13827" width="7.5546875" style="549" customWidth="1"/>
    <col min="13828" max="13830" width="0" style="549" hidden="1" customWidth="1"/>
    <col min="13831" max="13831" width="10.6640625" style="549" customWidth="1"/>
    <col min="13832" max="13835" width="13.5546875" style="549" customWidth="1"/>
    <col min="13836" max="13836" width="15.5546875" style="549" customWidth="1"/>
    <col min="13837" max="13837" width="21.5546875" style="549" customWidth="1"/>
    <col min="13838" max="14080" width="9.109375" style="549"/>
    <col min="14081" max="14081" width="9.5546875" style="549" customWidth="1"/>
    <col min="14082" max="14082" width="56.5546875" style="549" customWidth="1"/>
    <col min="14083" max="14083" width="7.5546875" style="549" customWidth="1"/>
    <col min="14084" max="14086" width="0" style="549" hidden="1" customWidth="1"/>
    <col min="14087" max="14087" width="10.6640625" style="549" customWidth="1"/>
    <col min="14088" max="14091" width="13.5546875" style="549" customWidth="1"/>
    <col min="14092" max="14092" width="15.5546875" style="549" customWidth="1"/>
    <col min="14093" max="14093" width="21.5546875" style="549" customWidth="1"/>
    <col min="14094" max="14336" width="9.109375" style="549"/>
    <col min="14337" max="14337" width="9.5546875" style="549" customWidth="1"/>
    <col min="14338" max="14338" width="56.5546875" style="549" customWidth="1"/>
    <col min="14339" max="14339" width="7.5546875" style="549" customWidth="1"/>
    <col min="14340" max="14342" width="0" style="549" hidden="1" customWidth="1"/>
    <col min="14343" max="14343" width="10.6640625" style="549" customWidth="1"/>
    <col min="14344" max="14347" width="13.5546875" style="549" customWidth="1"/>
    <col min="14348" max="14348" width="15.5546875" style="549" customWidth="1"/>
    <col min="14349" max="14349" width="21.5546875" style="549" customWidth="1"/>
    <col min="14350" max="14592" width="9.109375" style="549"/>
    <col min="14593" max="14593" width="9.5546875" style="549" customWidth="1"/>
    <col min="14594" max="14594" width="56.5546875" style="549" customWidth="1"/>
    <col min="14595" max="14595" width="7.5546875" style="549" customWidth="1"/>
    <col min="14596" max="14598" width="0" style="549" hidden="1" customWidth="1"/>
    <col min="14599" max="14599" width="10.6640625" style="549" customWidth="1"/>
    <col min="14600" max="14603" width="13.5546875" style="549" customWidth="1"/>
    <col min="14604" max="14604" width="15.5546875" style="549" customWidth="1"/>
    <col min="14605" max="14605" width="21.5546875" style="549" customWidth="1"/>
    <col min="14606" max="14848" width="9.109375" style="549"/>
    <col min="14849" max="14849" width="9.5546875" style="549" customWidth="1"/>
    <col min="14850" max="14850" width="56.5546875" style="549" customWidth="1"/>
    <col min="14851" max="14851" width="7.5546875" style="549" customWidth="1"/>
    <col min="14852" max="14854" width="0" style="549" hidden="1" customWidth="1"/>
    <col min="14855" max="14855" width="10.6640625" style="549" customWidth="1"/>
    <col min="14856" max="14859" width="13.5546875" style="549" customWidth="1"/>
    <col min="14860" max="14860" width="15.5546875" style="549" customWidth="1"/>
    <col min="14861" max="14861" width="21.5546875" style="549" customWidth="1"/>
    <col min="14862" max="15104" width="9.109375" style="549"/>
    <col min="15105" max="15105" width="9.5546875" style="549" customWidth="1"/>
    <col min="15106" max="15106" width="56.5546875" style="549" customWidth="1"/>
    <col min="15107" max="15107" width="7.5546875" style="549" customWidth="1"/>
    <col min="15108" max="15110" width="0" style="549" hidden="1" customWidth="1"/>
    <col min="15111" max="15111" width="10.6640625" style="549" customWidth="1"/>
    <col min="15112" max="15115" width="13.5546875" style="549" customWidth="1"/>
    <col min="15116" max="15116" width="15.5546875" style="549" customWidth="1"/>
    <col min="15117" max="15117" width="21.5546875" style="549" customWidth="1"/>
    <col min="15118" max="15360" width="9.109375" style="549"/>
    <col min="15361" max="15361" width="9.5546875" style="549" customWidth="1"/>
    <col min="15362" max="15362" width="56.5546875" style="549" customWidth="1"/>
    <col min="15363" max="15363" width="7.5546875" style="549" customWidth="1"/>
    <col min="15364" max="15366" width="0" style="549" hidden="1" customWidth="1"/>
    <col min="15367" max="15367" width="10.6640625" style="549" customWidth="1"/>
    <col min="15368" max="15371" width="13.5546875" style="549" customWidth="1"/>
    <col min="15372" max="15372" width="15.5546875" style="549" customWidth="1"/>
    <col min="15373" max="15373" width="21.5546875" style="549" customWidth="1"/>
    <col min="15374" max="15616" width="9.109375" style="549"/>
    <col min="15617" max="15617" width="9.5546875" style="549" customWidth="1"/>
    <col min="15618" max="15618" width="56.5546875" style="549" customWidth="1"/>
    <col min="15619" max="15619" width="7.5546875" style="549" customWidth="1"/>
    <col min="15620" max="15622" width="0" style="549" hidden="1" customWidth="1"/>
    <col min="15623" max="15623" width="10.6640625" style="549" customWidth="1"/>
    <col min="15624" max="15627" width="13.5546875" style="549" customWidth="1"/>
    <col min="15628" max="15628" width="15.5546875" style="549" customWidth="1"/>
    <col min="15629" max="15629" width="21.5546875" style="549" customWidth="1"/>
    <col min="15630" max="15872" width="9.109375" style="549"/>
    <col min="15873" max="15873" width="9.5546875" style="549" customWidth="1"/>
    <col min="15874" max="15874" width="56.5546875" style="549" customWidth="1"/>
    <col min="15875" max="15875" width="7.5546875" style="549" customWidth="1"/>
    <col min="15876" max="15878" width="0" style="549" hidden="1" customWidth="1"/>
    <col min="15879" max="15879" width="10.6640625" style="549" customWidth="1"/>
    <col min="15880" max="15883" width="13.5546875" style="549" customWidth="1"/>
    <col min="15884" max="15884" width="15.5546875" style="549" customWidth="1"/>
    <col min="15885" max="15885" width="21.5546875" style="549" customWidth="1"/>
    <col min="15886" max="16128" width="9.109375" style="549"/>
    <col min="16129" max="16129" width="9.5546875" style="549" customWidth="1"/>
    <col min="16130" max="16130" width="56.5546875" style="549" customWidth="1"/>
    <col min="16131" max="16131" width="7.5546875" style="549" customWidth="1"/>
    <col min="16132" max="16134" width="0" style="549" hidden="1" customWidth="1"/>
    <col min="16135" max="16135" width="10.6640625" style="549" customWidth="1"/>
    <col min="16136" max="16139" width="13.5546875" style="549" customWidth="1"/>
    <col min="16140" max="16140" width="15.5546875" style="549" customWidth="1"/>
    <col min="16141" max="16141" width="21.5546875" style="549" customWidth="1"/>
    <col min="16142" max="16384" width="9.109375" style="549"/>
  </cols>
  <sheetData>
    <row r="1" spans="1:16" s="477" customFormat="1" ht="20.100000000000001" customHeight="1">
      <c r="A1" s="474" t="s">
        <v>37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6"/>
    </row>
    <row r="2" spans="1:16" s="477" customFormat="1" ht="20.100000000000001" customHeight="1">
      <c r="A2" s="478" t="s">
        <v>46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80"/>
    </row>
    <row r="3" spans="1:16" s="477" customFormat="1" ht="20.100000000000001" customHeight="1">
      <c r="A3" s="481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482"/>
      <c r="C3" s="483"/>
      <c r="D3" s="162"/>
      <c r="E3" s="136"/>
      <c r="F3" s="136"/>
      <c r="G3" s="136"/>
      <c r="H3" s="137"/>
      <c r="I3" s="137"/>
      <c r="J3" s="163"/>
      <c r="K3" s="163"/>
      <c r="L3" s="139"/>
      <c r="M3" s="484" t="str">
        <f>'[2]cover '!D2</f>
        <v xml:space="preserve">จัดทำโดย คณะสถาปัตยกรรมศาสตร์ 
</v>
      </c>
    </row>
    <row r="4" spans="1:16" s="477" customFormat="1" ht="20.100000000000001" customHeight="1">
      <c r="A4" s="481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483"/>
      <c r="C4" s="483"/>
      <c r="D4" s="162"/>
      <c r="E4" s="136"/>
      <c r="F4" s="136"/>
      <c r="G4" s="136"/>
      <c r="H4" s="137"/>
      <c r="I4" s="137"/>
      <c r="J4" s="485" t="s">
        <v>243</v>
      </c>
      <c r="K4" s="485"/>
      <c r="L4" s="485"/>
      <c r="M4" s="486"/>
    </row>
    <row r="5" spans="1:16" s="477" customFormat="1" ht="20.100000000000001" customHeight="1" thickBot="1">
      <c r="A5" s="481" t="str">
        <f>'[2]cover '!A4</f>
        <v>แบบบ้าน  :  บ้านดีดีรักษ์ฟ้า 2</v>
      </c>
      <c r="B5" s="483"/>
      <c r="C5" s="483"/>
      <c r="D5" s="162"/>
      <c r="E5" s="136"/>
      <c r="F5" s="136"/>
      <c r="G5" s="136"/>
      <c r="H5" s="137"/>
      <c r="I5" s="137"/>
      <c r="J5" s="138"/>
      <c r="K5" s="138"/>
      <c r="L5" s="136"/>
      <c r="M5" s="484"/>
    </row>
    <row r="6" spans="1:16" s="492" customFormat="1" ht="20.100000000000001" customHeight="1">
      <c r="A6" s="487" t="s">
        <v>3</v>
      </c>
      <c r="B6" s="488" t="s">
        <v>4</v>
      </c>
      <c r="C6" s="488" t="s">
        <v>38</v>
      </c>
      <c r="D6" s="257" t="s">
        <v>47</v>
      </c>
      <c r="E6" s="421" t="s">
        <v>39</v>
      </c>
      <c r="F6" s="421" t="s">
        <v>39</v>
      </c>
      <c r="G6" s="458" t="s">
        <v>39</v>
      </c>
      <c r="H6" s="489" t="s">
        <v>40</v>
      </c>
      <c r="I6" s="490"/>
      <c r="J6" s="460" t="s">
        <v>41</v>
      </c>
      <c r="K6" s="461"/>
      <c r="L6" s="258" t="s">
        <v>6</v>
      </c>
      <c r="M6" s="491" t="s">
        <v>42</v>
      </c>
    </row>
    <row r="7" spans="1:16" s="492" customFormat="1" ht="20.100000000000001" customHeight="1" thickBot="1">
      <c r="A7" s="493"/>
      <c r="B7" s="494"/>
      <c r="C7" s="494"/>
      <c r="D7" s="259" t="s">
        <v>48</v>
      </c>
      <c r="E7" s="422"/>
      <c r="F7" s="260"/>
      <c r="G7" s="459"/>
      <c r="H7" s="261" t="s">
        <v>43</v>
      </c>
      <c r="I7" s="261" t="s">
        <v>44</v>
      </c>
      <c r="J7" s="261" t="s">
        <v>43</v>
      </c>
      <c r="K7" s="261" t="s">
        <v>44</v>
      </c>
      <c r="L7" s="262" t="s">
        <v>45</v>
      </c>
      <c r="M7" s="495"/>
    </row>
    <row r="8" spans="1:16" s="500" customFormat="1" ht="20.100000000000001" customHeight="1">
      <c r="A8" s="496" t="s">
        <v>49</v>
      </c>
      <c r="B8" s="497" t="s">
        <v>50</v>
      </c>
      <c r="C8" s="498"/>
      <c r="D8" s="150"/>
      <c r="E8" s="151"/>
      <c r="F8" s="152"/>
      <c r="G8" s="153"/>
      <c r="H8" s="153"/>
      <c r="I8" s="153"/>
      <c r="J8" s="153"/>
      <c r="K8" s="153"/>
      <c r="L8" s="154"/>
      <c r="M8" s="499"/>
    </row>
    <row r="9" spans="1:16" s="500" customFormat="1" ht="20.100000000000001" customHeight="1">
      <c r="A9" s="501" t="s">
        <v>11</v>
      </c>
      <c r="B9" s="502" t="s">
        <v>183</v>
      </c>
      <c r="C9" s="503"/>
      <c r="D9" s="157"/>
      <c r="E9" s="158"/>
      <c r="F9" s="158"/>
      <c r="G9" s="130"/>
      <c r="H9" s="130"/>
      <c r="I9" s="130"/>
      <c r="J9" s="130"/>
      <c r="K9" s="130"/>
      <c r="L9" s="160"/>
      <c r="M9" s="504"/>
    </row>
    <row r="10" spans="1:16" s="509" customFormat="1" ht="18.899999999999999" customHeight="1">
      <c r="A10" s="505" t="s">
        <v>51</v>
      </c>
      <c r="B10" s="506" t="s">
        <v>252</v>
      </c>
      <c r="C10" s="507" t="s">
        <v>52</v>
      </c>
      <c r="D10" s="112">
        <v>0</v>
      </c>
      <c r="E10" s="113">
        <v>58</v>
      </c>
      <c r="F10" s="114"/>
      <c r="G10" s="115">
        <v>22</v>
      </c>
      <c r="H10" s="114">
        <v>5460</v>
      </c>
      <c r="I10" s="115">
        <f>G10*H10</f>
        <v>120120</v>
      </c>
      <c r="J10" s="115">
        <v>0</v>
      </c>
      <c r="K10" s="115">
        <f>SUM(G10*J10)</f>
        <v>0</v>
      </c>
      <c r="L10" s="116">
        <f t="shared" ref="L10:L18" si="0">SUM(I10+K10)</f>
        <v>120120</v>
      </c>
      <c r="M10" s="508"/>
      <c r="O10" s="509">
        <v>1</v>
      </c>
      <c r="P10" s="163">
        <v>21</v>
      </c>
    </row>
    <row r="11" spans="1:16" s="509" customFormat="1" ht="18.899999999999999" customHeight="1">
      <c r="A11" s="505" t="s">
        <v>185</v>
      </c>
      <c r="B11" s="510" t="s">
        <v>253</v>
      </c>
      <c r="C11" s="507" t="s">
        <v>52</v>
      </c>
      <c r="D11" s="112">
        <v>0</v>
      </c>
      <c r="E11" s="113">
        <v>58</v>
      </c>
      <c r="F11" s="114"/>
      <c r="G11" s="115">
        <v>22</v>
      </c>
      <c r="H11" s="114">
        <v>0</v>
      </c>
      <c r="I11" s="115">
        <f>G11*H11</f>
        <v>0</v>
      </c>
      <c r="J11" s="115">
        <v>230</v>
      </c>
      <c r="K11" s="115">
        <f t="shared" ref="K11:K18" si="1">SUM(G11*J11)</f>
        <v>5060</v>
      </c>
      <c r="L11" s="116">
        <f t="shared" si="0"/>
        <v>5060</v>
      </c>
      <c r="M11" s="508"/>
      <c r="O11" s="509">
        <v>1</v>
      </c>
      <c r="P11" s="163">
        <f>P10</f>
        <v>21</v>
      </c>
    </row>
    <row r="12" spans="1:16" s="509" customFormat="1" ht="18.899999999999999" customHeight="1">
      <c r="A12" s="505" t="s">
        <v>53</v>
      </c>
      <c r="B12" s="506" t="s">
        <v>254</v>
      </c>
      <c r="C12" s="507" t="s">
        <v>172</v>
      </c>
      <c r="D12" s="112">
        <v>0</v>
      </c>
      <c r="E12" s="113">
        <v>58</v>
      </c>
      <c r="F12" s="114"/>
      <c r="G12" s="115">
        <v>22</v>
      </c>
      <c r="H12" s="114">
        <v>0</v>
      </c>
      <c r="I12" s="115">
        <f>G12*H12</f>
        <v>0</v>
      </c>
      <c r="J12" s="115">
        <v>1450</v>
      </c>
      <c r="K12" s="115">
        <f t="shared" si="1"/>
        <v>31900</v>
      </c>
      <c r="L12" s="116">
        <f t="shared" si="0"/>
        <v>31900</v>
      </c>
      <c r="M12" s="508"/>
      <c r="O12" s="509">
        <v>1</v>
      </c>
      <c r="P12" s="163">
        <f>P10</f>
        <v>21</v>
      </c>
    </row>
    <row r="13" spans="1:16" s="509" customFormat="1" ht="18.899999999999999" customHeight="1">
      <c r="A13" s="505" t="s">
        <v>56</v>
      </c>
      <c r="B13" s="510" t="s">
        <v>54</v>
      </c>
      <c r="C13" s="507" t="s">
        <v>55</v>
      </c>
      <c r="D13" s="112">
        <v>0</v>
      </c>
      <c r="E13" s="113">
        <v>153</v>
      </c>
      <c r="F13" s="114"/>
      <c r="G13" s="115">
        <v>12.48</v>
      </c>
      <c r="H13" s="114">
        <v>0</v>
      </c>
      <c r="I13" s="115">
        <f>G13*H13</f>
        <v>0</v>
      </c>
      <c r="J13" s="115">
        <v>125</v>
      </c>
      <c r="K13" s="115">
        <f t="shared" si="1"/>
        <v>1560</v>
      </c>
      <c r="L13" s="116">
        <f t="shared" si="0"/>
        <v>1560</v>
      </c>
      <c r="M13" s="508"/>
      <c r="O13" s="509">
        <v>1</v>
      </c>
      <c r="P13" s="163">
        <v>22</v>
      </c>
    </row>
    <row r="14" spans="1:16" s="509" customFormat="1" ht="18.899999999999999" customHeight="1">
      <c r="A14" s="505" t="s">
        <v>58</v>
      </c>
      <c r="B14" s="511" t="s">
        <v>57</v>
      </c>
      <c r="C14" s="507" t="s">
        <v>55</v>
      </c>
      <c r="D14" s="112">
        <v>0</v>
      </c>
      <c r="E14" s="113">
        <v>141</v>
      </c>
      <c r="F14" s="114"/>
      <c r="G14" s="115">
        <v>3.7440000000000007</v>
      </c>
      <c r="H14" s="114">
        <v>0</v>
      </c>
      <c r="I14" s="115">
        <f>G14*H14</f>
        <v>0</v>
      </c>
      <c r="J14" s="115">
        <v>99</v>
      </c>
      <c r="K14" s="115">
        <f t="shared" si="1"/>
        <v>370.65600000000006</v>
      </c>
      <c r="L14" s="116">
        <f t="shared" si="0"/>
        <v>370.65600000000006</v>
      </c>
      <c r="M14" s="508"/>
      <c r="O14" s="509">
        <v>1</v>
      </c>
      <c r="P14" s="163">
        <v>14</v>
      </c>
    </row>
    <row r="15" spans="1:16" s="509" customFormat="1" ht="18.899999999999999" customHeight="1">
      <c r="A15" s="505" t="s">
        <v>59</v>
      </c>
      <c r="B15" s="511" t="s">
        <v>184</v>
      </c>
      <c r="C15" s="507" t="s">
        <v>55</v>
      </c>
      <c r="D15" s="112">
        <v>0.3</v>
      </c>
      <c r="E15" s="113">
        <v>0.85</v>
      </c>
      <c r="F15" s="114"/>
      <c r="G15" s="115">
        <v>2</v>
      </c>
      <c r="H15" s="114">
        <v>453.33</v>
      </c>
      <c r="I15" s="115">
        <f t="shared" ref="I15:I20" si="2">SUM(G15*H15)</f>
        <v>906.66</v>
      </c>
      <c r="J15" s="115">
        <v>91</v>
      </c>
      <c r="K15" s="115">
        <f t="shared" si="1"/>
        <v>182</v>
      </c>
      <c r="L15" s="116">
        <f t="shared" si="0"/>
        <v>1088.6599999999999</v>
      </c>
      <c r="M15" s="508"/>
      <c r="O15" s="509">
        <v>1</v>
      </c>
      <c r="P15" s="163">
        <v>0.5</v>
      </c>
    </row>
    <row r="16" spans="1:16" s="509" customFormat="1" ht="18.899999999999999" customHeight="1">
      <c r="A16" s="505" t="s">
        <v>60</v>
      </c>
      <c r="B16" s="511" t="s">
        <v>61</v>
      </c>
      <c r="C16" s="507" t="s">
        <v>55</v>
      </c>
      <c r="D16" s="112">
        <v>0.1</v>
      </c>
      <c r="E16" s="113">
        <v>0.85</v>
      </c>
      <c r="F16" s="114"/>
      <c r="G16" s="115">
        <v>1.6</v>
      </c>
      <c r="H16" s="114">
        <v>2034</v>
      </c>
      <c r="I16" s="115">
        <f t="shared" si="2"/>
        <v>3254.4</v>
      </c>
      <c r="J16" s="115">
        <v>398</v>
      </c>
      <c r="K16" s="115">
        <f t="shared" si="1"/>
        <v>636.80000000000007</v>
      </c>
      <c r="L16" s="116">
        <f t="shared" si="0"/>
        <v>3891.2000000000003</v>
      </c>
      <c r="M16" s="508"/>
      <c r="O16" s="509">
        <v>1</v>
      </c>
      <c r="P16" s="163">
        <v>0.3</v>
      </c>
    </row>
    <row r="17" spans="1:16" s="509" customFormat="1" ht="18.899999999999999" customHeight="1">
      <c r="A17" s="505" t="s">
        <v>62</v>
      </c>
      <c r="B17" s="511" t="s">
        <v>94</v>
      </c>
      <c r="C17" s="507" t="s">
        <v>55</v>
      </c>
      <c r="D17" s="112">
        <v>0.05</v>
      </c>
      <c r="E17" s="113">
        <v>29</v>
      </c>
      <c r="F17" s="114"/>
      <c r="G17" s="115">
        <v>9.6000000000000014</v>
      </c>
      <c r="H17" s="114">
        <v>2259</v>
      </c>
      <c r="I17" s="115">
        <f t="shared" si="2"/>
        <v>21686.400000000001</v>
      </c>
      <c r="J17" s="115">
        <v>391</v>
      </c>
      <c r="K17" s="115">
        <f t="shared" si="1"/>
        <v>3753.6000000000004</v>
      </c>
      <c r="L17" s="116">
        <f t="shared" si="0"/>
        <v>25440</v>
      </c>
      <c r="M17" s="508"/>
      <c r="O17" s="509">
        <v>1</v>
      </c>
      <c r="P17" s="163">
        <v>2.5</v>
      </c>
    </row>
    <row r="18" spans="1:16" s="509" customFormat="1" ht="18.899999999999999" customHeight="1">
      <c r="A18" s="505" t="s">
        <v>63</v>
      </c>
      <c r="B18" s="511" t="s">
        <v>191</v>
      </c>
      <c r="C18" s="507" t="s">
        <v>64</v>
      </c>
      <c r="D18" s="112">
        <v>0</v>
      </c>
      <c r="E18" s="113">
        <v>423</v>
      </c>
      <c r="F18" s="114"/>
      <c r="G18" s="115">
        <v>21.84</v>
      </c>
      <c r="H18" s="114">
        <v>400</v>
      </c>
      <c r="I18" s="115">
        <f t="shared" si="2"/>
        <v>8736</v>
      </c>
      <c r="J18" s="115">
        <v>105</v>
      </c>
      <c r="K18" s="115">
        <f t="shared" si="1"/>
        <v>2293.1999999999998</v>
      </c>
      <c r="L18" s="116">
        <f t="shared" si="0"/>
        <v>11029.2</v>
      </c>
      <c r="M18" s="508"/>
      <c r="O18" s="509">
        <v>1</v>
      </c>
      <c r="P18" s="163">
        <v>19.899999999999999</v>
      </c>
    </row>
    <row r="19" spans="1:16" s="509" customFormat="1" ht="18.899999999999999" customHeight="1">
      <c r="A19" s="505" t="s">
        <v>65</v>
      </c>
      <c r="B19" s="512" t="s">
        <v>425</v>
      </c>
      <c r="C19" s="507" t="s">
        <v>64</v>
      </c>
      <c r="D19" s="216"/>
      <c r="E19" s="217"/>
      <c r="F19" s="218"/>
      <c r="G19" s="219">
        <v>31.200000000000003</v>
      </c>
      <c r="H19" s="218">
        <v>0</v>
      </c>
      <c r="I19" s="219">
        <f t="shared" si="2"/>
        <v>0</v>
      </c>
      <c r="J19" s="115">
        <v>105</v>
      </c>
      <c r="K19" s="115">
        <f>SUM(G19*J19)</f>
        <v>3276.0000000000005</v>
      </c>
      <c r="L19" s="116">
        <f>SUM(I19+K19)</f>
        <v>3276.0000000000005</v>
      </c>
      <c r="M19" s="508"/>
      <c r="P19" s="163"/>
    </row>
    <row r="20" spans="1:16" s="509" customFormat="1" ht="18.899999999999999" customHeight="1">
      <c r="A20" s="505" t="s">
        <v>70</v>
      </c>
      <c r="B20" s="511" t="s">
        <v>426</v>
      </c>
      <c r="C20" s="507" t="s">
        <v>64</v>
      </c>
      <c r="D20" s="112">
        <v>0</v>
      </c>
      <c r="E20" s="113">
        <v>423</v>
      </c>
      <c r="F20" s="114"/>
      <c r="G20" s="115">
        <f>G18*0.3</f>
        <v>6.5519999999999996</v>
      </c>
      <c r="H20" s="114">
        <v>400</v>
      </c>
      <c r="I20" s="115">
        <f t="shared" si="2"/>
        <v>2620.7999999999997</v>
      </c>
      <c r="J20" s="115">
        <v>0</v>
      </c>
      <c r="K20" s="115">
        <f>SUM(G20*J20)</f>
        <v>0</v>
      </c>
      <c r="L20" s="116">
        <f>SUM(I20+K20)</f>
        <v>2620.7999999999997</v>
      </c>
      <c r="M20" s="508"/>
      <c r="P20" s="163"/>
    </row>
    <row r="21" spans="1:16" s="509" customFormat="1" ht="18.899999999999999" customHeight="1">
      <c r="A21" s="505" t="s">
        <v>72</v>
      </c>
      <c r="B21" s="511" t="s">
        <v>66</v>
      </c>
      <c r="C21" s="507"/>
      <c r="D21" s="192"/>
      <c r="E21" s="114"/>
      <c r="F21" s="114"/>
      <c r="G21" s="115"/>
      <c r="H21" s="115"/>
      <c r="I21" s="115"/>
      <c r="J21" s="115"/>
      <c r="K21" s="115"/>
      <c r="L21" s="116"/>
      <c r="M21" s="508"/>
      <c r="O21" s="509">
        <v>1</v>
      </c>
      <c r="P21" s="163"/>
    </row>
    <row r="22" spans="1:16" s="509" customFormat="1" ht="18.899999999999999" customHeight="1">
      <c r="A22" s="513"/>
      <c r="B22" s="511" t="s">
        <v>161</v>
      </c>
      <c r="C22" s="507" t="s">
        <v>68</v>
      </c>
      <c r="D22" s="112">
        <v>0.11</v>
      </c>
      <c r="E22" s="113">
        <v>1174</v>
      </c>
      <c r="F22" s="114"/>
      <c r="G22" s="115">
        <v>875.77401600000007</v>
      </c>
      <c r="H22" s="114">
        <v>17.100000000000001</v>
      </c>
      <c r="I22" s="115">
        <f>SUM(G22*H22)</f>
        <v>14975.735673600002</v>
      </c>
      <c r="J22" s="115">
        <v>3.3</v>
      </c>
      <c r="K22" s="115">
        <f>SUM(G22*J22)</f>
        <v>2890.0542528000001</v>
      </c>
      <c r="L22" s="116">
        <f>SUM(I22+K22)</f>
        <v>17865.789926400001</v>
      </c>
      <c r="M22" s="508"/>
      <c r="O22" s="509">
        <v>1</v>
      </c>
      <c r="P22" s="163">
        <v>311</v>
      </c>
    </row>
    <row r="23" spans="1:16" s="509" customFormat="1" ht="18.899999999999999" customHeight="1">
      <c r="A23" s="505" t="s">
        <v>206</v>
      </c>
      <c r="B23" s="511" t="s">
        <v>71</v>
      </c>
      <c r="C23" s="507" t="s">
        <v>68</v>
      </c>
      <c r="D23" s="112">
        <v>0</v>
      </c>
      <c r="E23" s="114">
        <v>211</v>
      </c>
      <c r="F23" s="114"/>
      <c r="G23" s="115">
        <v>26.273220480000003</v>
      </c>
      <c r="H23" s="114">
        <v>21.11</v>
      </c>
      <c r="I23" s="115">
        <f>SUM(G23*H23)</f>
        <v>554.62768433280007</v>
      </c>
      <c r="J23" s="115">
        <v>0</v>
      </c>
      <c r="K23" s="115">
        <f>SUM(G23*J23)</f>
        <v>0</v>
      </c>
      <c r="L23" s="116">
        <f>SUM(I23+K23)</f>
        <v>554.62768433280007</v>
      </c>
      <c r="M23" s="508"/>
      <c r="O23" s="509">
        <v>1</v>
      </c>
      <c r="P23" s="163">
        <v>15</v>
      </c>
    </row>
    <row r="24" spans="1:16" s="509" customFormat="1" ht="18.899999999999999" customHeight="1">
      <c r="A24" s="505" t="s">
        <v>255</v>
      </c>
      <c r="B24" s="510" t="s">
        <v>73</v>
      </c>
      <c r="C24" s="507" t="s">
        <v>68</v>
      </c>
      <c r="D24" s="112">
        <v>0</v>
      </c>
      <c r="E24" s="114">
        <v>127</v>
      </c>
      <c r="F24" s="114"/>
      <c r="G24" s="115">
        <v>7.8000000000000007</v>
      </c>
      <c r="H24" s="114">
        <v>23.7</v>
      </c>
      <c r="I24" s="115">
        <f>SUM(G24*H24)</f>
        <v>184.86</v>
      </c>
      <c r="J24" s="115">
        <v>0</v>
      </c>
      <c r="K24" s="115">
        <f>SUM(G24*J24)</f>
        <v>0</v>
      </c>
      <c r="L24" s="116">
        <f>SUM(I24+K24)</f>
        <v>184.86</v>
      </c>
      <c r="M24" s="508"/>
      <c r="O24" s="509">
        <v>1</v>
      </c>
      <c r="P24" s="163">
        <v>10</v>
      </c>
    </row>
    <row r="25" spans="1:16" s="509" customFormat="1" ht="18.899999999999999" customHeight="1" thickBot="1">
      <c r="A25" s="514"/>
      <c r="B25" s="515"/>
      <c r="C25" s="516"/>
      <c r="D25" s="119"/>
      <c r="E25" s="120"/>
      <c r="F25" s="121"/>
      <c r="G25" s="122"/>
      <c r="H25" s="122"/>
      <c r="I25" s="122"/>
      <c r="J25" s="122"/>
      <c r="K25" s="122"/>
      <c r="L25" s="123"/>
      <c r="M25" s="517" t="s">
        <v>34</v>
      </c>
      <c r="O25" s="509">
        <v>1</v>
      </c>
      <c r="P25" s="163"/>
    </row>
    <row r="26" spans="1:16" s="500" customFormat="1" ht="20.100000000000001" customHeight="1" thickTop="1">
      <c r="A26" s="518"/>
      <c r="B26" s="519"/>
      <c r="C26" s="519"/>
      <c r="D26" s="72"/>
      <c r="E26" s="148"/>
      <c r="F26" s="73"/>
      <c r="G26" s="74"/>
      <c r="H26" s="74"/>
      <c r="I26" s="74"/>
      <c r="J26" s="74"/>
      <c r="K26" s="74"/>
      <c r="L26" s="74"/>
      <c r="M26" s="520"/>
      <c r="O26" s="509">
        <v>1</v>
      </c>
      <c r="P26" s="138"/>
    </row>
    <row r="27" spans="1:16" s="500" customFormat="1" ht="20.100000000000001" customHeight="1">
      <c r="A27" s="521" t="s">
        <v>12</v>
      </c>
      <c r="B27" s="522" t="s">
        <v>427</v>
      </c>
      <c r="C27" s="523"/>
      <c r="D27" s="87"/>
      <c r="E27" s="161"/>
      <c r="F27" s="88"/>
      <c r="G27" s="89"/>
      <c r="H27" s="89"/>
      <c r="I27" s="89"/>
      <c r="J27" s="89"/>
      <c r="K27" s="89"/>
      <c r="L27" s="90"/>
      <c r="M27" s="524"/>
      <c r="O27" s="509">
        <v>1</v>
      </c>
      <c r="P27" s="138"/>
    </row>
    <row r="28" spans="1:16" s="509" customFormat="1" ht="18.899999999999999" customHeight="1">
      <c r="A28" s="505" t="s">
        <v>75</v>
      </c>
      <c r="B28" s="511" t="s">
        <v>212</v>
      </c>
      <c r="C28" s="507" t="s">
        <v>55</v>
      </c>
      <c r="D28" s="112">
        <v>0</v>
      </c>
      <c r="E28" s="113">
        <v>0</v>
      </c>
      <c r="F28" s="114"/>
      <c r="G28" s="115">
        <v>14.805700000000002</v>
      </c>
      <c r="H28" s="114">
        <v>0</v>
      </c>
      <c r="I28" s="115">
        <f t="shared" ref="I28:I35" si="3">SUM(G28*H28)</f>
        <v>0</v>
      </c>
      <c r="J28" s="115">
        <v>125</v>
      </c>
      <c r="K28" s="115">
        <f t="shared" ref="K28:K33" si="4">SUM(G28*J28)</f>
        <v>1850.7125000000001</v>
      </c>
      <c r="L28" s="116">
        <f t="shared" ref="L28:L33" si="5">SUM(I28+K28)</f>
        <v>1850.7125000000001</v>
      </c>
      <c r="M28" s="508" t="s">
        <v>34</v>
      </c>
      <c r="O28" s="509">
        <v>1</v>
      </c>
      <c r="P28" s="163">
        <v>10</v>
      </c>
    </row>
    <row r="29" spans="1:16" s="509" customFormat="1" ht="18.899999999999999" customHeight="1">
      <c r="A29" s="505" t="s">
        <v>76</v>
      </c>
      <c r="B29" s="511" t="s">
        <v>78</v>
      </c>
      <c r="C29" s="507" t="s">
        <v>55</v>
      </c>
      <c r="D29" s="112">
        <v>0.3</v>
      </c>
      <c r="E29" s="113">
        <v>21.7</v>
      </c>
      <c r="F29" s="114"/>
      <c r="G29" s="115">
        <v>1.8083750000000003</v>
      </c>
      <c r="H29" s="114">
        <v>453.33</v>
      </c>
      <c r="I29" s="115">
        <f t="shared" si="3"/>
        <v>819.79063875000008</v>
      </c>
      <c r="J29" s="115">
        <v>91</v>
      </c>
      <c r="K29" s="115">
        <f t="shared" si="4"/>
        <v>164.56212500000004</v>
      </c>
      <c r="L29" s="116">
        <f t="shared" si="5"/>
        <v>984.35276375000012</v>
      </c>
      <c r="M29" s="508"/>
      <c r="O29" s="509">
        <v>1</v>
      </c>
      <c r="P29" s="163">
        <v>13</v>
      </c>
    </row>
    <row r="30" spans="1:16" s="509" customFormat="1" ht="18.899999999999999" customHeight="1">
      <c r="A30" s="505" t="s">
        <v>77</v>
      </c>
      <c r="B30" s="510" t="s">
        <v>428</v>
      </c>
      <c r="C30" s="507" t="s">
        <v>64</v>
      </c>
      <c r="D30" s="112">
        <v>0.15</v>
      </c>
      <c r="E30" s="113">
        <v>217</v>
      </c>
      <c r="F30" s="114"/>
      <c r="G30" s="115">
        <v>1.2017000000000002</v>
      </c>
      <c r="H30" s="114">
        <v>2034</v>
      </c>
      <c r="I30" s="115">
        <f t="shared" si="3"/>
        <v>2444.2578000000003</v>
      </c>
      <c r="J30" s="115">
        <v>398</v>
      </c>
      <c r="K30" s="115">
        <f t="shared" si="4"/>
        <v>478.27660000000009</v>
      </c>
      <c r="L30" s="116">
        <f t="shared" si="5"/>
        <v>2922.5344000000005</v>
      </c>
      <c r="M30" s="508"/>
      <c r="O30" s="509">
        <v>1</v>
      </c>
      <c r="P30" s="163">
        <v>40</v>
      </c>
    </row>
    <row r="31" spans="1:16" s="509" customFormat="1" ht="18.899999999999999" customHeight="1">
      <c r="A31" s="505" t="s">
        <v>79</v>
      </c>
      <c r="B31" s="511" t="s">
        <v>94</v>
      </c>
      <c r="C31" s="507" t="s">
        <v>55</v>
      </c>
      <c r="D31" s="112">
        <v>0.05</v>
      </c>
      <c r="E31" s="113">
        <v>46</v>
      </c>
      <c r="F31" s="114"/>
      <c r="G31" s="115">
        <v>32.025999999999996</v>
      </c>
      <c r="H31" s="114">
        <v>2259</v>
      </c>
      <c r="I31" s="115">
        <f t="shared" si="3"/>
        <v>72346.733999999997</v>
      </c>
      <c r="J31" s="115">
        <v>391</v>
      </c>
      <c r="K31" s="115">
        <f t="shared" si="4"/>
        <v>12522.165999999999</v>
      </c>
      <c r="L31" s="116">
        <f t="shared" si="5"/>
        <v>84868.9</v>
      </c>
      <c r="M31" s="508"/>
      <c r="O31" s="509">
        <v>1</v>
      </c>
      <c r="P31" s="163">
        <v>20</v>
      </c>
    </row>
    <row r="32" spans="1:16" s="509" customFormat="1" ht="18.899999999999999" customHeight="1">
      <c r="A32" s="505" t="s">
        <v>80</v>
      </c>
      <c r="B32" s="511" t="s">
        <v>429</v>
      </c>
      <c r="C32" s="507" t="s">
        <v>55</v>
      </c>
      <c r="D32" s="112"/>
      <c r="E32" s="113"/>
      <c r="F32" s="114"/>
      <c r="G32" s="115">
        <v>13.612500000000001</v>
      </c>
      <c r="H32" s="114">
        <v>2417</v>
      </c>
      <c r="I32" s="115">
        <f t="shared" si="3"/>
        <v>32901.412499999999</v>
      </c>
      <c r="J32" s="115">
        <v>391</v>
      </c>
      <c r="K32" s="115">
        <f t="shared" si="4"/>
        <v>5322.4875000000002</v>
      </c>
      <c r="L32" s="116">
        <f t="shared" si="5"/>
        <v>38223.9</v>
      </c>
      <c r="M32" s="508"/>
      <c r="P32" s="163"/>
    </row>
    <row r="33" spans="1:16" s="509" customFormat="1" ht="18.899999999999999" customHeight="1">
      <c r="A33" s="505" t="s">
        <v>81</v>
      </c>
      <c r="B33" s="511" t="s">
        <v>191</v>
      </c>
      <c r="C33" s="507" t="s">
        <v>64</v>
      </c>
      <c r="D33" s="112">
        <v>0</v>
      </c>
      <c r="E33" s="113">
        <v>197</v>
      </c>
      <c r="F33" s="114"/>
      <c r="G33" s="115">
        <v>415.76150000000007</v>
      </c>
      <c r="H33" s="114">
        <v>400</v>
      </c>
      <c r="I33" s="115">
        <f t="shared" si="3"/>
        <v>166304.60000000003</v>
      </c>
      <c r="J33" s="115">
        <v>0</v>
      </c>
      <c r="K33" s="115">
        <f t="shared" si="4"/>
        <v>0</v>
      </c>
      <c r="L33" s="116">
        <f t="shared" si="5"/>
        <v>166304.60000000003</v>
      </c>
      <c r="M33" s="508"/>
      <c r="O33" s="509">
        <v>1</v>
      </c>
      <c r="P33" s="163">
        <v>138.5</v>
      </c>
    </row>
    <row r="34" spans="1:16" s="509" customFormat="1" ht="18.899999999999999" customHeight="1">
      <c r="A34" s="505" t="s">
        <v>82</v>
      </c>
      <c r="B34" s="512" t="s">
        <v>425</v>
      </c>
      <c r="C34" s="507" t="s">
        <v>64</v>
      </c>
      <c r="D34" s="216"/>
      <c r="E34" s="217"/>
      <c r="F34" s="218"/>
      <c r="G34" s="219">
        <v>593.94500000000005</v>
      </c>
      <c r="H34" s="218">
        <v>0</v>
      </c>
      <c r="I34" s="219">
        <f t="shared" si="3"/>
        <v>0</v>
      </c>
      <c r="J34" s="115">
        <v>105</v>
      </c>
      <c r="K34" s="115">
        <f>SUM(G34*J34)</f>
        <v>62364.225000000006</v>
      </c>
      <c r="L34" s="116">
        <f>SUM(I34+K34)</f>
        <v>62364.225000000006</v>
      </c>
      <c r="M34" s="525"/>
      <c r="P34" s="163"/>
    </row>
    <row r="35" spans="1:16" s="509" customFormat="1" ht="18.899999999999999" customHeight="1">
      <c r="A35" s="526" t="s">
        <v>83</v>
      </c>
      <c r="B35" s="511" t="s">
        <v>426</v>
      </c>
      <c r="C35" s="507" t="s">
        <v>64</v>
      </c>
      <c r="D35" s="112">
        <v>0</v>
      </c>
      <c r="E35" s="113">
        <v>423</v>
      </c>
      <c r="F35" s="114"/>
      <c r="G35" s="115">
        <f>G33*0.3</f>
        <v>124.72845000000001</v>
      </c>
      <c r="H35" s="114">
        <v>400</v>
      </c>
      <c r="I35" s="115">
        <f t="shared" si="3"/>
        <v>49891.380000000005</v>
      </c>
      <c r="J35" s="115">
        <v>0</v>
      </c>
      <c r="K35" s="115">
        <f>SUM(G35*J35)</f>
        <v>0</v>
      </c>
      <c r="L35" s="116">
        <f>SUM(I35+K35)</f>
        <v>49891.380000000005</v>
      </c>
      <c r="M35" s="525"/>
      <c r="P35" s="163"/>
    </row>
    <row r="36" spans="1:16" s="509" customFormat="1" ht="18.899999999999999" customHeight="1">
      <c r="A36" s="526" t="s">
        <v>84</v>
      </c>
      <c r="B36" s="527" t="s">
        <v>66</v>
      </c>
      <c r="C36" s="528"/>
      <c r="D36" s="263"/>
      <c r="E36" s="131"/>
      <c r="F36" s="131"/>
      <c r="G36" s="132"/>
      <c r="H36" s="132"/>
      <c r="I36" s="132"/>
      <c r="J36" s="132"/>
      <c r="K36" s="132"/>
      <c r="L36" s="194"/>
      <c r="M36" s="529"/>
      <c r="O36" s="509">
        <v>1</v>
      </c>
      <c r="P36" s="163"/>
    </row>
    <row r="37" spans="1:16" s="509" customFormat="1" ht="18.899999999999999" customHeight="1">
      <c r="A37" s="530"/>
      <c r="B37" s="531" t="s">
        <v>67</v>
      </c>
      <c r="C37" s="532" t="s">
        <v>68</v>
      </c>
      <c r="D37" s="197">
        <v>0.09</v>
      </c>
      <c r="E37" s="198">
        <v>473</v>
      </c>
      <c r="F37" s="199"/>
      <c r="G37" s="115">
        <v>904.21587900000009</v>
      </c>
      <c r="H37" s="199">
        <v>18.37</v>
      </c>
      <c r="I37" s="200">
        <f>SUM(G37*H37)</f>
        <v>16610.445697230003</v>
      </c>
      <c r="J37" s="200">
        <v>4.0999999999999996</v>
      </c>
      <c r="K37" s="200">
        <f>SUM(G37*J37)</f>
        <v>3707.2851039000002</v>
      </c>
      <c r="L37" s="201">
        <f>SUM(I37+K37)</f>
        <v>20317.730801130005</v>
      </c>
      <c r="M37" s="533"/>
      <c r="O37" s="509">
        <v>1</v>
      </c>
      <c r="P37" s="163">
        <v>20</v>
      </c>
    </row>
    <row r="38" spans="1:16" s="509" customFormat="1" ht="18.899999999999999" customHeight="1">
      <c r="A38" s="513"/>
      <c r="B38" s="511" t="s">
        <v>69</v>
      </c>
      <c r="C38" s="507" t="s">
        <v>68</v>
      </c>
      <c r="D38" s="112">
        <v>0.1</v>
      </c>
      <c r="E38" s="113">
        <v>199</v>
      </c>
      <c r="F38" s="114"/>
      <c r="G38" s="115">
        <v>1817.4817020999999</v>
      </c>
      <c r="H38" s="114">
        <v>17.54</v>
      </c>
      <c r="I38" s="115">
        <f>SUM(G38*H38)</f>
        <v>31878.629054833997</v>
      </c>
      <c r="J38" s="115">
        <v>4.0999999999999996</v>
      </c>
      <c r="K38" s="115">
        <f>SUM(G38*J38)</f>
        <v>7451.674978609999</v>
      </c>
      <c r="L38" s="116">
        <f>SUM(I38+K38)</f>
        <v>39330.304033443994</v>
      </c>
      <c r="M38" s="508"/>
      <c r="O38" s="509">
        <v>1</v>
      </c>
      <c r="P38" s="163">
        <v>1098</v>
      </c>
    </row>
    <row r="39" spans="1:16" s="509" customFormat="1" ht="18.899999999999999" customHeight="1">
      <c r="A39" s="513"/>
      <c r="B39" s="511" t="s">
        <v>161</v>
      </c>
      <c r="C39" s="507" t="s">
        <v>68</v>
      </c>
      <c r="D39" s="112">
        <v>0.11</v>
      </c>
      <c r="E39" s="113">
        <v>257</v>
      </c>
      <c r="F39" s="114"/>
      <c r="G39" s="115">
        <v>3486.5349528000011</v>
      </c>
      <c r="H39" s="114">
        <v>17.100000000000001</v>
      </c>
      <c r="I39" s="115">
        <f>SUM(G39*H39)</f>
        <v>59619.747692880024</v>
      </c>
      <c r="J39" s="115">
        <v>3.3</v>
      </c>
      <c r="K39" s="115">
        <f>SUM(G39*J39)</f>
        <v>11505.565344240003</v>
      </c>
      <c r="L39" s="116">
        <f>SUM(I39+K39)</f>
        <v>71125.313037120024</v>
      </c>
      <c r="M39" s="508"/>
      <c r="O39" s="509">
        <v>1</v>
      </c>
      <c r="P39" s="163">
        <v>586</v>
      </c>
    </row>
    <row r="40" spans="1:16" s="509" customFormat="1" ht="18.899999999999999" customHeight="1">
      <c r="A40" s="505" t="s">
        <v>85</v>
      </c>
      <c r="B40" s="511" t="s">
        <v>71</v>
      </c>
      <c r="C40" s="507" t="s">
        <v>68</v>
      </c>
      <c r="D40" s="112">
        <v>0</v>
      </c>
      <c r="E40" s="114">
        <v>89</v>
      </c>
      <c r="F40" s="114"/>
      <c r="G40" s="115">
        <v>186.02338649700005</v>
      </c>
      <c r="H40" s="114">
        <v>21.11</v>
      </c>
      <c r="I40" s="115">
        <f>SUM(G40*H40)</f>
        <v>3926.9536889516708</v>
      </c>
      <c r="J40" s="115">
        <v>0</v>
      </c>
      <c r="K40" s="115">
        <f>SUM(G40*J40)</f>
        <v>0</v>
      </c>
      <c r="L40" s="116">
        <f>SUM(I40+K40)</f>
        <v>3926.9536889516708</v>
      </c>
      <c r="M40" s="508"/>
      <c r="O40" s="509">
        <v>1</v>
      </c>
      <c r="P40" s="163">
        <v>60</v>
      </c>
    </row>
    <row r="41" spans="1:16" s="509" customFormat="1" ht="18.899999999999999" customHeight="1">
      <c r="A41" s="505" t="s">
        <v>430</v>
      </c>
      <c r="B41" s="510" t="s">
        <v>73</v>
      </c>
      <c r="C41" s="507" t="s">
        <v>68</v>
      </c>
      <c r="D41" s="112">
        <v>0</v>
      </c>
      <c r="E41" s="114">
        <v>59</v>
      </c>
      <c r="F41" s="114"/>
      <c r="G41" s="115">
        <v>148.48625000000001</v>
      </c>
      <c r="H41" s="114">
        <v>23.7</v>
      </c>
      <c r="I41" s="115">
        <f>SUM(G41*H41)</f>
        <v>3519.1241250000003</v>
      </c>
      <c r="J41" s="115">
        <v>0</v>
      </c>
      <c r="K41" s="115">
        <f>SUM(G41*J41)</f>
        <v>0</v>
      </c>
      <c r="L41" s="116">
        <f>SUM(I41+K41)</f>
        <v>3519.1241250000003</v>
      </c>
      <c r="M41" s="508"/>
      <c r="O41" s="509">
        <v>1</v>
      </c>
      <c r="P41" s="163">
        <v>55</v>
      </c>
    </row>
    <row r="42" spans="1:16" s="509" customFormat="1" ht="18.899999999999999" customHeight="1">
      <c r="A42" s="505" t="s">
        <v>431</v>
      </c>
      <c r="B42" s="506" t="s">
        <v>158</v>
      </c>
      <c r="C42" s="507"/>
      <c r="D42" s="112"/>
      <c r="E42" s="113"/>
      <c r="F42" s="114"/>
      <c r="G42" s="115"/>
      <c r="H42" s="115"/>
      <c r="I42" s="115"/>
      <c r="J42" s="115"/>
      <c r="K42" s="115"/>
      <c r="L42" s="116"/>
      <c r="M42" s="508"/>
      <c r="O42" s="509">
        <v>1</v>
      </c>
      <c r="P42" s="163"/>
    </row>
    <row r="43" spans="1:16" s="509" customFormat="1" ht="35.1" customHeight="1">
      <c r="A43" s="513"/>
      <c r="B43" s="534" t="s">
        <v>186</v>
      </c>
      <c r="C43" s="507" t="s">
        <v>64</v>
      </c>
      <c r="D43" s="112">
        <v>0</v>
      </c>
      <c r="E43" s="113">
        <v>108</v>
      </c>
      <c r="F43" s="114"/>
      <c r="G43" s="115">
        <v>114.95</v>
      </c>
      <c r="H43" s="114">
        <v>220</v>
      </c>
      <c r="I43" s="115">
        <f>SUM(G43*H43)</f>
        <v>25289</v>
      </c>
      <c r="J43" s="115">
        <v>60</v>
      </c>
      <c r="K43" s="115">
        <f>SUM(G43*J43)</f>
        <v>6897</v>
      </c>
      <c r="L43" s="116">
        <f>SUM(I43+K43)</f>
        <v>32186</v>
      </c>
      <c r="M43" s="508"/>
      <c r="O43" s="509">
        <v>1</v>
      </c>
      <c r="P43" s="163">
        <v>40</v>
      </c>
    </row>
    <row r="44" spans="1:16" s="509" customFormat="1" ht="18.899999999999999" customHeight="1">
      <c r="A44" s="513"/>
      <c r="B44" s="535" t="s">
        <v>160</v>
      </c>
      <c r="C44" s="507" t="s">
        <v>55</v>
      </c>
      <c r="D44" s="112">
        <v>0.05</v>
      </c>
      <c r="E44" s="113">
        <f>+E43*0.05</f>
        <v>5.4</v>
      </c>
      <c r="F44" s="114"/>
      <c r="G44" s="115">
        <v>5.7475000000000005</v>
      </c>
      <c r="H44" s="114">
        <v>2259</v>
      </c>
      <c r="I44" s="115">
        <f>SUM(G44*H44)</f>
        <v>12983.602500000001</v>
      </c>
      <c r="J44" s="115">
        <v>391</v>
      </c>
      <c r="K44" s="115">
        <f>SUM(G44*J44)</f>
        <v>2247.2725</v>
      </c>
      <c r="L44" s="116">
        <f>SUM(I44+K44)</f>
        <v>15230.875</v>
      </c>
      <c r="M44" s="508"/>
      <c r="O44" s="509">
        <v>1</v>
      </c>
      <c r="P44" s="163">
        <v>2</v>
      </c>
    </row>
    <row r="45" spans="1:16" s="509" customFormat="1" ht="18.899999999999999" customHeight="1">
      <c r="A45" s="513"/>
      <c r="B45" s="511" t="s">
        <v>432</v>
      </c>
      <c r="C45" s="507" t="s">
        <v>68</v>
      </c>
      <c r="D45" s="112">
        <v>0.09</v>
      </c>
      <c r="E45" s="113">
        <v>473</v>
      </c>
      <c r="F45" s="114"/>
      <c r="G45" s="115">
        <v>321.53814000000006</v>
      </c>
      <c r="H45" s="114">
        <v>18.37</v>
      </c>
      <c r="I45" s="115">
        <f>SUM(G45*H45)</f>
        <v>5906.6556318000012</v>
      </c>
      <c r="J45" s="115">
        <v>4.0999999999999996</v>
      </c>
      <c r="K45" s="115">
        <f>SUM(G45*J45)</f>
        <v>1318.306374</v>
      </c>
      <c r="L45" s="116">
        <f>SUM(I45+K45)</f>
        <v>7224.962005800001</v>
      </c>
      <c r="M45" s="508"/>
      <c r="O45" s="509">
        <v>1</v>
      </c>
      <c r="P45" s="163">
        <v>105</v>
      </c>
    </row>
    <row r="46" spans="1:16" s="509" customFormat="1" ht="18.899999999999999" customHeight="1">
      <c r="A46" s="513"/>
      <c r="B46" s="534" t="s">
        <v>190</v>
      </c>
      <c r="C46" s="507" t="s">
        <v>68</v>
      </c>
      <c r="D46" s="112">
        <v>0.09</v>
      </c>
      <c r="E46" s="113">
        <v>0</v>
      </c>
      <c r="F46" s="114"/>
      <c r="G46" s="115">
        <v>24.550101400000003</v>
      </c>
      <c r="H46" s="114">
        <v>17.54</v>
      </c>
      <c r="I46" s="115">
        <f>SUM(G46*H46)</f>
        <v>430.608778556</v>
      </c>
      <c r="J46" s="115">
        <v>4.0999999999999996</v>
      </c>
      <c r="K46" s="115">
        <f>SUM(G46*J46)</f>
        <v>100.65541574</v>
      </c>
      <c r="L46" s="116">
        <f>SUM(I46+K46)</f>
        <v>531.26419429600003</v>
      </c>
      <c r="M46" s="508"/>
      <c r="O46" s="509">
        <v>1</v>
      </c>
      <c r="P46" s="163">
        <v>10</v>
      </c>
    </row>
    <row r="47" spans="1:16" s="509" customFormat="1" ht="18.899999999999999" customHeight="1">
      <c r="A47" s="505" t="s">
        <v>433</v>
      </c>
      <c r="B47" s="510" t="s">
        <v>86</v>
      </c>
      <c r="C47" s="507" t="s">
        <v>64</v>
      </c>
      <c r="D47" s="112">
        <v>0</v>
      </c>
      <c r="E47" s="113">
        <v>310</v>
      </c>
      <c r="F47" s="114"/>
      <c r="G47" s="115">
        <v>165</v>
      </c>
      <c r="H47" s="114">
        <v>120</v>
      </c>
      <c r="I47" s="115">
        <f>SUM(G47*H47)</f>
        <v>19800</v>
      </c>
      <c r="J47" s="115">
        <v>0</v>
      </c>
      <c r="K47" s="115">
        <f>SUM(G47*J47)</f>
        <v>0</v>
      </c>
      <c r="L47" s="116">
        <f>SUM(I47+K47)</f>
        <v>19800</v>
      </c>
      <c r="M47" s="508"/>
      <c r="O47" s="509">
        <v>1</v>
      </c>
      <c r="P47" s="163">
        <v>112</v>
      </c>
    </row>
    <row r="48" spans="1:16" s="509" customFormat="1" ht="18.899999999999999" customHeight="1" thickBot="1">
      <c r="A48" s="514"/>
      <c r="B48" s="536"/>
      <c r="C48" s="516"/>
      <c r="D48" s="119"/>
      <c r="E48" s="120"/>
      <c r="F48" s="121"/>
      <c r="G48" s="122"/>
      <c r="H48" s="122"/>
      <c r="I48" s="122"/>
      <c r="J48" s="122"/>
      <c r="K48" s="122"/>
      <c r="L48" s="123"/>
      <c r="M48" s="517"/>
      <c r="O48" s="509">
        <v>1</v>
      </c>
      <c r="P48" s="163"/>
    </row>
    <row r="49" spans="1:16" s="509" customFormat="1" ht="20.100000000000001" customHeight="1" thickTop="1" thickBot="1">
      <c r="A49" s="514"/>
      <c r="B49" s="536"/>
      <c r="C49" s="516"/>
      <c r="D49" s="119"/>
      <c r="E49" s="120"/>
      <c r="F49" s="121"/>
      <c r="G49" s="122"/>
      <c r="H49" s="122"/>
      <c r="I49" s="122"/>
      <c r="J49" s="122"/>
      <c r="K49" s="122"/>
      <c r="L49" s="123"/>
      <c r="M49" s="517"/>
      <c r="O49" s="509">
        <v>1</v>
      </c>
      <c r="P49" s="163"/>
    </row>
    <row r="50" spans="1:16" s="500" customFormat="1" ht="18.899999999999999" customHeight="1" thickTop="1">
      <c r="A50" s="518" t="s">
        <v>13</v>
      </c>
      <c r="B50" s="537" t="s">
        <v>192</v>
      </c>
      <c r="C50" s="519"/>
      <c r="D50" s="72"/>
      <c r="E50" s="148"/>
      <c r="F50" s="73"/>
      <c r="G50" s="74"/>
      <c r="H50" s="74"/>
      <c r="I50" s="74"/>
      <c r="J50" s="74"/>
      <c r="K50" s="74"/>
      <c r="L50" s="75"/>
      <c r="M50" s="520"/>
      <c r="O50" s="509">
        <v>1</v>
      </c>
      <c r="P50" s="138"/>
    </row>
    <row r="51" spans="1:16" s="509" customFormat="1" ht="18.899999999999999" customHeight="1">
      <c r="A51" s="505" t="s">
        <v>87</v>
      </c>
      <c r="B51" s="511" t="s">
        <v>94</v>
      </c>
      <c r="C51" s="507" t="s">
        <v>55</v>
      </c>
      <c r="D51" s="112">
        <v>0.05</v>
      </c>
      <c r="E51" s="113">
        <v>9.73</v>
      </c>
      <c r="F51" s="114"/>
      <c r="G51" s="115">
        <v>4.2240000000000002</v>
      </c>
      <c r="H51" s="114">
        <v>2259</v>
      </c>
      <c r="I51" s="115">
        <f>SUM(G51*H51)</f>
        <v>9542.0159999999996</v>
      </c>
      <c r="J51" s="115">
        <v>391</v>
      </c>
      <c r="K51" s="115">
        <f>SUM(G51*J51)</f>
        <v>1651.5840000000001</v>
      </c>
      <c r="L51" s="116">
        <f>SUM(I51+K51)</f>
        <v>11193.6</v>
      </c>
      <c r="M51" s="508"/>
      <c r="O51" s="509">
        <v>1</v>
      </c>
      <c r="P51" s="163">
        <v>10</v>
      </c>
    </row>
    <row r="52" spans="1:16" s="509" customFormat="1" ht="18.899999999999999" customHeight="1">
      <c r="A52" s="505" t="s">
        <v>88</v>
      </c>
      <c r="B52" s="511" t="s">
        <v>191</v>
      </c>
      <c r="C52" s="507" t="s">
        <v>64</v>
      </c>
      <c r="D52" s="112">
        <v>0</v>
      </c>
      <c r="E52" s="113">
        <v>197</v>
      </c>
      <c r="F52" s="114"/>
      <c r="G52" s="115">
        <v>36.959999999999994</v>
      </c>
      <c r="H52" s="114">
        <v>400</v>
      </c>
      <c r="I52" s="115">
        <f>SUM(G52*H52)</f>
        <v>14783.999999999998</v>
      </c>
      <c r="J52" s="115">
        <v>0</v>
      </c>
      <c r="K52" s="115">
        <f>SUM(G52*J52)</f>
        <v>0</v>
      </c>
      <c r="L52" s="116">
        <f>SUM(I52+K52)</f>
        <v>14783.999999999998</v>
      </c>
      <c r="M52" s="508"/>
      <c r="O52" s="509">
        <v>1</v>
      </c>
      <c r="P52" s="163">
        <v>91.5</v>
      </c>
    </row>
    <row r="53" spans="1:16" s="509" customFormat="1" ht="18.899999999999999" customHeight="1">
      <c r="A53" s="505" t="s">
        <v>89</v>
      </c>
      <c r="B53" s="512" t="s">
        <v>425</v>
      </c>
      <c r="C53" s="507" t="s">
        <v>64</v>
      </c>
      <c r="D53" s="216"/>
      <c r="E53" s="217"/>
      <c r="F53" s="218"/>
      <c r="G53" s="219">
        <v>52.8</v>
      </c>
      <c r="H53" s="218">
        <v>0</v>
      </c>
      <c r="I53" s="219">
        <f>SUM(G53*H53)</f>
        <v>0</v>
      </c>
      <c r="J53" s="115">
        <v>105</v>
      </c>
      <c r="K53" s="115">
        <f>SUM(G53*J53)</f>
        <v>5544</v>
      </c>
      <c r="L53" s="116">
        <f>SUM(I53+K53)</f>
        <v>5544</v>
      </c>
      <c r="M53" s="508"/>
      <c r="P53" s="163"/>
    </row>
    <row r="54" spans="1:16" s="509" customFormat="1" ht="18.899999999999999" customHeight="1">
      <c r="A54" s="505" t="s">
        <v>90</v>
      </c>
      <c r="B54" s="511" t="s">
        <v>426</v>
      </c>
      <c r="C54" s="507" t="s">
        <v>64</v>
      </c>
      <c r="D54" s="112">
        <v>0</v>
      </c>
      <c r="E54" s="113">
        <v>423</v>
      </c>
      <c r="F54" s="114"/>
      <c r="G54" s="115">
        <f>G52*0.3</f>
        <v>11.087999999999997</v>
      </c>
      <c r="H54" s="114">
        <v>400</v>
      </c>
      <c r="I54" s="115">
        <f>SUM(G54*H54)</f>
        <v>4435.1999999999989</v>
      </c>
      <c r="J54" s="115">
        <v>0</v>
      </c>
      <c r="K54" s="115">
        <f>SUM(G54*J54)</f>
        <v>0</v>
      </c>
      <c r="L54" s="116">
        <f>SUM(I54+K54)</f>
        <v>4435.1999999999989</v>
      </c>
      <c r="M54" s="508"/>
      <c r="P54" s="163"/>
    </row>
    <row r="55" spans="1:16" s="509" customFormat="1" ht="18.899999999999999" customHeight="1">
      <c r="A55" s="505" t="s">
        <v>91</v>
      </c>
      <c r="B55" s="511" t="s">
        <v>66</v>
      </c>
      <c r="C55" s="507"/>
      <c r="D55" s="192"/>
      <c r="E55" s="114"/>
      <c r="F55" s="114"/>
      <c r="G55" s="115"/>
      <c r="H55" s="115"/>
      <c r="I55" s="115"/>
      <c r="J55" s="115"/>
      <c r="K55" s="115"/>
      <c r="L55" s="116"/>
      <c r="M55" s="508"/>
      <c r="O55" s="509">
        <v>1</v>
      </c>
      <c r="P55" s="163"/>
    </row>
    <row r="56" spans="1:16" s="509" customFormat="1" ht="18.899999999999999" customHeight="1">
      <c r="A56" s="513"/>
      <c r="B56" s="511" t="s">
        <v>67</v>
      </c>
      <c r="C56" s="507" t="s">
        <v>68</v>
      </c>
      <c r="D56" s="112">
        <v>0.09</v>
      </c>
      <c r="E56" s="113">
        <v>494.03899999999999</v>
      </c>
      <c r="F56" s="114"/>
      <c r="G56" s="115">
        <v>88.615296000000001</v>
      </c>
      <c r="H56" s="114">
        <v>18.37</v>
      </c>
      <c r="I56" s="115">
        <f>SUM(G56*H56)</f>
        <v>1627.8629875200002</v>
      </c>
      <c r="J56" s="115">
        <v>4.0999999999999996</v>
      </c>
      <c r="K56" s="115">
        <f>SUM(G56*J56)</f>
        <v>363.32271359999999</v>
      </c>
      <c r="L56" s="116">
        <f>SUM(I56+K56)</f>
        <v>1991.1857011200002</v>
      </c>
      <c r="M56" s="508"/>
      <c r="O56" s="509">
        <v>1</v>
      </c>
      <c r="P56" s="163">
        <v>20</v>
      </c>
    </row>
    <row r="57" spans="1:16" s="509" customFormat="1" ht="18.899999999999999" customHeight="1">
      <c r="A57" s="513"/>
      <c r="B57" s="511" t="s">
        <v>161</v>
      </c>
      <c r="C57" s="507" t="s">
        <v>68</v>
      </c>
      <c r="D57" s="112">
        <v>0.11</v>
      </c>
      <c r="E57" s="113">
        <v>1092.24</v>
      </c>
      <c r="F57" s="114"/>
      <c r="G57" s="115">
        <v>306.63705600000003</v>
      </c>
      <c r="H57" s="114">
        <v>17.100000000000001</v>
      </c>
      <c r="I57" s="115">
        <f>SUM(G57*H57)</f>
        <v>5243.4936576000009</v>
      </c>
      <c r="J57" s="115">
        <v>3.3</v>
      </c>
      <c r="K57" s="115">
        <f>SUM(G57*J57)</f>
        <v>1011.9022848000001</v>
      </c>
      <c r="L57" s="116">
        <f>SUM(I57+K57)</f>
        <v>6255.3959424000013</v>
      </c>
      <c r="M57" s="508"/>
      <c r="O57" s="509">
        <v>1</v>
      </c>
      <c r="P57" s="163">
        <v>373</v>
      </c>
    </row>
    <row r="58" spans="1:16" s="509" customFormat="1" ht="18.899999999999999" customHeight="1">
      <c r="A58" s="505" t="s">
        <v>92</v>
      </c>
      <c r="B58" s="511" t="s">
        <v>71</v>
      </c>
      <c r="C58" s="507" t="s">
        <v>68</v>
      </c>
      <c r="D58" s="112">
        <v>0</v>
      </c>
      <c r="E58" s="114">
        <v>54.274999999999999</v>
      </c>
      <c r="F58" s="114"/>
      <c r="G58" s="115">
        <v>11.857570560000001</v>
      </c>
      <c r="H58" s="114">
        <v>21.1</v>
      </c>
      <c r="I58" s="115">
        <f>SUM(G58*H58)</f>
        <v>250.19473881600004</v>
      </c>
      <c r="J58" s="115">
        <v>0</v>
      </c>
      <c r="K58" s="115">
        <f>SUM(G58*J58)</f>
        <v>0</v>
      </c>
      <c r="L58" s="116">
        <f>SUM(I58+K58)</f>
        <v>250.19473881600004</v>
      </c>
      <c r="M58" s="508" t="s">
        <v>34</v>
      </c>
      <c r="O58" s="509">
        <v>1</v>
      </c>
      <c r="P58" s="163">
        <v>27</v>
      </c>
    </row>
    <row r="59" spans="1:16" s="509" customFormat="1" ht="18.899999999999999" customHeight="1">
      <c r="A59" s="505" t="s">
        <v>256</v>
      </c>
      <c r="B59" s="510" t="s">
        <v>73</v>
      </c>
      <c r="C59" s="507" t="s">
        <v>68</v>
      </c>
      <c r="D59" s="112">
        <v>0</v>
      </c>
      <c r="E59" s="114">
        <v>64.596000000000004</v>
      </c>
      <c r="F59" s="114"/>
      <c r="G59" s="115">
        <v>13.2</v>
      </c>
      <c r="H59" s="114">
        <v>23.7</v>
      </c>
      <c r="I59" s="115">
        <f>SUM(G59*H59)</f>
        <v>312.83999999999997</v>
      </c>
      <c r="J59" s="115">
        <v>0</v>
      </c>
      <c r="K59" s="115">
        <f>SUM(G59*J59)</f>
        <v>0</v>
      </c>
      <c r="L59" s="116">
        <f>SUM(I59+K59)</f>
        <v>312.83999999999997</v>
      </c>
      <c r="M59" s="508" t="s">
        <v>34</v>
      </c>
      <c r="O59" s="509">
        <v>1</v>
      </c>
      <c r="P59" s="163">
        <v>37</v>
      </c>
    </row>
    <row r="60" spans="1:16" s="500" customFormat="1" ht="9.9" customHeight="1">
      <c r="A60" s="505"/>
      <c r="B60" s="538"/>
      <c r="C60" s="503"/>
      <c r="D60" s="157"/>
      <c r="E60" s="158"/>
      <c r="F60" s="159"/>
      <c r="G60" s="130"/>
      <c r="H60" s="130"/>
      <c r="I60" s="130"/>
      <c r="J60" s="130"/>
      <c r="K60" s="130"/>
      <c r="L60" s="160"/>
      <c r="M60" s="539" t="s">
        <v>34</v>
      </c>
      <c r="O60" s="509">
        <v>1</v>
      </c>
      <c r="P60" s="138"/>
    </row>
    <row r="61" spans="1:16" s="509" customFormat="1" ht="18.899999999999999" customHeight="1">
      <c r="A61" s="505" t="s">
        <v>257</v>
      </c>
      <c r="B61" s="540" t="s">
        <v>159</v>
      </c>
      <c r="C61" s="507"/>
      <c r="D61" s="112"/>
      <c r="E61" s="114"/>
      <c r="F61" s="114"/>
      <c r="G61" s="115"/>
      <c r="H61" s="115"/>
      <c r="I61" s="115"/>
      <c r="J61" s="115"/>
      <c r="K61" s="115"/>
      <c r="L61" s="116"/>
      <c r="M61" s="508"/>
      <c r="O61" s="509">
        <v>1</v>
      </c>
      <c r="P61" s="163"/>
    </row>
    <row r="62" spans="1:16" s="509" customFormat="1" ht="18.899999999999999" customHeight="1">
      <c r="A62" s="505"/>
      <c r="B62" s="541" t="s">
        <v>434</v>
      </c>
      <c r="C62" s="507" t="s">
        <v>68</v>
      </c>
      <c r="D62" s="112"/>
      <c r="E62" s="113"/>
      <c r="F62" s="114"/>
      <c r="G62" s="115">
        <v>258.94399999999996</v>
      </c>
      <c r="H62" s="114">
        <v>18.100000000000001</v>
      </c>
      <c r="I62" s="115">
        <f t="shared" ref="I62:I69" si="6">SUM(G62*H62)</f>
        <v>4686.8863999999994</v>
      </c>
      <c r="J62" s="115">
        <v>14</v>
      </c>
      <c r="K62" s="115">
        <f t="shared" ref="K62:K69" si="7">G62*J62</f>
        <v>3625.2159999999994</v>
      </c>
      <c r="L62" s="116">
        <f t="shared" ref="L62:L69" si="8">SUM(I62+K62)</f>
        <v>8312.1023999999998</v>
      </c>
      <c r="M62" s="508"/>
      <c r="P62" s="163"/>
    </row>
    <row r="63" spans="1:16" s="509" customFormat="1" ht="18.899999999999999" customHeight="1">
      <c r="A63" s="505"/>
      <c r="B63" s="541" t="s">
        <v>435</v>
      </c>
      <c r="C63" s="507" t="s">
        <v>68</v>
      </c>
      <c r="D63" s="112"/>
      <c r="E63" s="113"/>
      <c r="F63" s="114"/>
      <c r="G63" s="115">
        <v>59.975999999999999</v>
      </c>
      <c r="H63" s="114">
        <v>18.100000000000001</v>
      </c>
      <c r="I63" s="115">
        <f>SUM(G63*H63)</f>
        <v>1085.5656000000001</v>
      </c>
      <c r="J63" s="115">
        <v>14</v>
      </c>
      <c r="K63" s="115">
        <f>G63*J63</f>
        <v>839.66399999999999</v>
      </c>
      <c r="L63" s="116">
        <f>SUM(I63+K63)</f>
        <v>1925.2296000000001</v>
      </c>
      <c r="M63" s="508"/>
      <c r="P63" s="163"/>
    </row>
    <row r="64" spans="1:16" s="509" customFormat="1" ht="18.899999999999999" customHeight="1">
      <c r="A64" s="505"/>
      <c r="B64" s="541" t="s">
        <v>436</v>
      </c>
      <c r="C64" s="507" t="s">
        <v>68</v>
      </c>
      <c r="D64" s="112"/>
      <c r="E64" s="113"/>
      <c r="F64" s="114"/>
      <c r="G64" s="115">
        <v>401.43599999999998</v>
      </c>
      <c r="H64" s="114">
        <v>18.100000000000001</v>
      </c>
      <c r="I64" s="115">
        <f t="shared" si="6"/>
        <v>7265.9916000000003</v>
      </c>
      <c r="J64" s="115">
        <v>14</v>
      </c>
      <c r="K64" s="115">
        <f t="shared" si="7"/>
        <v>5620.1039999999994</v>
      </c>
      <c r="L64" s="116">
        <f t="shared" si="8"/>
        <v>12886.095600000001</v>
      </c>
      <c r="M64" s="508"/>
      <c r="P64" s="163"/>
    </row>
    <row r="65" spans="1:16" s="509" customFormat="1" ht="18.899999999999999" customHeight="1">
      <c r="A65" s="505"/>
      <c r="B65" s="511" t="s">
        <v>437</v>
      </c>
      <c r="C65" s="507" t="s">
        <v>68</v>
      </c>
      <c r="D65" s="112">
        <v>7.0000000000000007E-2</v>
      </c>
      <c r="E65" s="113">
        <f>88.55*9.72</f>
        <v>860.70600000000002</v>
      </c>
      <c r="F65" s="114"/>
      <c r="G65" s="115">
        <v>1715.6975</v>
      </c>
      <c r="H65" s="114">
        <v>18.100000000000001</v>
      </c>
      <c r="I65" s="115">
        <f t="shared" si="6"/>
        <v>31054.124750000003</v>
      </c>
      <c r="J65" s="115">
        <v>14</v>
      </c>
      <c r="K65" s="115">
        <f t="shared" si="7"/>
        <v>24019.764999999999</v>
      </c>
      <c r="L65" s="116">
        <f t="shared" si="8"/>
        <v>55073.889750000002</v>
      </c>
      <c r="M65" s="508"/>
      <c r="O65" s="509">
        <v>1</v>
      </c>
      <c r="P65" s="163">
        <v>146.19999999999999</v>
      </c>
    </row>
    <row r="66" spans="1:16" s="509" customFormat="1" ht="18.899999999999999" customHeight="1">
      <c r="A66" s="505"/>
      <c r="B66" s="511" t="s">
        <v>438</v>
      </c>
      <c r="C66" s="507" t="s">
        <v>68</v>
      </c>
      <c r="D66" s="112">
        <v>7.0000000000000007E-2</v>
      </c>
      <c r="E66" s="113">
        <f>88.55*9.72</f>
        <v>860.70600000000002</v>
      </c>
      <c r="F66" s="114"/>
      <c r="G66" s="115">
        <v>724.85599999999999</v>
      </c>
      <c r="H66" s="114">
        <v>18.100000000000001</v>
      </c>
      <c r="I66" s="115">
        <f t="shared" si="6"/>
        <v>13119.893600000001</v>
      </c>
      <c r="J66" s="115">
        <v>14</v>
      </c>
      <c r="K66" s="115">
        <f t="shared" si="7"/>
        <v>10147.984</v>
      </c>
      <c r="L66" s="116">
        <f t="shared" si="8"/>
        <v>23267.8776</v>
      </c>
      <c r="M66" s="508"/>
      <c r="O66" s="509">
        <v>1</v>
      </c>
      <c r="P66" s="163">
        <v>441.4</v>
      </c>
    </row>
    <row r="67" spans="1:16" s="509" customFormat="1" ht="18.899999999999999" customHeight="1">
      <c r="A67" s="505"/>
      <c r="B67" s="542" t="s">
        <v>439</v>
      </c>
      <c r="C67" s="507" t="s">
        <v>68</v>
      </c>
      <c r="D67" s="112">
        <v>7.0000000000000007E-2</v>
      </c>
      <c r="E67" s="113">
        <v>8</v>
      </c>
      <c r="F67" s="114"/>
      <c r="G67" s="115">
        <v>542.15200000000004</v>
      </c>
      <c r="H67" s="114">
        <v>18.100000000000001</v>
      </c>
      <c r="I67" s="115">
        <f>SUM(G67*H67)</f>
        <v>9812.9512000000013</v>
      </c>
      <c r="J67" s="115">
        <v>14</v>
      </c>
      <c r="K67" s="115">
        <f>G67*J67</f>
        <v>7590.1280000000006</v>
      </c>
      <c r="L67" s="116">
        <f>SUM(I67+K67)</f>
        <v>17403.0792</v>
      </c>
      <c r="M67" s="508"/>
      <c r="O67" s="509">
        <v>1</v>
      </c>
      <c r="P67" s="163">
        <v>105</v>
      </c>
    </row>
    <row r="68" spans="1:16" s="509" customFormat="1" ht="18.899999999999999" customHeight="1">
      <c r="A68" s="505"/>
      <c r="B68" s="542" t="s">
        <v>440</v>
      </c>
      <c r="C68" s="507" t="s">
        <v>64</v>
      </c>
      <c r="D68" s="112">
        <v>7.0000000000000007E-2</v>
      </c>
      <c r="E68" s="113">
        <v>30</v>
      </c>
      <c r="F68" s="114"/>
      <c r="G68" s="115">
        <v>19.429244999999998</v>
      </c>
      <c r="H68" s="114">
        <v>26.69</v>
      </c>
      <c r="I68" s="115">
        <f>SUM(G68*H68)</f>
        <v>518.56654904999994</v>
      </c>
      <c r="J68" s="115">
        <v>9.35</v>
      </c>
      <c r="K68" s="115">
        <f>G68*J68</f>
        <v>181.66344074999998</v>
      </c>
      <c r="L68" s="116">
        <f>SUM(I68+K68)</f>
        <v>700.22998979999988</v>
      </c>
      <c r="M68" s="508"/>
      <c r="O68" s="509">
        <v>1</v>
      </c>
      <c r="P68" s="163">
        <v>125</v>
      </c>
    </row>
    <row r="69" spans="1:16" s="509" customFormat="1" ht="18.899999999999999" customHeight="1">
      <c r="A69" s="543"/>
      <c r="B69" s="542" t="s">
        <v>441</v>
      </c>
      <c r="C69" s="507" t="s">
        <v>64</v>
      </c>
      <c r="D69" s="112">
        <v>7.0000000000000007E-2</v>
      </c>
      <c r="E69" s="113">
        <v>30</v>
      </c>
      <c r="F69" s="114"/>
      <c r="G69" s="115">
        <v>164.79130000000004</v>
      </c>
      <c r="H69" s="114">
        <v>56</v>
      </c>
      <c r="I69" s="115">
        <f t="shared" si="6"/>
        <v>9228.3128000000015</v>
      </c>
      <c r="J69" s="115">
        <v>35</v>
      </c>
      <c r="K69" s="115">
        <f t="shared" si="7"/>
        <v>5767.6955000000016</v>
      </c>
      <c r="L69" s="116">
        <f t="shared" si="8"/>
        <v>14996.008300000003</v>
      </c>
      <c r="M69" s="525"/>
      <c r="P69" s="163"/>
    </row>
    <row r="70" spans="1:16" s="509" customFormat="1" ht="18.899999999999999" customHeight="1" thickBot="1">
      <c r="A70" s="514"/>
      <c r="B70" s="536"/>
      <c r="C70" s="516"/>
      <c r="D70" s="119"/>
      <c r="E70" s="120"/>
      <c r="F70" s="121"/>
      <c r="G70" s="122"/>
      <c r="H70" s="122"/>
      <c r="I70" s="122"/>
      <c r="J70" s="122"/>
      <c r="K70" s="122"/>
      <c r="L70" s="123"/>
      <c r="M70" s="517"/>
      <c r="P70" s="163"/>
    </row>
    <row r="71" spans="1:16" s="500" customFormat="1" ht="20.100000000000001" customHeight="1" thickTop="1" thickBot="1">
      <c r="A71" s="544"/>
      <c r="B71" s="545" t="s">
        <v>93</v>
      </c>
      <c r="C71" s="545"/>
      <c r="D71" s="37"/>
      <c r="E71" s="38"/>
      <c r="F71" s="39"/>
      <c r="G71" s="40"/>
      <c r="H71" s="40"/>
      <c r="I71" s="40">
        <f>SUM(I10:I70)/2</f>
        <v>395340.16267446009</v>
      </c>
      <c r="J71" s="40"/>
      <c r="K71" s="40">
        <f>SUM(K10:K70)/2</f>
        <v>117107.76431672</v>
      </c>
      <c r="L71" s="40">
        <f>SUM(L8:L70)</f>
        <v>1024895.8539823603</v>
      </c>
      <c r="M71" s="546"/>
    </row>
    <row r="72" spans="1:16" s="477" customFormat="1" ht="18" customHeight="1">
      <c r="D72" s="15"/>
      <c r="E72" s="16"/>
      <c r="F72" s="17"/>
      <c r="G72" s="18"/>
      <c r="H72" s="18"/>
      <c r="I72" s="18"/>
      <c r="J72" s="18"/>
      <c r="K72" s="18"/>
      <c r="L72" s="18"/>
    </row>
    <row r="73" spans="1:16" s="477" customFormat="1" ht="20.100000000000001" customHeight="1">
      <c r="B73" s="547"/>
      <c r="C73" s="19"/>
      <c r="D73" s="15"/>
      <c r="E73" s="20"/>
      <c r="F73" s="21"/>
      <c r="G73" s="18"/>
      <c r="H73" s="18"/>
      <c r="I73" s="18"/>
      <c r="J73" s="18"/>
      <c r="K73" s="18"/>
      <c r="L73" s="18"/>
    </row>
    <row r="74" spans="1:16" s="477" customFormat="1" ht="20.100000000000001" customHeight="1">
      <c r="B74" s="547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477" customFormat="1" ht="20.100000000000001" customHeight="1">
      <c r="B75" s="547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477" customFormat="1" ht="20.100000000000001" customHeight="1">
      <c r="B76" s="547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477" customFormat="1" ht="20.100000000000001" customHeight="1">
      <c r="B77" s="547"/>
      <c r="C77" s="22"/>
      <c r="D77" s="23"/>
      <c r="E77" s="16"/>
      <c r="F77" s="16"/>
      <c r="G77" s="18"/>
      <c r="H77" s="18"/>
      <c r="I77" s="18"/>
      <c r="J77" s="18"/>
      <c r="K77" s="18"/>
      <c r="L77" s="18"/>
    </row>
    <row r="78" spans="1:16" s="477" customFormat="1" ht="20.100000000000001" customHeight="1">
      <c r="B78" s="547"/>
      <c r="C78" s="22"/>
      <c r="D78" s="23"/>
      <c r="E78" s="16"/>
      <c r="F78" s="17"/>
      <c r="G78" s="18"/>
      <c r="H78" s="18"/>
      <c r="I78" s="18"/>
      <c r="J78" s="18"/>
      <c r="K78" s="18"/>
      <c r="L78" s="18"/>
    </row>
    <row r="79" spans="1:16" s="477" customFormat="1" ht="20.100000000000001" customHeight="1">
      <c r="B79" s="547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477" customFormat="1" ht="20.100000000000001" customHeight="1">
      <c r="B80" s="547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477" customFormat="1" ht="20.100000000000001" customHeight="1">
      <c r="B81" s="547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477" customFormat="1" ht="20.100000000000001" customHeight="1">
      <c r="B82" s="547"/>
      <c r="C82" s="22"/>
      <c r="D82" s="24"/>
      <c r="E82" s="16"/>
      <c r="F82" s="16"/>
      <c r="G82" s="18"/>
      <c r="H82" s="18"/>
      <c r="I82" s="18"/>
      <c r="J82" s="18"/>
      <c r="K82" s="18"/>
      <c r="L82" s="18"/>
    </row>
    <row r="83" spans="2:12" s="477" customFormat="1" ht="20.100000000000001" customHeight="1">
      <c r="B83" s="547"/>
      <c r="C83" s="548"/>
      <c r="D83" s="15"/>
      <c r="E83" s="16"/>
      <c r="F83" s="17"/>
      <c r="G83" s="18"/>
      <c r="H83" s="18"/>
      <c r="I83" s="18"/>
      <c r="J83" s="18"/>
      <c r="K83" s="18"/>
      <c r="L83" s="18"/>
    </row>
    <row r="384" spans="2:7">
      <c r="B384" s="549">
        <v>676.7</v>
      </c>
      <c r="G384" s="549" t="s">
        <v>187</v>
      </c>
    </row>
    <row r="386" spans="2:2">
      <c r="B386" s="549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Q177"/>
  <sheetViews>
    <sheetView view="pageBreakPreview" topLeftCell="A127" zoomScale="80" zoomScaleNormal="75" workbookViewId="0">
      <selection activeCell="L144" sqref="L144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7.44140625" style="5" customWidth="1"/>
    <col min="16" max="16" width="7.5546875" style="5" customWidth="1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397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398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56" t="s">
        <v>243</v>
      </c>
      <c r="K4" s="456"/>
      <c r="L4" s="456"/>
      <c r="M4" s="457"/>
    </row>
    <row r="5" spans="1:13" s="1" customFormat="1" ht="20.100000000000001" customHeight="1" thickBot="1">
      <c r="A5" s="133" t="s">
        <v>418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68" t="s">
        <v>3</v>
      </c>
      <c r="B6" s="470" t="s">
        <v>4</v>
      </c>
      <c r="C6" s="470" t="s">
        <v>38</v>
      </c>
      <c r="D6" s="30" t="s">
        <v>47</v>
      </c>
      <c r="E6" s="404" t="s">
        <v>39</v>
      </c>
      <c r="F6" s="404" t="s">
        <v>39</v>
      </c>
      <c r="G6" s="472" t="s">
        <v>39</v>
      </c>
      <c r="H6" s="464" t="s">
        <v>40</v>
      </c>
      <c r="I6" s="465"/>
      <c r="J6" s="466" t="s">
        <v>41</v>
      </c>
      <c r="K6" s="467"/>
      <c r="L6" s="31" t="s">
        <v>6</v>
      </c>
      <c r="M6" s="462" t="s">
        <v>42</v>
      </c>
    </row>
    <row r="7" spans="1:13" s="25" customFormat="1" ht="20.100000000000001" customHeight="1" thickBot="1">
      <c r="A7" s="469"/>
      <c r="B7" s="471"/>
      <c r="C7" s="471"/>
      <c r="D7" s="32" t="s">
        <v>48</v>
      </c>
      <c r="E7" s="405"/>
      <c r="F7" s="405"/>
      <c r="G7" s="473"/>
      <c r="H7" s="408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63"/>
    </row>
    <row r="8" spans="1:13" s="1" customFormat="1" ht="20.100000000000001" customHeight="1">
      <c r="A8" s="164" t="s">
        <v>95</v>
      </c>
      <c r="B8" s="165" t="s">
        <v>163</v>
      </c>
      <c r="C8" s="166"/>
      <c r="D8" s="167"/>
      <c r="E8" s="168"/>
      <c r="F8" s="169"/>
      <c r="G8" s="169"/>
      <c r="H8" s="380"/>
      <c r="I8" s="170"/>
      <c r="J8" s="170"/>
      <c r="K8" s="170"/>
      <c r="L8" s="171"/>
      <c r="M8" s="172"/>
    </row>
    <row r="9" spans="1:13" s="1" customFormat="1" ht="20.100000000000001" customHeight="1">
      <c r="A9" s="84" t="s">
        <v>16</v>
      </c>
      <c r="B9" s="85" t="s">
        <v>96</v>
      </c>
      <c r="C9" s="86"/>
      <c r="D9" s="87"/>
      <c r="E9" s="88" t="e">
        <f>SUM(E10:E15)</f>
        <v>#REF!</v>
      </c>
      <c r="F9" s="88">
        <f>SUM(F10:F15)</f>
        <v>0</v>
      </c>
      <c r="G9" s="88"/>
      <c r="H9" s="106"/>
      <c r="I9" s="89"/>
      <c r="J9" s="89"/>
      <c r="K9" s="89"/>
      <c r="L9" s="90"/>
      <c r="M9" s="108"/>
    </row>
    <row r="10" spans="1:13" s="7" customFormat="1" ht="39.9" customHeight="1">
      <c r="A10" s="188" t="s">
        <v>97</v>
      </c>
      <c r="B10" s="213" t="s">
        <v>213</v>
      </c>
      <c r="C10" s="111" t="s">
        <v>64</v>
      </c>
      <c r="D10" s="112">
        <v>0</v>
      </c>
      <c r="E10" s="113">
        <v>174</v>
      </c>
      <c r="F10" s="114"/>
      <c r="G10" s="114">
        <v>54.62</v>
      </c>
      <c r="H10" s="114">
        <v>350</v>
      </c>
      <c r="I10" s="115">
        <f t="shared" ref="I10:I18" si="0">G10*H10</f>
        <v>19117</v>
      </c>
      <c r="J10" s="115">
        <v>250</v>
      </c>
      <c r="K10" s="115">
        <f t="shared" ref="K10:K18" si="1">G10*J10</f>
        <v>13655</v>
      </c>
      <c r="L10" s="116">
        <f t="shared" ref="L10:L18" si="2">K10+I10</f>
        <v>32772</v>
      </c>
      <c r="M10" s="117"/>
    </row>
    <row r="11" spans="1:13" s="7" customFormat="1" ht="20.100000000000001" customHeight="1">
      <c r="A11" s="214" t="s">
        <v>98</v>
      </c>
      <c r="B11" s="371" t="s">
        <v>375</v>
      </c>
      <c r="C11" s="215" t="s">
        <v>64</v>
      </c>
      <c r="D11" s="216">
        <v>0</v>
      </c>
      <c r="E11" s="217">
        <v>435</v>
      </c>
      <c r="F11" s="218"/>
      <c r="G11" s="199">
        <v>38.200000000000003</v>
      </c>
      <c r="H11" s="218">
        <v>470</v>
      </c>
      <c r="I11" s="115">
        <f t="shared" si="0"/>
        <v>17954</v>
      </c>
      <c r="J11" s="219">
        <v>35</v>
      </c>
      <c r="K11" s="115">
        <f t="shared" si="1"/>
        <v>1337</v>
      </c>
      <c r="L11" s="116">
        <f t="shared" si="2"/>
        <v>19291</v>
      </c>
      <c r="M11" s="220"/>
    </row>
    <row r="12" spans="1:13" s="7" customFormat="1" ht="20.100000000000001" customHeight="1">
      <c r="A12" s="221"/>
      <c r="B12" s="372" t="s">
        <v>376</v>
      </c>
      <c r="C12" s="196" t="s">
        <v>64</v>
      </c>
      <c r="D12" s="197">
        <v>0</v>
      </c>
      <c r="E12" s="198">
        <v>435</v>
      </c>
      <c r="F12" s="199"/>
      <c r="G12" s="199">
        <v>38.200000000000003</v>
      </c>
      <c r="H12" s="199">
        <v>30</v>
      </c>
      <c r="I12" s="115">
        <f t="shared" si="0"/>
        <v>1146</v>
      </c>
      <c r="J12" s="200">
        <v>35</v>
      </c>
      <c r="K12" s="115">
        <f t="shared" si="1"/>
        <v>1337</v>
      </c>
      <c r="L12" s="116">
        <f t="shared" si="2"/>
        <v>2483</v>
      </c>
      <c r="M12" s="202"/>
    </row>
    <row r="13" spans="1:13" s="7" customFormat="1" ht="20.100000000000001" customHeight="1">
      <c r="A13" s="188" t="s">
        <v>99</v>
      </c>
      <c r="B13" s="213" t="s">
        <v>214</v>
      </c>
      <c r="C13" s="111" t="s">
        <v>64</v>
      </c>
      <c r="D13" s="112">
        <v>0</v>
      </c>
      <c r="E13" s="113">
        <v>38</v>
      </c>
      <c r="F13" s="114"/>
      <c r="G13" s="114">
        <v>63.08</v>
      </c>
      <c r="H13" s="114">
        <v>300</v>
      </c>
      <c r="I13" s="115">
        <f t="shared" si="0"/>
        <v>18924</v>
      </c>
      <c r="J13" s="115">
        <v>250</v>
      </c>
      <c r="K13" s="115">
        <f t="shared" si="1"/>
        <v>15770</v>
      </c>
      <c r="L13" s="116">
        <f t="shared" si="2"/>
        <v>34694</v>
      </c>
      <c r="M13" s="117"/>
    </row>
    <row r="14" spans="1:13" s="7" customFormat="1" ht="20.100000000000001" customHeight="1">
      <c r="A14" s="188" t="s">
        <v>100</v>
      </c>
      <c r="B14" s="213" t="s">
        <v>215</v>
      </c>
      <c r="C14" s="111" t="s">
        <v>64</v>
      </c>
      <c r="D14" s="112">
        <v>0</v>
      </c>
      <c r="E14" s="113">
        <v>38</v>
      </c>
      <c r="F14" s="114"/>
      <c r="G14" s="114">
        <v>21.1</v>
      </c>
      <c r="H14" s="114">
        <v>280</v>
      </c>
      <c r="I14" s="115">
        <f t="shared" si="0"/>
        <v>5908</v>
      </c>
      <c r="J14" s="115">
        <v>180</v>
      </c>
      <c r="K14" s="115">
        <f t="shared" si="1"/>
        <v>3798.0000000000005</v>
      </c>
      <c r="L14" s="116">
        <f t="shared" si="2"/>
        <v>9706</v>
      </c>
      <c r="M14" s="117"/>
    </row>
    <row r="15" spans="1:13" s="7" customFormat="1" ht="20.100000000000001" customHeight="1">
      <c r="A15" s="188" t="s">
        <v>101</v>
      </c>
      <c r="B15" s="222" t="s">
        <v>193</v>
      </c>
      <c r="C15" s="111" t="s">
        <v>64</v>
      </c>
      <c r="D15" s="112">
        <v>0</v>
      </c>
      <c r="E15" s="113" t="e">
        <f>E14+#REF!+#REF!+#REF!</f>
        <v>#REF!</v>
      </c>
      <c r="F15" s="113"/>
      <c r="G15" s="114">
        <v>27.8</v>
      </c>
      <c r="H15" s="114">
        <v>20</v>
      </c>
      <c r="I15" s="115">
        <f t="shared" si="0"/>
        <v>556</v>
      </c>
      <c r="J15" s="115">
        <v>30</v>
      </c>
      <c r="K15" s="115">
        <f t="shared" si="1"/>
        <v>834</v>
      </c>
      <c r="L15" s="116">
        <f t="shared" si="2"/>
        <v>1390</v>
      </c>
      <c r="M15" s="117"/>
    </row>
    <row r="16" spans="1:13" s="7" customFormat="1" ht="20.100000000000001" customHeight="1">
      <c r="A16" s="188" t="s">
        <v>377</v>
      </c>
      <c r="B16" s="222" t="s">
        <v>378</v>
      </c>
      <c r="C16" s="111" t="s">
        <v>64</v>
      </c>
      <c r="D16" s="112">
        <v>0</v>
      </c>
      <c r="E16" s="113" t="e">
        <f>#REF!</f>
        <v>#REF!</v>
      </c>
      <c r="F16" s="113"/>
      <c r="G16" s="114">
        <v>37.92</v>
      </c>
      <c r="H16" s="114">
        <v>30</v>
      </c>
      <c r="I16" s="115">
        <f t="shared" si="0"/>
        <v>1137.6000000000001</v>
      </c>
      <c r="J16" s="115">
        <v>35</v>
      </c>
      <c r="K16" s="115">
        <f t="shared" si="1"/>
        <v>1327.2</v>
      </c>
      <c r="L16" s="116">
        <f t="shared" si="2"/>
        <v>2464.8000000000002</v>
      </c>
      <c r="M16" s="117"/>
    </row>
    <row r="17" spans="1:13" s="7" customFormat="1" ht="20.100000000000001" customHeight="1">
      <c r="A17" s="188" t="s">
        <v>379</v>
      </c>
      <c r="B17" s="222" t="s">
        <v>241</v>
      </c>
      <c r="C17" s="111" t="s">
        <v>173</v>
      </c>
      <c r="D17" s="112">
        <v>0</v>
      </c>
      <c r="E17" s="113" t="e">
        <f>E15</f>
        <v>#REF!</v>
      </c>
      <c r="F17" s="113"/>
      <c r="G17" s="114">
        <v>32.25</v>
      </c>
      <c r="H17" s="114">
        <v>60</v>
      </c>
      <c r="I17" s="115">
        <f t="shared" si="0"/>
        <v>1935</v>
      </c>
      <c r="J17" s="115">
        <v>45</v>
      </c>
      <c r="K17" s="115">
        <f t="shared" si="1"/>
        <v>1451.25</v>
      </c>
      <c r="L17" s="116">
        <f t="shared" si="2"/>
        <v>3386.25</v>
      </c>
      <c r="M17" s="117"/>
    </row>
    <row r="18" spans="1:13" s="7" customFormat="1" ht="20.100000000000001" customHeight="1" thickBot="1">
      <c r="A18" s="188" t="s">
        <v>413</v>
      </c>
      <c r="B18" s="222" t="s">
        <v>380</v>
      </c>
      <c r="C18" s="111" t="s">
        <v>173</v>
      </c>
      <c r="D18" s="112">
        <v>0</v>
      </c>
      <c r="E18" s="113" t="e">
        <f>E16</f>
        <v>#REF!</v>
      </c>
      <c r="F18" s="113"/>
      <c r="G18" s="114">
        <v>18.52</v>
      </c>
      <c r="H18" s="114">
        <v>60</v>
      </c>
      <c r="I18" s="115">
        <f t="shared" si="0"/>
        <v>1111.2</v>
      </c>
      <c r="J18" s="253"/>
      <c r="K18" s="115">
        <f t="shared" si="1"/>
        <v>0</v>
      </c>
      <c r="L18" s="116">
        <f t="shared" si="2"/>
        <v>1111.2</v>
      </c>
      <c r="M18" s="373"/>
    </row>
    <row r="19" spans="1:13" s="7" customFormat="1" ht="20.100000000000001" customHeight="1" thickTop="1" thickBot="1">
      <c r="A19" s="50"/>
      <c r="B19" s="43" t="s">
        <v>103</v>
      </c>
      <c r="C19" s="46"/>
      <c r="D19" s="47"/>
      <c r="E19" s="48"/>
      <c r="F19" s="48"/>
      <c r="G19" s="48"/>
      <c r="H19" s="49"/>
      <c r="I19" s="282">
        <f>SUM(I9:I18)</f>
        <v>67788.800000000003</v>
      </c>
      <c r="J19" s="49"/>
      <c r="K19" s="282">
        <f>SUM(K9:K18)</f>
        <v>39509.449999999997</v>
      </c>
      <c r="L19" s="282">
        <f>SUM(L9:L18)</f>
        <v>107298.25</v>
      </c>
      <c r="M19" s="36"/>
    </row>
    <row r="20" spans="1:13" s="1" customFormat="1" ht="20.100000000000001" customHeight="1" thickTop="1">
      <c r="A20" s="374" t="s">
        <v>17</v>
      </c>
      <c r="B20" s="375" t="s">
        <v>164</v>
      </c>
      <c r="C20" s="376"/>
      <c r="D20" s="377"/>
      <c r="E20" s="180" t="e">
        <f>SUM(E21:E21)*2</f>
        <v>#REF!</v>
      </c>
      <c r="F20" s="180">
        <f>SUM(F21:F21)*2</f>
        <v>0</v>
      </c>
      <c r="G20" s="180"/>
      <c r="H20" s="399"/>
      <c r="I20" s="181"/>
      <c r="J20" s="181"/>
      <c r="K20" s="181"/>
      <c r="L20" s="182"/>
      <c r="M20" s="183"/>
    </row>
    <row r="21" spans="1:13" s="7" customFormat="1" ht="20.100000000000001" customHeight="1">
      <c r="A21" s="224" t="s">
        <v>104</v>
      </c>
      <c r="B21" s="225" t="s">
        <v>216</v>
      </c>
      <c r="C21" s="102" t="s">
        <v>64</v>
      </c>
      <c r="D21" s="103">
        <v>0</v>
      </c>
      <c r="E21" s="104" t="e">
        <f>#REF!*2-#REF!</f>
        <v>#REF!</v>
      </c>
      <c r="F21" s="105"/>
      <c r="G21" s="105">
        <v>71.44</v>
      </c>
      <c r="H21" s="105">
        <v>200</v>
      </c>
      <c r="I21" s="115">
        <f t="shared" ref="I21:I28" si="3">G21*H21</f>
        <v>14288</v>
      </c>
      <c r="J21" s="106">
        <v>80</v>
      </c>
      <c r="K21" s="115">
        <f t="shared" ref="K21:K28" si="4">G21*J21</f>
        <v>5715.2</v>
      </c>
      <c r="L21" s="116">
        <f t="shared" ref="L21:L28" si="5">K21+I21</f>
        <v>20003.2</v>
      </c>
      <c r="M21" s="108"/>
    </row>
    <row r="22" spans="1:13" s="7" customFormat="1" ht="20.100000000000001" customHeight="1">
      <c r="A22" s="188" t="s">
        <v>105</v>
      </c>
      <c r="B22" s="226" t="s">
        <v>381</v>
      </c>
      <c r="C22" s="111" t="s">
        <v>64</v>
      </c>
      <c r="D22" s="112">
        <v>0</v>
      </c>
      <c r="E22" s="113">
        <f>35*2</f>
        <v>70</v>
      </c>
      <c r="F22" s="114"/>
      <c r="G22" s="114">
        <v>89.6</v>
      </c>
      <c r="H22" s="114">
        <v>200</v>
      </c>
      <c r="I22" s="115">
        <f t="shared" si="3"/>
        <v>17920</v>
      </c>
      <c r="J22" s="115">
        <v>80</v>
      </c>
      <c r="K22" s="115">
        <f t="shared" si="4"/>
        <v>7168</v>
      </c>
      <c r="L22" s="116">
        <f t="shared" si="5"/>
        <v>25088</v>
      </c>
      <c r="M22" s="117"/>
    </row>
    <row r="23" spans="1:13" s="7" customFormat="1" ht="20.100000000000001" customHeight="1">
      <c r="A23" s="188" t="s">
        <v>106</v>
      </c>
      <c r="B23" s="226" t="s">
        <v>174</v>
      </c>
      <c r="C23" s="111" t="s">
        <v>64</v>
      </c>
      <c r="D23" s="112">
        <v>0</v>
      </c>
      <c r="E23" s="113">
        <f>35*2</f>
        <v>70</v>
      </c>
      <c r="F23" s="114"/>
      <c r="G23" s="114">
        <v>162.80000000000001</v>
      </c>
      <c r="H23" s="114">
        <v>45</v>
      </c>
      <c r="I23" s="115">
        <f t="shared" si="3"/>
        <v>7326.0000000000009</v>
      </c>
      <c r="J23" s="115">
        <v>80</v>
      </c>
      <c r="K23" s="115">
        <f t="shared" si="4"/>
        <v>13024</v>
      </c>
      <c r="L23" s="116">
        <f t="shared" si="5"/>
        <v>20350</v>
      </c>
      <c r="M23" s="117"/>
    </row>
    <row r="24" spans="1:13" s="7" customFormat="1" ht="20.100000000000001" customHeight="1">
      <c r="A24" s="188" t="s">
        <v>107</v>
      </c>
      <c r="B24" s="226" t="s">
        <v>175</v>
      </c>
      <c r="C24" s="111" t="s">
        <v>64</v>
      </c>
      <c r="D24" s="112">
        <v>0</v>
      </c>
      <c r="E24" s="113">
        <f>35*2</f>
        <v>70</v>
      </c>
      <c r="F24" s="114"/>
      <c r="G24" s="114">
        <v>126.14</v>
      </c>
      <c r="H24" s="114">
        <v>45</v>
      </c>
      <c r="I24" s="115">
        <f t="shared" si="3"/>
        <v>5676.3</v>
      </c>
      <c r="J24" s="115">
        <v>80</v>
      </c>
      <c r="K24" s="115">
        <f t="shared" si="4"/>
        <v>10091.200000000001</v>
      </c>
      <c r="L24" s="116">
        <f t="shared" si="5"/>
        <v>15767.5</v>
      </c>
      <c r="M24" s="117"/>
    </row>
    <row r="25" spans="1:13" s="7" customFormat="1" ht="20.100000000000001" customHeight="1">
      <c r="A25" s="188" t="s">
        <v>108</v>
      </c>
      <c r="B25" s="227" t="s">
        <v>109</v>
      </c>
      <c r="C25" s="111" t="s">
        <v>102</v>
      </c>
      <c r="D25" s="112">
        <v>0</v>
      </c>
      <c r="E25" s="113" t="e">
        <f>#REF!</f>
        <v>#REF!</v>
      </c>
      <c r="F25" s="114"/>
      <c r="G25" s="114">
        <v>140.44999999999999</v>
      </c>
      <c r="H25" s="114">
        <v>70</v>
      </c>
      <c r="I25" s="115">
        <f t="shared" si="3"/>
        <v>9831.5</v>
      </c>
      <c r="J25" s="115">
        <v>50</v>
      </c>
      <c r="K25" s="115">
        <f t="shared" si="4"/>
        <v>7022.4999999999991</v>
      </c>
      <c r="L25" s="116">
        <f t="shared" si="5"/>
        <v>16854</v>
      </c>
      <c r="M25" s="117"/>
    </row>
    <row r="26" spans="1:13" s="7" customFormat="1" ht="20.100000000000001" customHeight="1">
      <c r="A26" s="188" t="s">
        <v>110</v>
      </c>
      <c r="B26" s="226" t="s">
        <v>249</v>
      </c>
      <c r="C26" s="111" t="s">
        <v>102</v>
      </c>
      <c r="D26" s="112">
        <v>0</v>
      </c>
      <c r="E26" s="113" t="e">
        <f>#REF!</f>
        <v>#REF!</v>
      </c>
      <c r="F26" s="114"/>
      <c r="G26" s="114">
        <v>193</v>
      </c>
      <c r="H26" s="114">
        <v>25</v>
      </c>
      <c r="I26" s="115">
        <f t="shared" si="3"/>
        <v>4825</v>
      </c>
      <c r="J26" s="115">
        <v>35</v>
      </c>
      <c r="K26" s="115">
        <f t="shared" si="4"/>
        <v>6755</v>
      </c>
      <c r="L26" s="116">
        <f t="shared" si="5"/>
        <v>11580</v>
      </c>
      <c r="M26" s="117"/>
    </row>
    <row r="27" spans="1:13" s="7" customFormat="1" ht="21" customHeight="1">
      <c r="A27" s="214" t="s">
        <v>414</v>
      </c>
      <c r="B27" s="378" t="s">
        <v>244</v>
      </c>
      <c r="C27" s="215" t="s">
        <v>64</v>
      </c>
      <c r="D27" s="216">
        <v>0</v>
      </c>
      <c r="E27" s="217">
        <v>530</v>
      </c>
      <c r="F27" s="218"/>
      <c r="G27" s="218">
        <v>47.15</v>
      </c>
      <c r="H27" s="218">
        <v>280</v>
      </c>
      <c r="I27" s="115">
        <f t="shared" si="3"/>
        <v>13202</v>
      </c>
      <c r="J27" s="219">
        <v>180</v>
      </c>
      <c r="K27" s="115">
        <f t="shared" si="4"/>
        <v>8487</v>
      </c>
      <c r="L27" s="116">
        <f t="shared" si="5"/>
        <v>21689</v>
      </c>
      <c r="M27" s="117"/>
    </row>
    <row r="28" spans="1:13" s="7" customFormat="1" ht="20.100000000000001" customHeight="1">
      <c r="A28" s="411"/>
      <c r="B28" s="379" t="s">
        <v>205</v>
      </c>
      <c r="C28" s="272" t="s">
        <v>64</v>
      </c>
      <c r="D28" s="273">
        <v>0</v>
      </c>
      <c r="E28" s="274">
        <v>530</v>
      </c>
      <c r="F28" s="275"/>
      <c r="G28" s="218">
        <v>47.15</v>
      </c>
      <c r="H28" s="275">
        <v>60</v>
      </c>
      <c r="I28" s="115">
        <f t="shared" si="3"/>
        <v>2829</v>
      </c>
      <c r="J28" s="380">
        <v>70</v>
      </c>
      <c r="K28" s="115">
        <f t="shared" si="4"/>
        <v>3300.5</v>
      </c>
      <c r="L28" s="116">
        <f t="shared" si="5"/>
        <v>6129.5</v>
      </c>
      <c r="M28" s="195"/>
    </row>
    <row r="29" spans="1:13" s="7" customFormat="1" ht="20.100000000000001" customHeight="1">
      <c r="A29" s="248" t="s">
        <v>382</v>
      </c>
      <c r="B29" s="268" t="s">
        <v>182</v>
      </c>
      <c r="C29" s="271"/>
      <c r="D29" s="250"/>
      <c r="E29" s="251"/>
      <c r="F29" s="252"/>
      <c r="G29" s="252"/>
      <c r="H29" s="252"/>
      <c r="I29" s="115"/>
      <c r="J29" s="253"/>
      <c r="K29" s="253"/>
      <c r="L29" s="142"/>
      <c r="M29" s="373"/>
    </row>
    <row r="30" spans="1:13" s="7" customFormat="1" ht="20.100000000000001" customHeight="1">
      <c r="A30" s="334"/>
      <c r="B30" s="268" t="s">
        <v>208</v>
      </c>
      <c r="C30" s="381" t="s">
        <v>102</v>
      </c>
      <c r="D30" s="250">
        <v>0</v>
      </c>
      <c r="E30" s="251">
        <v>272</v>
      </c>
      <c r="F30" s="252"/>
      <c r="G30" s="252">
        <v>55.2</v>
      </c>
      <c r="H30" s="252">
        <v>110</v>
      </c>
      <c r="I30" s="115">
        <f>G30*H30</f>
        <v>6072</v>
      </c>
      <c r="J30" s="253">
        <v>70</v>
      </c>
      <c r="K30" s="115">
        <f>G30*J30</f>
        <v>3864</v>
      </c>
      <c r="L30" s="116">
        <f>K30+I30</f>
        <v>9936</v>
      </c>
      <c r="M30" s="412"/>
    </row>
    <row r="31" spans="1:13" s="7" customFormat="1" ht="17.25" customHeight="1">
      <c r="A31" s="333" t="s">
        <v>383</v>
      </c>
      <c r="B31" s="382" t="s">
        <v>417</v>
      </c>
      <c r="C31" s="249" t="s">
        <v>64</v>
      </c>
      <c r="D31" s="382"/>
      <c r="E31" s="382"/>
      <c r="F31" s="382"/>
      <c r="G31" s="382">
        <v>36.700000000000003</v>
      </c>
      <c r="H31" s="382">
        <v>100</v>
      </c>
      <c r="I31" s="115">
        <f>G31*H31</f>
        <v>3670.0000000000005</v>
      </c>
      <c r="J31" s="382">
        <v>100</v>
      </c>
      <c r="K31" s="115">
        <f>G31*J31</f>
        <v>3670.0000000000005</v>
      </c>
      <c r="L31" s="116">
        <f>K31+I31</f>
        <v>7340.0000000000009</v>
      </c>
      <c r="M31" s="413"/>
    </row>
    <row r="32" spans="1:13" s="7" customFormat="1" ht="21" customHeight="1">
      <c r="A32" s="414"/>
      <c r="B32" s="383"/>
      <c r="C32" s="300"/>
      <c r="D32" s="301"/>
      <c r="E32" s="302"/>
      <c r="F32" s="175"/>
      <c r="G32" s="175"/>
      <c r="H32" s="384"/>
      <c r="I32" s="384"/>
      <c r="J32" s="384"/>
      <c r="K32" s="384"/>
      <c r="L32" s="303"/>
      <c r="M32" s="415" t="s">
        <v>34</v>
      </c>
    </row>
    <row r="33" spans="1:13" s="7" customFormat="1" ht="20.100000000000001" customHeight="1" thickBot="1">
      <c r="A33" s="299"/>
      <c r="B33" s="277" t="s">
        <v>111</v>
      </c>
      <c r="C33" s="278"/>
      <c r="D33" s="279"/>
      <c r="E33" s="280"/>
      <c r="F33" s="280"/>
      <c r="G33" s="280"/>
      <c r="H33" s="281"/>
      <c r="I33" s="282">
        <f>SUM(I21:I32)</f>
        <v>85639.8</v>
      </c>
      <c r="J33" s="281"/>
      <c r="K33" s="282">
        <f>SUM(K21:K32)</f>
        <v>69097.400000000009</v>
      </c>
      <c r="L33" s="282">
        <f>SUM(L21:L32)</f>
        <v>154737.20000000001</v>
      </c>
      <c r="M33" s="283"/>
    </row>
    <row r="34" spans="1:13" s="1" customFormat="1" ht="20.100000000000001" customHeight="1" thickTop="1">
      <c r="A34" s="416"/>
      <c r="H34" s="7"/>
      <c r="M34" s="417"/>
    </row>
    <row r="35" spans="1:13" s="7" customFormat="1" ht="23.25" customHeight="1">
      <c r="A35" s="126" t="s">
        <v>18</v>
      </c>
      <c r="B35" s="423" t="s">
        <v>165</v>
      </c>
      <c r="C35" s="98"/>
      <c r="D35" s="173"/>
      <c r="E35" s="175">
        <f>SUM(E36:E38)</f>
        <v>749</v>
      </c>
      <c r="F35" s="175">
        <f>SUM(F36:F38)</f>
        <v>0</v>
      </c>
      <c r="G35" s="79"/>
      <c r="H35" s="128"/>
      <c r="I35" s="128"/>
      <c r="J35" s="424"/>
      <c r="K35" s="424"/>
      <c r="L35" s="81"/>
      <c r="M35" s="406"/>
    </row>
    <row r="36" spans="1:13" s="7" customFormat="1" ht="52.5" customHeight="1">
      <c r="A36" s="425" t="s">
        <v>112</v>
      </c>
      <c r="B36" s="426" t="s">
        <v>219</v>
      </c>
      <c r="C36" s="427" t="s">
        <v>64</v>
      </c>
      <c r="D36" s="103">
        <v>0</v>
      </c>
      <c r="E36" s="104">
        <v>608</v>
      </c>
      <c r="F36" s="104"/>
      <c r="G36" s="114">
        <v>50.12</v>
      </c>
      <c r="H36" s="105">
        <v>480</v>
      </c>
      <c r="I36" s="428">
        <f t="shared" ref="I36:I41" si="6">G36*H36</f>
        <v>24057.599999999999</v>
      </c>
      <c r="J36" s="429"/>
      <c r="K36" s="308"/>
      <c r="L36" s="430">
        <f t="shared" ref="L36:L41" si="7">SUM(I36+K36)</f>
        <v>24057.599999999999</v>
      </c>
      <c r="M36" s="431"/>
    </row>
    <row r="37" spans="1:13" s="7" customFormat="1" ht="53.25" customHeight="1">
      <c r="A37" s="432" t="s">
        <v>113</v>
      </c>
      <c r="B37" s="433" t="s">
        <v>220</v>
      </c>
      <c r="C37" s="434" t="s">
        <v>64</v>
      </c>
      <c r="D37" s="112">
        <v>0</v>
      </c>
      <c r="E37" s="113">
        <v>110</v>
      </c>
      <c r="F37" s="113"/>
      <c r="G37" s="114">
        <v>97.1</v>
      </c>
      <c r="H37" s="114">
        <v>510</v>
      </c>
      <c r="I37" s="428">
        <f t="shared" si="6"/>
        <v>49521</v>
      </c>
      <c r="J37" s="435"/>
      <c r="K37" s="253"/>
      <c r="L37" s="430">
        <f t="shared" si="7"/>
        <v>49521</v>
      </c>
      <c r="M37" s="436"/>
    </row>
    <row r="38" spans="1:13" s="7" customFormat="1" ht="56.25" customHeight="1">
      <c r="A38" s="432" t="s">
        <v>114</v>
      </c>
      <c r="B38" s="426" t="s">
        <v>221</v>
      </c>
      <c r="C38" s="434" t="s">
        <v>64</v>
      </c>
      <c r="D38" s="112">
        <v>0</v>
      </c>
      <c r="E38" s="113">
        <v>31</v>
      </c>
      <c r="F38" s="113"/>
      <c r="G38" s="114">
        <v>66.06</v>
      </c>
      <c r="H38" s="114">
        <v>375</v>
      </c>
      <c r="I38" s="428">
        <f t="shared" si="6"/>
        <v>24772.5</v>
      </c>
      <c r="J38" s="435"/>
      <c r="K38" s="253"/>
      <c r="L38" s="430">
        <f t="shared" si="7"/>
        <v>24772.5</v>
      </c>
      <c r="M38" s="437"/>
    </row>
    <row r="39" spans="1:13" s="7" customFormat="1" ht="20.100000000000001" customHeight="1" thickBot="1">
      <c r="A39" s="425" t="s">
        <v>419</v>
      </c>
      <c r="B39" s="426" t="s">
        <v>420</v>
      </c>
      <c r="C39" s="434" t="s">
        <v>64</v>
      </c>
      <c r="D39" s="119"/>
      <c r="E39" s="120"/>
      <c r="F39" s="121"/>
      <c r="G39" s="114">
        <v>7.12</v>
      </c>
      <c r="H39" s="114">
        <v>100</v>
      </c>
      <c r="I39" s="428">
        <f t="shared" si="6"/>
        <v>712</v>
      </c>
      <c r="J39" s="438"/>
      <c r="K39" s="439"/>
      <c r="L39" s="430">
        <f t="shared" si="7"/>
        <v>712</v>
      </c>
      <c r="M39" s="437" t="s">
        <v>34</v>
      </c>
    </row>
    <row r="40" spans="1:13" s="7" customFormat="1" ht="52.5" customHeight="1" thickTop="1">
      <c r="A40" s="432" t="s">
        <v>421</v>
      </c>
      <c r="B40" s="426" t="s">
        <v>422</v>
      </c>
      <c r="C40" s="427" t="s">
        <v>64</v>
      </c>
      <c r="D40" s="103">
        <v>0</v>
      </c>
      <c r="E40" s="104">
        <v>608</v>
      </c>
      <c r="F40" s="104"/>
      <c r="G40" s="114">
        <v>48.68</v>
      </c>
      <c r="H40" s="105">
        <v>180</v>
      </c>
      <c r="I40" s="428">
        <f t="shared" si="6"/>
        <v>8762.4</v>
      </c>
      <c r="J40" s="435"/>
      <c r="K40" s="253"/>
      <c r="L40" s="430">
        <f t="shared" si="7"/>
        <v>8762.4</v>
      </c>
      <c r="M40" s="437"/>
    </row>
    <row r="41" spans="1:13" s="7" customFormat="1" ht="53.25" customHeight="1" thickBot="1">
      <c r="A41" s="432" t="s">
        <v>423</v>
      </c>
      <c r="B41" s="433" t="s">
        <v>424</v>
      </c>
      <c r="C41" s="440" t="s">
        <v>64</v>
      </c>
      <c r="D41" s="216">
        <v>0</v>
      </c>
      <c r="E41" s="217">
        <v>110</v>
      </c>
      <c r="F41" s="217"/>
      <c r="G41" s="218">
        <v>25.54</v>
      </c>
      <c r="H41" s="218">
        <v>210</v>
      </c>
      <c r="I41" s="441">
        <f t="shared" si="6"/>
        <v>5363.4</v>
      </c>
      <c r="J41" s="442"/>
      <c r="K41" s="443"/>
      <c r="L41" s="444">
        <f t="shared" si="7"/>
        <v>5363.4</v>
      </c>
      <c r="M41" s="445"/>
    </row>
    <row r="42" spans="1:13" s="1" customFormat="1" ht="20.100000000000001" customHeight="1" thickTop="1" thickBot="1">
      <c r="A42" s="50"/>
      <c r="B42" s="43" t="s">
        <v>115</v>
      </c>
      <c r="C42" s="46"/>
      <c r="D42" s="47"/>
      <c r="E42" s="48"/>
      <c r="F42" s="48"/>
      <c r="G42" s="48"/>
      <c r="H42" s="49"/>
      <c r="I42" s="282">
        <f>SUM(I36:I41)</f>
        <v>113188.9</v>
      </c>
      <c r="J42" s="281"/>
      <c r="K42" s="282"/>
      <c r="L42" s="282">
        <f>SUM(L36:L41)</f>
        <v>113188.9</v>
      </c>
      <c r="M42" s="283" t="s">
        <v>34</v>
      </c>
    </row>
    <row r="43" spans="1:13" s="7" customFormat="1" ht="20.100000000000001" customHeight="1" thickTop="1">
      <c r="A43" s="147" t="s">
        <v>19</v>
      </c>
      <c r="B43" s="96" t="s">
        <v>166</v>
      </c>
      <c r="C43" s="71"/>
      <c r="D43" s="72"/>
      <c r="E43" s="148"/>
      <c r="F43" s="125"/>
      <c r="G43" s="73"/>
      <c r="H43" s="400"/>
      <c r="I43" s="186"/>
      <c r="J43" s="186"/>
      <c r="K43" s="186"/>
      <c r="L43" s="75"/>
      <c r="M43" s="187"/>
    </row>
    <row r="44" spans="1:13" s="7" customFormat="1" ht="20.100000000000001" customHeight="1">
      <c r="A44" s="188" t="s">
        <v>116</v>
      </c>
      <c r="B44" s="213" t="s">
        <v>222</v>
      </c>
      <c r="C44" s="111" t="s">
        <v>64</v>
      </c>
      <c r="D44" s="112">
        <v>0</v>
      </c>
      <c r="E44" s="113" t="e">
        <f>E21/2</f>
        <v>#REF!</v>
      </c>
      <c r="F44" s="114"/>
      <c r="G44" s="114">
        <v>162.80000000000001</v>
      </c>
      <c r="H44" s="114">
        <v>27</v>
      </c>
      <c r="I44" s="115">
        <f>G44*H44</f>
        <v>4395.6000000000004</v>
      </c>
      <c r="J44" s="115">
        <v>29</v>
      </c>
      <c r="K44" s="115">
        <f>G44*J44</f>
        <v>4721.2000000000007</v>
      </c>
      <c r="L44" s="116">
        <f>K44+I44</f>
        <v>9116.8000000000011</v>
      </c>
      <c r="M44" s="83"/>
    </row>
    <row r="45" spans="1:13" s="7" customFormat="1" ht="20.100000000000001" customHeight="1">
      <c r="A45" s="188" t="s">
        <v>117</v>
      </c>
      <c r="B45" s="213" t="s">
        <v>223</v>
      </c>
      <c r="C45" s="111" t="s">
        <v>64</v>
      </c>
      <c r="D45" s="112">
        <v>0</v>
      </c>
      <c r="E45" s="113" t="e">
        <f>E21/2</f>
        <v>#REF!</v>
      </c>
      <c r="F45" s="114"/>
      <c r="G45" s="114">
        <v>120.14</v>
      </c>
      <c r="H45" s="114">
        <v>30</v>
      </c>
      <c r="I45" s="115">
        <f>G45*H45</f>
        <v>3604.2</v>
      </c>
      <c r="J45" s="115">
        <v>29</v>
      </c>
      <c r="K45" s="115">
        <f>G45*J45</f>
        <v>3484.06</v>
      </c>
      <c r="L45" s="116">
        <f>K45+I45</f>
        <v>7088.26</v>
      </c>
      <c r="M45" s="83"/>
    </row>
    <row r="46" spans="1:13" s="7" customFormat="1" ht="20.100000000000001" customHeight="1">
      <c r="A46" s="188" t="s">
        <v>118</v>
      </c>
      <c r="B46" s="213" t="s">
        <v>224</v>
      </c>
      <c r="C46" s="111" t="s">
        <v>64</v>
      </c>
      <c r="D46" s="112">
        <v>0</v>
      </c>
      <c r="E46" s="113" t="e">
        <f>#REF!+#REF!+#REF!+#REF!-26</f>
        <v>#REF!</v>
      </c>
      <c r="F46" s="113"/>
      <c r="G46" s="114">
        <v>122</v>
      </c>
      <c r="H46" s="114">
        <v>30</v>
      </c>
      <c r="I46" s="115">
        <f>G46*H46</f>
        <v>3660</v>
      </c>
      <c r="J46" s="115">
        <v>30</v>
      </c>
      <c r="K46" s="115">
        <f>G46*J46</f>
        <v>3660</v>
      </c>
      <c r="L46" s="116">
        <f>K46+I46</f>
        <v>7320</v>
      </c>
      <c r="M46" s="83"/>
    </row>
    <row r="47" spans="1:13" s="7" customFormat="1" ht="20.100000000000001" customHeight="1">
      <c r="A47" s="188" t="s">
        <v>119</v>
      </c>
      <c r="B47" s="213" t="s">
        <v>225</v>
      </c>
      <c r="C47" s="111" t="s">
        <v>64</v>
      </c>
      <c r="D47" s="112">
        <v>0</v>
      </c>
      <c r="E47" s="113" t="e">
        <f>#REF!+#REF!+#REF!+#REF!-26</f>
        <v>#REF!</v>
      </c>
      <c r="F47" s="113"/>
      <c r="G47" s="114">
        <v>83.4</v>
      </c>
      <c r="H47" s="114">
        <v>35</v>
      </c>
      <c r="I47" s="115">
        <f>G47*H47</f>
        <v>2919</v>
      </c>
      <c r="J47" s="115">
        <v>36</v>
      </c>
      <c r="K47" s="115">
        <f>G47*J47</f>
        <v>3002.4</v>
      </c>
      <c r="L47" s="116">
        <f>K47+I47</f>
        <v>5921.4</v>
      </c>
      <c r="M47" s="83"/>
    </row>
    <row r="48" spans="1:13" s="7" customFormat="1" ht="0.75" customHeight="1">
      <c r="A48" s="221"/>
      <c r="B48" s="287"/>
      <c r="C48" s="196"/>
      <c r="D48" s="197">
        <v>0</v>
      </c>
      <c r="E48" s="198">
        <v>337</v>
      </c>
      <c r="F48" s="199"/>
      <c r="G48" s="199"/>
      <c r="H48" s="199"/>
      <c r="I48" s="200"/>
      <c r="J48" s="200"/>
      <c r="K48" s="200"/>
      <c r="L48" s="201"/>
      <c r="M48" s="94"/>
    </row>
    <row r="49" spans="1:17" s="7" customFormat="1" ht="20.100000000000001" customHeight="1">
      <c r="A49" s="188" t="s">
        <v>0</v>
      </c>
      <c r="B49" s="191" t="s">
        <v>181</v>
      </c>
      <c r="C49" s="111" t="s">
        <v>173</v>
      </c>
      <c r="D49" s="112">
        <v>0</v>
      </c>
      <c r="E49" s="113" t="e">
        <f>#REF!</f>
        <v>#REF!</v>
      </c>
      <c r="F49" s="114"/>
      <c r="G49" s="114">
        <v>93</v>
      </c>
      <c r="H49" s="114">
        <v>35</v>
      </c>
      <c r="I49" s="115">
        <f>G49*H49</f>
        <v>3255</v>
      </c>
      <c r="J49" s="115">
        <v>25</v>
      </c>
      <c r="K49" s="115">
        <f>G49*J49</f>
        <v>2325</v>
      </c>
      <c r="L49" s="116">
        <f>K49+I49</f>
        <v>5580</v>
      </c>
      <c r="M49" s="83"/>
    </row>
    <row r="50" spans="1:17" s="7" customFormat="1" ht="20.100000000000001" customHeight="1">
      <c r="A50" s="188" t="s">
        <v>180</v>
      </c>
      <c r="B50" s="222" t="s">
        <v>196</v>
      </c>
      <c r="C50" s="111" t="s">
        <v>173</v>
      </c>
      <c r="D50" s="112">
        <v>0</v>
      </c>
      <c r="E50" s="113" t="e">
        <f>#REF!</f>
        <v>#REF!</v>
      </c>
      <c r="F50" s="113"/>
      <c r="G50" s="114">
        <v>50.77</v>
      </c>
      <c r="H50" s="114">
        <v>30</v>
      </c>
      <c r="I50" s="115">
        <f>G50*H50</f>
        <v>1523.1000000000001</v>
      </c>
      <c r="J50" s="115">
        <v>20</v>
      </c>
      <c r="K50" s="115">
        <f>G50*J50</f>
        <v>1015.4000000000001</v>
      </c>
      <c r="L50" s="116">
        <f>K50+I50</f>
        <v>2538.5</v>
      </c>
      <c r="M50" s="83"/>
    </row>
    <row r="51" spans="1:17" s="7" customFormat="1" ht="20.100000000000001" customHeight="1">
      <c r="A51" s="188" t="s">
        <v>384</v>
      </c>
      <c r="B51" s="222" t="s">
        <v>171</v>
      </c>
      <c r="C51" s="111" t="s">
        <v>168</v>
      </c>
      <c r="D51" s="112">
        <v>0</v>
      </c>
      <c r="E51" s="113" t="e">
        <f>#REF!</f>
        <v>#REF!</v>
      </c>
      <c r="F51" s="114"/>
      <c r="G51" s="114"/>
      <c r="H51" s="114">
        <v>3000</v>
      </c>
      <c r="I51" s="115">
        <f>G51*H51</f>
        <v>0</v>
      </c>
      <c r="J51" s="115"/>
      <c r="K51" s="115">
        <f>G51*J51</f>
        <v>0</v>
      </c>
      <c r="L51" s="116">
        <f>K51+I51</f>
        <v>0</v>
      </c>
      <c r="M51" s="117"/>
    </row>
    <row r="52" spans="1:17" s="1" customFormat="1" ht="20.100000000000001" customHeight="1" thickBot="1">
      <c r="A52" s="223"/>
      <c r="B52" s="286"/>
      <c r="C52" s="118"/>
      <c r="D52" s="119"/>
      <c r="E52" s="120"/>
      <c r="F52" s="121"/>
      <c r="G52" s="121"/>
      <c r="H52" s="121"/>
      <c r="I52" s="122"/>
      <c r="J52" s="122"/>
      <c r="K52" s="122"/>
      <c r="L52" s="123"/>
      <c r="M52" s="124"/>
    </row>
    <row r="53" spans="1:17" s="1" customFormat="1" ht="20.100000000000001" customHeight="1" thickTop="1" thickBot="1">
      <c r="A53" s="276"/>
      <c r="B53" s="277" t="s">
        <v>207</v>
      </c>
      <c r="C53" s="278"/>
      <c r="D53" s="279"/>
      <c r="E53" s="280"/>
      <c r="F53" s="280"/>
      <c r="G53" s="280"/>
      <c r="H53" s="281"/>
      <c r="I53" s="282">
        <f>SUM(I43:I52)</f>
        <v>19356.899999999998</v>
      </c>
      <c r="J53" s="281"/>
      <c r="K53" s="282">
        <f>SUM(K43:K52)</f>
        <v>18208.060000000001</v>
      </c>
      <c r="L53" s="282">
        <f>SUM(L43:L52)</f>
        <v>37564.959999999999</v>
      </c>
      <c r="M53" s="283"/>
    </row>
    <row r="54" spans="1:17" s="1" customFormat="1" ht="20.100000000000001" customHeight="1" thickTop="1">
      <c r="A54" s="126" t="s">
        <v>20</v>
      </c>
      <c r="B54" s="127" t="s">
        <v>415</v>
      </c>
      <c r="C54" s="98"/>
      <c r="D54" s="99"/>
      <c r="E54" s="100"/>
      <c r="F54" s="79"/>
      <c r="G54" s="79"/>
      <c r="H54" s="384"/>
      <c r="I54" s="128"/>
      <c r="J54" s="128"/>
      <c r="K54" s="128"/>
      <c r="L54" s="81"/>
      <c r="M54" s="129"/>
    </row>
    <row r="55" spans="1:17" s="1" customFormat="1" ht="20.100000000000001" customHeight="1">
      <c r="A55" s="84" t="s">
        <v>120</v>
      </c>
      <c r="B55" s="101" t="s">
        <v>178</v>
      </c>
      <c r="C55" s="86"/>
      <c r="D55" s="87"/>
      <c r="E55" s="161"/>
      <c r="F55" s="105"/>
      <c r="G55" s="88"/>
      <c r="H55" s="401"/>
      <c r="I55" s="174"/>
      <c r="J55" s="174"/>
      <c r="K55" s="174"/>
      <c r="L55" s="90"/>
      <c r="M55" s="108"/>
    </row>
    <row r="56" spans="1:17" s="1" customFormat="1" ht="20.100000000000001" customHeight="1">
      <c r="A56" s="188" t="s">
        <v>121</v>
      </c>
      <c r="B56" s="189" t="s">
        <v>197</v>
      </c>
      <c r="C56" s="111" t="s">
        <v>122</v>
      </c>
      <c r="D56" s="112"/>
      <c r="E56" s="113"/>
      <c r="F56" s="114"/>
      <c r="G56" s="114">
        <v>2</v>
      </c>
      <c r="H56" s="114">
        <v>7000</v>
      </c>
      <c r="I56" s="115">
        <f t="shared" ref="I56:I62" si="8">G56*H56</f>
        <v>14000</v>
      </c>
      <c r="J56" s="115"/>
      <c r="K56" s="115"/>
      <c r="L56" s="116">
        <f t="shared" ref="L56:L62" si="9">K56+I56</f>
        <v>14000</v>
      </c>
      <c r="M56" s="117" t="s">
        <v>34</v>
      </c>
    </row>
    <row r="57" spans="1:17" s="7" customFormat="1" ht="18.899999999999999" customHeight="1">
      <c r="A57" s="188" t="s">
        <v>123</v>
      </c>
      <c r="B57" s="189" t="s">
        <v>198</v>
      </c>
      <c r="C57" s="111" t="s">
        <v>122</v>
      </c>
      <c r="D57" s="112"/>
      <c r="E57" s="113"/>
      <c r="F57" s="114"/>
      <c r="G57" s="114">
        <v>2</v>
      </c>
      <c r="H57" s="291">
        <v>23750</v>
      </c>
      <c r="I57" s="115">
        <f t="shared" si="8"/>
        <v>47500</v>
      </c>
      <c r="J57" s="264"/>
      <c r="K57" s="264"/>
      <c r="L57" s="116">
        <f t="shared" si="9"/>
        <v>47500</v>
      </c>
      <c r="M57" s="117" t="s">
        <v>34</v>
      </c>
      <c r="O57" s="288"/>
      <c r="P57" s="289"/>
      <c r="Q57" s="5"/>
    </row>
    <row r="58" spans="1:17" s="7" customFormat="1" ht="18.899999999999999" customHeight="1">
      <c r="A58" s="188" t="s">
        <v>124</v>
      </c>
      <c r="B58" s="189" t="s">
        <v>199</v>
      </c>
      <c r="C58" s="111" t="s">
        <v>122</v>
      </c>
      <c r="D58" s="112">
        <v>0</v>
      </c>
      <c r="E58" s="113">
        <v>6</v>
      </c>
      <c r="F58" s="114"/>
      <c r="G58" s="114">
        <v>1</v>
      </c>
      <c r="H58" s="291">
        <v>10500</v>
      </c>
      <c r="I58" s="115">
        <f t="shared" si="8"/>
        <v>10500</v>
      </c>
      <c r="J58" s="264"/>
      <c r="K58" s="264"/>
      <c r="L58" s="116">
        <f t="shared" si="9"/>
        <v>10500</v>
      </c>
      <c r="M58" s="117"/>
      <c r="O58" s="288">
        <v>6.38</v>
      </c>
      <c r="P58" s="289">
        <v>2500</v>
      </c>
      <c r="Q58" s="5" t="s">
        <v>209</v>
      </c>
    </row>
    <row r="59" spans="1:17" s="7" customFormat="1" ht="18.899999999999999" customHeight="1">
      <c r="A59" s="188" t="s">
        <v>125</v>
      </c>
      <c r="B59" s="189" t="s">
        <v>200</v>
      </c>
      <c r="C59" s="111" t="s">
        <v>122</v>
      </c>
      <c r="D59" s="112"/>
      <c r="E59" s="113"/>
      <c r="F59" s="114"/>
      <c r="G59" s="114">
        <v>3</v>
      </c>
      <c r="H59" s="291">
        <v>10375</v>
      </c>
      <c r="I59" s="115">
        <f t="shared" si="8"/>
        <v>31125</v>
      </c>
      <c r="J59" s="264"/>
      <c r="K59" s="264"/>
      <c r="L59" s="116">
        <f t="shared" si="9"/>
        <v>31125</v>
      </c>
      <c r="M59" s="117"/>
      <c r="O59" s="288">
        <v>5.38</v>
      </c>
      <c r="P59" s="289">
        <v>2500</v>
      </c>
      <c r="Q59" s="5" t="s">
        <v>209</v>
      </c>
    </row>
    <row r="60" spans="1:17" s="7" customFormat="1" ht="18.899999999999999" customHeight="1">
      <c r="A60" s="188" t="s">
        <v>125</v>
      </c>
      <c r="B60" s="189" t="s">
        <v>416</v>
      </c>
      <c r="C60" s="111" t="s">
        <v>122</v>
      </c>
      <c r="D60" s="112"/>
      <c r="E60" s="113"/>
      <c r="F60" s="114"/>
      <c r="G60" s="114">
        <v>1</v>
      </c>
      <c r="H60" s="407">
        <v>19000</v>
      </c>
      <c r="I60" s="115">
        <f t="shared" si="8"/>
        <v>19000</v>
      </c>
      <c r="J60" s="264"/>
      <c r="K60" s="264"/>
      <c r="L60" s="116">
        <f t="shared" si="9"/>
        <v>19000</v>
      </c>
      <c r="M60" s="117"/>
      <c r="O60" s="288"/>
      <c r="P60" s="289"/>
      <c r="Q60" s="5"/>
    </row>
    <row r="61" spans="1:17" s="7" customFormat="1" ht="18.899999999999999" customHeight="1">
      <c r="A61" s="188" t="s">
        <v>126</v>
      </c>
      <c r="B61" s="189" t="s">
        <v>201</v>
      </c>
      <c r="C61" s="111" t="s">
        <v>122</v>
      </c>
      <c r="D61" s="112"/>
      <c r="E61" s="113"/>
      <c r="F61" s="114"/>
      <c r="G61" s="114">
        <v>2</v>
      </c>
      <c r="H61" s="114">
        <v>5520</v>
      </c>
      <c r="I61" s="115">
        <f t="shared" si="8"/>
        <v>11040</v>
      </c>
      <c r="J61" s="115"/>
      <c r="K61" s="115"/>
      <c r="L61" s="116">
        <f t="shared" si="9"/>
        <v>11040</v>
      </c>
      <c r="M61" s="117"/>
      <c r="O61" s="288">
        <v>3.44</v>
      </c>
      <c r="P61" s="289">
        <v>2500</v>
      </c>
      <c r="Q61" s="5" t="s">
        <v>209</v>
      </c>
    </row>
    <row r="62" spans="1:17" s="7" customFormat="1" ht="18.899999999999999" customHeight="1">
      <c r="A62" s="188" t="s">
        <v>127</v>
      </c>
      <c r="B62" s="189" t="s">
        <v>202</v>
      </c>
      <c r="C62" s="111" t="s">
        <v>122</v>
      </c>
      <c r="D62" s="112">
        <v>0</v>
      </c>
      <c r="E62" s="113"/>
      <c r="F62" s="114"/>
      <c r="G62" s="114">
        <v>2</v>
      </c>
      <c r="H62" s="114">
        <v>5520</v>
      </c>
      <c r="I62" s="115">
        <f t="shared" si="8"/>
        <v>11040</v>
      </c>
      <c r="J62" s="115"/>
      <c r="K62" s="115"/>
      <c r="L62" s="116">
        <f t="shared" si="9"/>
        <v>11040</v>
      </c>
      <c r="M62" s="117"/>
      <c r="O62" s="288"/>
      <c r="P62" s="289"/>
      <c r="Q62" s="290"/>
    </row>
    <row r="63" spans="1:17" s="7" customFormat="1" ht="18.899999999999999" customHeight="1">
      <c r="A63" s="418"/>
      <c r="M63" s="419"/>
      <c r="O63" s="288"/>
      <c r="P63" s="289"/>
      <c r="Q63" s="290"/>
    </row>
    <row r="64" spans="1:17" s="1" customFormat="1" ht="18.899999999999999" customHeight="1">
      <c r="A64" s="155" t="s">
        <v>128</v>
      </c>
      <c r="B64" s="385" t="s">
        <v>129</v>
      </c>
      <c r="C64" s="156"/>
      <c r="D64" s="157"/>
      <c r="E64" s="158"/>
      <c r="F64" s="114"/>
      <c r="G64" s="159"/>
      <c r="H64" s="402"/>
      <c r="I64" s="264"/>
      <c r="J64" s="264"/>
      <c r="K64" s="264"/>
      <c r="L64" s="160"/>
      <c r="M64" s="117"/>
      <c r="O64" s="288"/>
      <c r="P64" s="289"/>
      <c r="Q64" s="290"/>
    </row>
    <row r="65" spans="1:17" s="1" customFormat="1" ht="18.899999999999999" customHeight="1">
      <c r="A65" s="188" t="s">
        <v>130</v>
      </c>
      <c r="B65" s="189" t="s">
        <v>203</v>
      </c>
      <c r="C65" s="111" t="s">
        <v>122</v>
      </c>
      <c r="D65" s="112">
        <v>0</v>
      </c>
      <c r="E65" s="113">
        <v>4</v>
      </c>
      <c r="F65" s="114"/>
      <c r="G65" s="114">
        <v>3</v>
      </c>
      <c r="H65" s="291">
        <v>4312</v>
      </c>
      <c r="I65" s="115">
        <f>G65*H65</f>
        <v>12936</v>
      </c>
      <c r="J65" s="264"/>
      <c r="K65" s="264"/>
      <c r="L65" s="116">
        <f>K65+I65</f>
        <v>12936</v>
      </c>
      <c r="M65" s="117"/>
      <c r="O65" s="288">
        <v>1.62</v>
      </c>
      <c r="P65" s="289">
        <v>2500</v>
      </c>
      <c r="Q65" s="5" t="s">
        <v>209</v>
      </c>
    </row>
    <row r="66" spans="1:17" s="1" customFormat="1" ht="18.899999999999999" customHeight="1">
      <c r="A66" s="188" t="s">
        <v>131</v>
      </c>
      <c r="B66" s="189" t="s">
        <v>204</v>
      </c>
      <c r="C66" s="111" t="s">
        <v>122</v>
      </c>
      <c r="D66" s="112"/>
      <c r="E66" s="113">
        <v>4</v>
      </c>
      <c r="F66" s="114"/>
      <c r="G66" s="114">
        <v>1</v>
      </c>
      <c r="H66" s="291">
        <v>2000</v>
      </c>
      <c r="I66" s="115">
        <f>G66*H66</f>
        <v>2000</v>
      </c>
      <c r="J66" s="264"/>
      <c r="K66" s="264"/>
      <c r="L66" s="116">
        <f>K66+I66</f>
        <v>2000</v>
      </c>
      <c r="M66" s="117"/>
      <c r="O66" s="288">
        <v>1.0249999999999999</v>
      </c>
      <c r="P66" s="289">
        <v>3500</v>
      </c>
      <c r="Q66" s="290" t="s">
        <v>210</v>
      </c>
    </row>
    <row r="67" spans="1:17" s="1" customFormat="1" ht="18.899999999999999" customHeight="1">
      <c r="A67" s="188" t="s">
        <v>385</v>
      </c>
      <c r="B67" s="189" t="s">
        <v>386</v>
      </c>
      <c r="C67" s="111" t="s">
        <v>122</v>
      </c>
      <c r="D67" s="112"/>
      <c r="E67" s="113">
        <v>4</v>
      </c>
      <c r="F67" s="114"/>
      <c r="G67" s="114">
        <v>1</v>
      </c>
      <c r="H67" s="291">
        <v>4600</v>
      </c>
      <c r="I67" s="115">
        <f>G67*H67</f>
        <v>4600</v>
      </c>
      <c r="J67" s="264"/>
      <c r="K67" s="264"/>
      <c r="L67" s="116">
        <f>K67+I67</f>
        <v>4600</v>
      </c>
      <c r="M67" s="117"/>
      <c r="O67" s="288">
        <v>0.27500000000000002</v>
      </c>
      <c r="P67" s="289">
        <v>7800</v>
      </c>
      <c r="Q67" s="290" t="s">
        <v>211</v>
      </c>
    </row>
    <row r="68" spans="1:17" s="1" customFormat="1" ht="18.899999999999999" customHeight="1" thickBot="1">
      <c r="A68" s="188" t="s">
        <v>387</v>
      </c>
      <c r="B68" s="189" t="s">
        <v>388</v>
      </c>
      <c r="C68" s="111" t="s">
        <v>122</v>
      </c>
      <c r="D68" s="112"/>
      <c r="E68" s="113">
        <v>4</v>
      </c>
      <c r="F68" s="114"/>
      <c r="G68" s="114">
        <v>2</v>
      </c>
      <c r="H68" s="291">
        <v>750</v>
      </c>
      <c r="I68" s="115">
        <f>G68*H68</f>
        <v>1500</v>
      </c>
      <c r="J68" s="264"/>
      <c r="K68" s="264"/>
      <c r="L68" s="116">
        <f>K68+I68</f>
        <v>1500</v>
      </c>
      <c r="M68" s="117"/>
      <c r="O68" s="288">
        <v>0.68</v>
      </c>
      <c r="P68" s="289">
        <v>3500</v>
      </c>
      <c r="Q68" s="290" t="s">
        <v>210</v>
      </c>
    </row>
    <row r="69" spans="1:17" s="1" customFormat="1" ht="18.899999999999999" customHeight="1" thickTop="1" thickBot="1">
      <c r="A69" s="42"/>
      <c r="B69" s="43" t="s">
        <v>132</v>
      </c>
      <c r="C69" s="46"/>
      <c r="D69" s="47"/>
      <c r="E69" s="48"/>
      <c r="F69" s="48"/>
      <c r="G69" s="48"/>
      <c r="H69" s="49"/>
      <c r="I69" s="35">
        <f>SUM(I56:I68)</f>
        <v>165241</v>
      </c>
      <c r="J69" s="49"/>
      <c r="K69" s="35"/>
      <c r="L69" s="35">
        <f>SUM(L56:L68)</f>
        <v>165241</v>
      </c>
      <c r="M69" s="36"/>
      <c r="O69" s="288">
        <v>4.68</v>
      </c>
      <c r="P69" s="289">
        <v>2800</v>
      </c>
      <c r="Q69" s="290" t="s">
        <v>210</v>
      </c>
    </row>
    <row r="70" spans="1:17" s="1" customFormat="1" ht="18.899999999999999" customHeight="1" thickTop="1">
      <c r="A70" s="77" t="s">
        <v>21</v>
      </c>
      <c r="B70" s="78" t="s">
        <v>195</v>
      </c>
      <c r="C70" s="98"/>
      <c r="D70" s="99"/>
      <c r="E70" s="100"/>
      <c r="F70" s="79"/>
      <c r="G70" s="79"/>
      <c r="H70" s="307"/>
      <c r="I70" s="80"/>
      <c r="J70" s="80"/>
      <c r="K70" s="80"/>
      <c r="L70" s="81"/>
      <c r="M70" s="82"/>
      <c r="O70" s="288">
        <v>3.01</v>
      </c>
      <c r="P70" s="289">
        <v>2800</v>
      </c>
      <c r="Q70" s="290" t="s">
        <v>210</v>
      </c>
    </row>
    <row r="71" spans="1:17" s="1" customFormat="1" ht="18.899999999999999" customHeight="1">
      <c r="A71" s="269" t="s">
        <v>133</v>
      </c>
      <c r="B71" s="101" t="s">
        <v>389</v>
      </c>
      <c r="C71" s="102"/>
      <c r="D71" s="103"/>
      <c r="E71" s="104"/>
      <c r="F71" s="105"/>
      <c r="G71" s="105"/>
      <c r="H71" s="308"/>
      <c r="I71" s="366"/>
      <c r="J71" s="366"/>
      <c r="K71" s="366"/>
      <c r="L71" s="367"/>
      <c r="M71" s="335"/>
      <c r="O71" s="288"/>
      <c r="P71" s="289"/>
      <c r="Q71" s="290"/>
    </row>
    <row r="72" spans="1:17" s="1" customFormat="1" ht="18.899999999999999" customHeight="1">
      <c r="A72" s="109" t="s">
        <v>134</v>
      </c>
      <c r="B72" s="189" t="s">
        <v>226</v>
      </c>
      <c r="C72" s="111" t="s">
        <v>122</v>
      </c>
      <c r="D72" s="112">
        <v>0</v>
      </c>
      <c r="E72" s="113">
        <v>12</v>
      </c>
      <c r="F72" s="114"/>
      <c r="G72" s="114">
        <v>1</v>
      </c>
      <c r="H72" s="308">
        <v>4628</v>
      </c>
      <c r="I72" s="115">
        <f t="shared" ref="I72:I85" si="10">G72*H72</f>
        <v>4628</v>
      </c>
      <c r="J72" s="366"/>
      <c r="K72" s="366"/>
      <c r="L72" s="116">
        <f t="shared" ref="L72:L88" si="11">K72+I72</f>
        <v>4628</v>
      </c>
      <c r="M72" s="335"/>
      <c r="O72" s="288"/>
      <c r="P72" s="289"/>
      <c r="Q72" s="290"/>
    </row>
    <row r="73" spans="1:17" s="1" customFormat="1" ht="18.899999999999999" customHeight="1">
      <c r="A73" s="109" t="s">
        <v>135</v>
      </c>
      <c r="B73" s="226" t="s">
        <v>227</v>
      </c>
      <c r="C73" s="111" t="s">
        <v>122</v>
      </c>
      <c r="D73" s="112">
        <v>0</v>
      </c>
      <c r="E73" s="113">
        <v>28</v>
      </c>
      <c r="F73" s="114"/>
      <c r="G73" s="114">
        <v>1</v>
      </c>
      <c r="H73" s="308">
        <v>150</v>
      </c>
      <c r="I73" s="115">
        <f t="shared" si="10"/>
        <v>150</v>
      </c>
      <c r="J73" s="366"/>
      <c r="K73" s="366"/>
      <c r="L73" s="116">
        <f t="shared" si="11"/>
        <v>150</v>
      </c>
      <c r="M73" s="335"/>
      <c r="O73" s="288"/>
      <c r="P73" s="289"/>
      <c r="Q73" s="290"/>
    </row>
    <row r="74" spans="1:17" s="1" customFormat="1" ht="18.899999999999999" customHeight="1">
      <c r="A74" s="109" t="s">
        <v>136</v>
      </c>
      <c r="B74" s="226" t="s">
        <v>228</v>
      </c>
      <c r="C74" s="111" t="s">
        <v>122</v>
      </c>
      <c r="D74" s="112">
        <v>0</v>
      </c>
      <c r="E74" s="113">
        <v>28</v>
      </c>
      <c r="F74" s="114"/>
      <c r="G74" s="114">
        <v>1</v>
      </c>
      <c r="H74" s="308">
        <v>94</v>
      </c>
      <c r="I74" s="115">
        <f t="shared" si="10"/>
        <v>94</v>
      </c>
      <c r="J74" s="366"/>
      <c r="K74" s="366"/>
      <c r="L74" s="116">
        <f t="shared" si="11"/>
        <v>94</v>
      </c>
      <c r="M74" s="335"/>
      <c r="O74" s="288"/>
      <c r="P74" s="289"/>
      <c r="Q74" s="290"/>
    </row>
    <row r="75" spans="1:17" s="1" customFormat="1" ht="18.899999999999999" customHeight="1">
      <c r="A75" s="109" t="s">
        <v>137</v>
      </c>
      <c r="B75" s="189" t="s">
        <v>229</v>
      </c>
      <c r="C75" s="111" t="s">
        <v>122</v>
      </c>
      <c r="D75" s="112">
        <v>0</v>
      </c>
      <c r="E75" s="113">
        <v>16</v>
      </c>
      <c r="F75" s="114"/>
      <c r="G75" s="114">
        <v>1</v>
      </c>
      <c r="H75" s="308">
        <v>2440</v>
      </c>
      <c r="I75" s="115">
        <f t="shared" si="10"/>
        <v>2440</v>
      </c>
      <c r="J75" s="366"/>
      <c r="K75" s="366"/>
      <c r="L75" s="116">
        <f t="shared" si="11"/>
        <v>2440</v>
      </c>
      <c r="M75" s="335"/>
      <c r="O75" s="288"/>
      <c r="P75" s="289"/>
      <c r="Q75" s="290"/>
    </row>
    <row r="76" spans="1:17" s="1" customFormat="1" ht="18.899999999999999" customHeight="1">
      <c r="A76" s="109" t="s">
        <v>138</v>
      </c>
      <c r="B76" s="226" t="s">
        <v>230</v>
      </c>
      <c r="C76" s="111" t="s">
        <v>122</v>
      </c>
      <c r="D76" s="112">
        <v>0</v>
      </c>
      <c r="E76" s="113">
        <v>12</v>
      </c>
      <c r="F76" s="114"/>
      <c r="G76" s="114">
        <v>1</v>
      </c>
      <c r="H76" s="308">
        <v>894.6</v>
      </c>
      <c r="I76" s="115">
        <f t="shared" si="10"/>
        <v>894.6</v>
      </c>
      <c r="J76" s="366"/>
      <c r="K76" s="366"/>
      <c r="L76" s="116">
        <f t="shared" si="11"/>
        <v>894.6</v>
      </c>
      <c r="M76" s="335"/>
      <c r="O76" s="288"/>
      <c r="P76" s="289"/>
      <c r="Q76" s="290"/>
    </row>
    <row r="77" spans="1:17" s="1" customFormat="1" ht="18.899999999999999" customHeight="1">
      <c r="A77" s="109" t="s">
        <v>139</v>
      </c>
      <c r="B77" s="190" t="s">
        <v>231</v>
      </c>
      <c r="C77" s="111" t="s">
        <v>122</v>
      </c>
      <c r="D77" s="112">
        <v>0</v>
      </c>
      <c r="E77" s="113">
        <v>20</v>
      </c>
      <c r="F77" s="114"/>
      <c r="G77" s="114">
        <v>1</v>
      </c>
      <c r="H77" s="308">
        <v>670</v>
      </c>
      <c r="I77" s="115">
        <f t="shared" si="10"/>
        <v>670</v>
      </c>
      <c r="J77" s="366"/>
      <c r="K77" s="366"/>
      <c r="L77" s="116">
        <f t="shared" si="11"/>
        <v>670</v>
      </c>
      <c r="M77" s="335"/>
      <c r="O77" s="288"/>
      <c r="P77" s="289"/>
      <c r="Q77" s="290"/>
    </row>
    <row r="78" spans="1:17" s="1" customFormat="1" ht="18.899999999999999" customHeight="1">
      <c r="A78" s="109" t="s">
        <v>140</v>
      </c>
      <c r="B78" s="190" t="s">
        <v>232</v>
      </c>
      <c r="C78" s="111" t="s">
        <v>122</v>
      </c>
      <c r="D78" s="112">
        <v>0</v>
      </c>
      <c r="E78" s="113">
        <v>20</v>
      </c>
      <c r="F78" s="114"/>
      <c r="G78" s="114">
        <v>1</v>
      </c>
      <c r="H78" s="308">
        <v>300</v>
      </c>
      <c r="I78" s="115">
        <f t="shared" si="10"/>
        <v>300</v>
      </c>
      <c r="J78" s="366"/>
      <c r="K78" s="366"/>
      <c r="L78" s="116">
        <f t="shared" si="11"/>
        <v>300</v>
      </c>
      <c r="M78" s="335"/>
      <c r="O78" s="288"/>
      <c r="P78" s="289"/>
      <c r="Q78" s="290"/>
    </row>
    <row r="79" spans="1:17" s="1" customFormat="1" ht="18.899999999999999" customHeight="1">
      <c r="A79" s="109" t="s">
        <v>141</v>
      </c>
      <c r="B79" s="190" t="s">
        <v>233</v>
      </c>
      <c r="C79" s="111" t="s">
        <v>122</v>
      </c>
      <c r="D79" s="112">
        <v>0</v>
      </c>
      <c r="E79" s="113">
        <v>20</v>
      </c>
      <c r="F79" s="114"/>
      <c r="G79" s="114">
        <v>1</v>
      </c>
      <c r="H79" s="308">
        <v>94</v>
      </c>
      <c r="I79" s="115">
        <f t="shared" si="10"/>
        <v>94</v>
      </c>
      <c r="J79" s="366"/>
      <c r="K79" s="366"/>
      <c r="L79" s="116">
        <f t="shared" si="11"/>
        <v>94</v>
      </c>
      <c r="M79" s="335"/>
      <c r="O79" s="288"/>
      <c r="P79" s="289"/>
      <c r="Q79" s="290"/>
    </row>
    <row r="80" spans="1:17" s="1" customFormat="1" ht="18.899999999999999" customHeight="1">
      <c r="A80" s="109" t="s">
        <v>142</v>
      </c>
      <c r="B80" s="190" t="s">
        <v>245</v>
      </c>
      <c r="C80" s="111" t="s">
        <v>122</v>
      </c>
      <c r="D80" s="112">
        <v>0</v>
      </c>
      <c r="E80" s="113">
        <v>20</v>
      </c>
      <c r="F80" s="114"/>
      <c r="G80" s="114">
        <v>1</v>
      </c>
      <c r="H80" s="308">
        <v>315</v>
      </c>
      <c r="I80" s="115">
        <f t="shared" si="10"/>
        <v>315</v>
      </c>
      <c r="J80" s="366"/>
      <c r="K80" s="366"/>
      <c r="L80" s="116">
        <f t="shared" si="11"/>
        <v>315</v>
      </c>
      <c r="M80" s="335"/>
      <c r="O80" s="288"/>
      <c r="P80" s="289"/>
      <c r="Q80" s="290"/>
    </row>
    <row r="81" spans="1:17" s="1" customFormat="1" ht="18.899999999999999" customHeight="1">
      <c r="A81" s="109" t="s">
        <v>143</v>
      </c>
      <c r="B81" s="190" t="s">
        <v>234</v>
      </c>
      <c r="C81" s="111" t="s">
        <v>122</v>
      </c>
      <c r="D81" s="112">
        <v>0</v>
      </c>
      <c r="E81" s="113">
        <v>48</v>
      </c>
      <c r="F81" s="114"/>
      <c r="G81" s="114">
        <v>2</v>
      </c>
      <c r="H81" s="308">
        <v>231</v>
      </c>
      <c r="I81" s="115">
        <f t="shared" si="10"/>
        <v>462</v>
      </c>
      <c r="J81" s="366"/>
      <c r="K81" s="366"/>
      <c r="L81" s="116">
        <f t="shared" si="11"/>
        <v>462</v>
      </c>
      <c r="M81" s="335"/>
      <c r="O81" s="288"/>
      <c r="P81" s="289"/>
      <c r="Q81" s="290"/>
    </row>
    <row r="82" spans="1:17" s="1" customFormat="1" ht="18.899999999999999" customHeight="1">
      <c r="A82" s="109" t="s">
        <v>144</v>
      </c>
      <c r="B82" s="189" t="s">
        <v>246</v>
      </c>
      <c r="C82" s="111" t="s">
        <v>122</v>
      </c>
      <c r="D82" s="112">
        <v>0</v>
      </c>
      <c r="E82" s="113">
        <v>28</v>
      </c>
      <c r="F82" s="114"/>
      <c r="G82" s="114">
        <v>1</v>
      </c>
      <c r="H82" s="308">
        <v>350</v>
      </c>
      <c r="I82" s="115">
        <f t="shared" si="10"/>
        <v>350</v>
      </c>
      <c r="J82" s="366"/>
      <c r="K82" s="366"/>
      <c r="L82" s="116">
        <f t="shared" si="11"/>
        <v>350</v>
      </c>
      <c r="M82" s="335"/>
      <c r="O82" s="288"/>
      <c r="P82" s="289"/>
      <c r="Q82" s="290"/>
    </row>
    <row r="83" spans="1:17" s="1" customFormat="1" ht="18.899999999999999" customHeight="1">
      <c r="A83" s="109" t="s">
        <v>145</v>
      </c>
      <c r="B83" s="189" t="s">
        <v>235</v>
      </c>
      <c r="C83" s="111" t="s">
        <v>122</v>
      </c>
      <c r="D83" s="112">
        <v>0</v>
      </c>
      <c r="E83" s="113">
        <v>28</v>
      </c>
      <c r="F83" s="114"/>
      <c r="G83" s="114">
        <v>1</v>
      </c>
      <c r="H83" s="308">
        <v>172.2</v>
      </c>
      <c r="I83" s="115">
        <f t="shared" si="10"/>
        <v>172.2</v>
      </c>
      <c r="J83" s="366"/>
      <c r="K83" s="366"/>
      <c r="L83" s="116">
        <f t="shared" si="11"/>
        <v>172.2</v>
      </c>
      <c r="M83" s="335"/>
      <c r="O83" s="288"/>
      <c r="P83" s="289"/>
      <c r="Q83" s="290"/>
    </row>
    <row r="84" spans="1:17" s="1" customFormat="1" ht="18.899999999999999" customHeight="1">
      <c r="A84" s="109" t="s">
        <v>390</v>
      </c>
      <c r="B84" s="189" t="s">
        <v>236</v>
      </c>
      <c r="C84" s="111" t="s">
        <v>122</v>
      </c>
      <c r="D84" s="112">
        <v>0</v>
      </c>
      <c r="E84" s="113">
        <v>28</v>
      </c>
      <c r="F84" s="114"/>
      <c r="G84" s="114">
        <v>1</v>
      </c>
      <c r="H84" s="308">
        <v>90</v>
      </c>
      <c r="I84" s="115">
        <f t="shared" si="10"/>
        <v>90</v>
      </c>
      <c r="J84" s="366"/>
      <c r="K84" s="366"/>
      <c r="L84" s="116">
        <f t="shared" si="11"/>
        <v>90</v>
      </c>
      <c r="M84" s="335"/>
      <c r="O84" s="288"/>
      <c r="P84" s="289"/>
      <c r="Q84" s="290"/>
    </row>
    <row r="85" spans="1:17" s="1" customFormat="1" ht="18.899999999999999" customHeight="1">
      <c r="A85" s="109" t="s">
        <v>391</v>
      </c>
      <c r="B85" s="189" t="s">
        <v>237</v>
      </c>
      <c r="C85" s="111" t="s">
        <v>122</v>
      </c>
      <c r="D85" s="112">
        <v>0</v>
      </c>
      <c r="E85" s="113">
        <v>28</v>
      </c>
      <c r="F85" s="114"/>
      <c r="G85" s="114">
        <v>1</v>
      </c>
      <c r="H85" s="308">
        <v>570</v>
      </c>
      <c r="I85" s="115">
        <f t="shared" si="10"/>
        <v>570</v>
      </c>
      <c r="J85" s="366"/>
      <c r="K85" s="366"/>
      <c r="L85" s="116">
        <f t="shared" si="11"/>
        <v>570</v>
      </c>
      <c r="M85" s="335"/>
      <c r="O85" s="288"/>
      <c r="P85" s="289"/>
      <c r="Q85" s="290"/>
    </row>
    <row r="86" spans="1:17" s="1" customFormat="1" ht="18.899999999999999" customHeight="1">
      <c r="A86" s="109" t="s">
        <v>392</v>
      </c>
      <c r="B86" s="266" t="s">
        <v>74</v>
      </c>
      <c r="C86" s="215"/>
      <c r="D86" s="216"/>
      <c r="E86" s="217"/>
      <c r="F86" s="218"/>
      <c r="G86" s="218"/>
      <c r="H86" s="308"/>
      <c r="I86" s="366"/>
      <c r="J86" s="366"/>
      <c r="K86" s="366"/>
      <c r="L86" s="116">
        <f t="shared" si="11"/>
        <v>0</v>
      </c>
      <c r="M86" s="335"/>
      <c r="O86" s="288"/>
      <c r="P86" s="289"/>
      <c r="Q86" s="290"/>
    </row>
    <row r="87" spans="1:17" s="1" customFormat="1" ht="18.899999999999999" customHeight="1">
      <c r="A87" s="109"/>
      <c r="B87" s="268" t="s">
        <v>247</v>
      </c>
      <c r="C87" s="249" t="s">
        <v>122</v>
      </c>
      <c r="D87" s="250">
        <v>0</v>
      </c>
      <c r="E87" s="251">
        <v>20</v>
      </c>
      <c r="F87" s="252"/>
      <c r="G87" s="252">
        <v>1</v>
      </c>
      <c r="H87" s="308">
        <v>145</v>
      </c>
      <c r="I87" s="115">
        <f>G87*H87</f>
        <v>145</v>
      </c>
      <c r="J87" s="366"/>
      <c r="K87" s="366"/>
      <c r="L87" s="116">
        <f t="shared" si="11"/>
        <v>145</v>
      </c>
      <c r="M87" s="335"/>
      <c r="O87" s="288"/>
      <c r="P87" s="289"/>
      <c r="Q87" s="290"/>
    </row>
    <row r="88" spans="1:17" s="1" customFormat="1" ht="18.899999999999999" customHeight="1">
      <c r="A88" s="109"/>
      <c r="B88" s="268" t="s">
        <v>194</v>
      </c>
      <c r="C88" s="249" t="s">
        <v>122</v>
      </c>
      <c r="D88" s="250">
        <v>0</v>
      </c>
      <c r="E88" s="251">
        <v>20</v>
      </c>
      <c r="F88" s="252"/>
      <c r="G88" s="252">
        <v>1</v>
      </c>
      <c r="H88" s="308">
        <v>145</v>
      </c>
      <c r="I88" s="115">
        <f>G88*H88</f>
        <v>145</v>
      </c>
      <c r="J88" s="366"/>
      <c r="K88" s="366"/>
      <c r="L88" s="116">
        <f t="shared" si="11"/>
        <v>145</v>
      </c>
      <c r="M88" s="335"/>
      <c r="O88" s="288"/>
      <c r="P88" s="289"/>
      <c r="Q88" s="290"/>
    </row>
    <row r="89" spans="1:17" s="1" customFormat="1" ht="18.899999999999999" customHeight="1">
      <c r="A89" s="109"/>
      <c r="B89" s="293"/>
      <c r="C89" s="297"/>
      <c r="D89" s="7"/>
      <c r="E89" s="7"/>
      <c r="F89" s="7"/>
      <c r="G89" s="294"/>
      <c r="H89" s="308"/>
      <c r="I89" s="366"/>
      <c r="J89" s="366"/>
      <c r="K89" s="366"/>
      <c r="L89" s="367"/>
      <c r="M89" s="335"/>
      <c r="O89" s="288"/>
      <c r="P89" s="289"/>
      <c r="Q89" s="290"/>
    </row>
    <row r="90" spans="1:17" s="1" customFormat="1" ht="18.899999999999999" customHeight="1">
      <c r="A90" s="269" t="s">
        <v>133</v>
      </c>
      <c r="B90" s="101" t="s">
        <v>393</v>
      </c>
      <c r="C90" s="298"/>
      <c r="D90" s="295"/>
      <c r="E90" s="295"/>
      <c r="F90" s="295"/>
      <c r="G90" s="296"/>
      <c r="H90" s="106"/>
      <c r="I90" s="106"/>
      <c r="J90" s="106"/>
      <c r="K90" s="106"/>
      <c r="L90" s="107"/>
      <c r="M90" s="108"/>
      <c r="O90" s="288">
        <v>2.36</v>
      </c>
      <c r="P90" s="289">
        <v>2500</v>
      </c>
      <c r="Q90" s="5" t="s">
        <v>209</v>
      </c>
    </row>
    <row r="91" spans="1:17" s="7" customFormat="1" ht="18.899999999999999" customHeight="1">
      <c r="A91" s="109" t="s">
        <v>134</v>
      </c>
      <c r="B91" s="189" t="s">
        <v>226</v>
      </c>
      <c r="C91" s="111" t="s">
        <v>122</v>
      </c>
      <c r="D91" s="112">
        <v>0</v>
      </c>
      <c r="E91" s="113">
        <v>12</v>
      </c>
      <c r="F91" s="114"/>
      <c r="G91" s="114">
        <v>1</v>
      </c>
      <c r="H91" s="308">
        <v>4628</v>
      </c>
      <c r="I91" s="115">
        <f t="shared" ref="I91:I104" si="12">G91*H91</f>
        <v>4628</v>
      </c>
      <c r="J91" s="366"/>
      <c r="K91" s="366"/>
      <c r="L91" s="116">
        <f t="shared" ref="L91:L107" si="13">K91+I91</f>
        <v>4628</v>
      </c>
      <c r="M91" s="83"/>
      <c r="O91" s="288">
        <v>1.62</v>
      </c>
      <c r="P91" s="289">
        <v>2500</v>
      </c>
      <c r="Q91" s="5" t="s">
        <v>209</v>
      </c>
    </row>
    <row r="92" spans="1:17" s="7" customFormat="1" ht="18.899999999999999" customHeight="1">
      <c r="A92" s="109" t="s">
        <v>135</v>
      </c>
      <c r="B92" s="226" t="s">
        <v>227</v>
      </c>
      <c r="C92" s="111" t="s">
        <v>122</v>
      </c>
      <c r="D92" s="112">
        <v>0</v>
      </c>
      <c r="E92" s="113">
        <v>28</v>
      </c>
      <c r="F92" s="114"/>
      <c r="G92" s="114">
        <v>1</v>
      </c>
      <c r="H92" s="308">
        <v>150</v>
      </c>
      <c r="I92" s="115">
        <f t="shared" si="12"/>
        <v>150</v>
      </c>
      <c r="J92" s="366"/>
      <c r="K92" s="366"/>
      <c r="L92" s="116">
        <f t="shared" si="13"/>
        <v>150</v>
      </c>
      <c r="M92" s="83"/>
      <c r="O92" s="288">
        <v>3.69</v>
      </c>
      <c r="P92" s="289">
        <v>2500</v>
      </c>
      <c r="Q92" s="5" t="s">
        <v>209</v>
      </c>
    </row>
    <row r="93" spans="1:17" s="7" customFormat="1" ht="18.899999999999999" customHeight="1">
      <c r="A93" s="109" t="s">
        <v>136</v>
      </c>
      <c r="B93" s="226" t="s">
        <v>228</v>
      </c>
      <c r="C93" s="111" t="s">
        <v>122</v>
      </c>
      <c r="D93" s="112">
        <v>0</v>
      </c>
      <c r="E93" s="113">
        <v>28</v>
      </c>
      <c r="F93" s="114"/>
      <c r="G93" s="114">
        <v>1</v>
      </c>
      <c r="H93" s="308">
        <v>94</v>
      </c>
      <c r="I93" s="115">
        <f t="shared" si="12"/>
        <v>94</v>
      </c>
      <c r="J93" s="366"/>
      <c r="K93" s="366"/>
      <c r="L93" s="116">
        <f t="shared" si="13"/>
        <v>94</v>
      </c>
      <c r="M93" s="83"/>
      <c r="O93" s="288">
        <v>0.36</v>
      </c>
      <c r="P93" s="289">
        <v>7800</v>
      </c>
      <c r="Q93" s="290" t="s">
        <v>211</v>
      </c>
    </row>
    <row r="94" spans="1:17" s="7" customFormat="1" ht="20.100000000000001" customHeight="1">
      <c r="A94" s="109" t="s">
        <v>137</v>
      </c>
      <c r="B94" s="189" t="s">
        <v>229</v>
      </c>
      <c r="C94" s="111" t="s">
        <v>122</v>
      </c>
      <c r="D94" s="112">
        <v>0</v>
      </c>
      <c r="E94" s="113">
        <v>16</v>
      </c>
      <c r="F94" s="114"/>
      <c r="G94" s="114">
        <v>1</v>
      </c>
      <c r="H94" s="308">
        <v>2440</v>
      </c>
      <c r="I94" s="115">
        <f t="shared" si="12"/>
        <v>2440</v>
      </c>
      <c r="J94" s="366"/>
      <c r="K94" s="366"/>
      <c r="L94" s="116">
        <f t="shared" si="13"/>
        <v>2440</v>
      </c>
      <c r="M94" s="83"/>
    </row>
    <row r="95" spans="1:17" s="1" customFormat="1" ht="20.100000000000001" customHeight="1">
      <c r="A95" s="109" t="s">
        <v>138</v>
      </c>
      <c r="B95" s="226" t="s">
        <v>230</v>
      </c>
      <c r="C95" s="111" t="s">
        <v>122</v>
      </c>
      <c r="D95" s="112">
        <v>0</v>
      </c>
      <c r="E95" s="113">
        <v>12</v>
      </c>
      <c r="F95" s="114"/>
      <c r="G95" s="114">
        <v>1</v>
      </c>
      <c r="H95" s="308">
        <v>894.6</v>
      </c>
      <c r="I95" s="115">
        <f t="shared" si="12"/>
        <v>894.6</v>
      </c>
      <c r="J95" s="366"/>
      <c r="K95" s="366"/>
      <c r="L95" s="116">
        <f t="shared" si="13"/>
        <v>894.6</v>
      </c>
      <c r="M95" s="83"/>
    </row>
    <row r="96" spans="1:17" s="1" customFormat="1" ht="20.100000000000001" customHeight="1">
      <c r="A96" s="109" t="s">
        <v>139</v>
      </c>
      <c r="B96" s="190" t="s">
        <v>231</v>
      </c>
      <c r="C96" s="111" t="s">
        <v>122</v>
      </c>
      <c r="D96" s="112">
        <v>0</v>
      </c>
      <c r="E96" s="113">
        <v>20</v>
      </c>
      <c r="F96" s="114"/>
      <c r="G96" s="114">
        <v>1</v>
      </c>
      <c r="H96" s="308">
        <v>670</v>
      </c>
      <c r="I96" s="115">
        <f t="shared" si="12"/>
        <v>670</v>
      </c>
      <c r="J96" s="366"/>
      <c r="K96" s="366"/>
      <c r="L96" s="116">
        <f t="shared" si="13"/>
        <v>670</v>
      </c>
      <c r="M96" s="83"/>
    </row>
    <row r="97" spans="1:13" s="1" customFormat="1" ht="20.100000000000001" customHeight="1">
      <c r="A97" s="109" t="s">
        <v>140</v>
      </c>
      <c r="B97" s="190" t="s">
        <v>232</v>
      </c>
      <c r="C97" s="111" t="s">
        <v>122</v>
      </c>
      <c r="D97" s="112">
        <v>0</v>
      </c>
      <c r="E97" s="113">
        <v>20</v>
      </c>
      <c r="F97" s="114"/>
      <c r="G97" s="114">
        <v>1</v>
      </c>
      <c r="H97" s="308">
        <v>300</v>
      </c>
      <c r="I97" s="115">
        <f t="shared" si="12"/>
        <v>300</v>
      </c>
      <c r="J97" s="366"/>
      <c r="K97" s="366"/>
      <c r="L97" s="116">
        <f t="shared" si="13"/>
        <v>300</v>
      </c>
      <c r="M97" s="83"/>
    </row>
    <row r="98" spans="1:13" s="1" customFormat="1" ht="20.100000000000001" customHeight="1">
      <c r="A98" s="109" t="s">
        <v>141</v>
      </c>
      <c r="B98" s="190" t="s">
        <v>233</v>
      </c>
      <c r="C98" s="111" t="s">
        <v>122</v>
      </c>
      <c r="D98" s="112">
        <v>0</v>
      </c>
      <c r="E98" s="113">
        <v>20</v>
      </c>
      <c r="F98" s="114"/>
      <c r="G98" s="114">
        <v>1</v>
      </c>
      <c r="H98" s="308">
        <v>94</v>
      </c>
      <c r="I98" s="115">
        <f t="shared" si="12"/>
        <v>94</v>
      </c>
      <c r="J98" s="366"/>
      <c r="K98" s="366"/>
      <c r="L98" s="116">
        <f t="shared" si="13"/>
        <v>94</v>
      </c>
      <c r="M98" s="83"/>
    </row>
    <row r="99" spans="1:13" s="7" customFormat="1" ht="20.100000000000001" customHeight="1">
      <c r="A99" s="109" t="s">
        <v>142</v>
      </c>
      <c r="B99" s="190" t="s">
        <v>245</v>
      </c>
      <c r="C99" s="111" t="s">
        <v>122</v>
      </c>
      <c r="D99" s="112">
        <v>0</v>
      </c>
      <c r="E99" s="113">
        <v>20</v>
      </c>
      <c r="F99" s="114"/>
      <c r="G99" s="114">
        <v>1</v>
      </c>
      <c r="H99" s="308">
        <v>315</v>
      </c>
      <c r="I99" s="115">
        <f t="shared" si="12"/>
        <v>315</v>
      </c>
      <c r="J99" s="366"/>
      <c r="K99" s="366"/>
      <c r="L99" s="116">
        <f t="shared" si="13"/>
        <v>315</v>
      </c>
      <c r="M99" s="83"/>
    </row>
    <row r="100" spans="1:13" s="7" customFormat="1" ht="20.25" customHeight="1">
      <c r="A100" s="109" t="s">
        <v>143</v>
      </c>
      <c r="B100" s="190" t="s">
        <v>234</v>
      </c>
      <c r="C100" s="111" t="s">
        <v>122</v>
      </c>
      <c r="D100" s="112">
        <v>0</v>
      </c>
      <c r="E100" s="113">
        <v>48</v>
      </c>
      <c r="F100" s="114"/>
      <c r="G100" s="114">
        <v>2</v>
      </c>
      <c r="H100" s="308">
        <v>231</v>
      </c>
      <c r="I100" s="115">
        <f t="shared" si="12"/>
        <v>462</v>
      </c>
      <c r="J100" s="366"/>
      <c r="K100" s="366"/>
      <c r="L100" s="116">
        <f t="shared" si="13"/>
        <v>462</v>
      </c>
      <c r="M100" s="83"/>
    </row>
    <row r="101" spans="1:13" s="7" customFormat="1" ht="20.100000000000001" customHeight="1">
      <c r="A101" s="109" t="s">
        <v>144</v>
      </c>
      <c r="B101" s="189" t="s">
        <v>246</v>
      </c>
      <c r="C101" s="111" t="s">
        <v>122</v>
      </c>
      <c r="D101" s="112">
        <v>0</v>
      </c>
      <c r="E101" s="113">
        <v>28</v>
      </c>
      <c r="F101" s="114"/>
      <c r="G101" s="114">
        <v>1</v>
      </c>
      <c r="H101" s="308">
        <v>350</v>
      </c>
      <c r="I101" s="115">
        <f t="shared" si="12"/>
        <v>350</v>
      </c>
      <c r="J101" s="366"/>
      <c r="K101" s="366"/>
      <c r="L101" s="116">
        <f t="shared" si="13"/>
        <v>350</v>
      </c>
      <c r="M101" s="83"/>
    </row>
    <row r="102" spans="1:13" s="7" customFormat="1" ht="20.100000000000001" customHeight="1">
      <c r="A102" s="109" t="s">
        <v>145</v>
      </c>
      <c r="B102" s="189" t="s">
        <v>235</v>
      </c>
      <c r="C102" s="111" t="s">
        <v>122</v>
      </c>
      <c r="D102" s="112">
        <v>0</v>
      </c>
      <c r="E102" s="113">
        <v>28</v>
      </c>
      <c r="F102" s="114"/>
      <c r="G102" s="114">
        <v>1</v>
      </c>
      <c r="H102" s="308">
        <v>172.2</v>
      </c>
      <c r="I102" s="115">
        <f t="shared" si="12"/>
        <v>172.2</v>
      </c>
      <c r="J102" s="366"/>
      <c r="K102" s="366"/>
      <c r="L102" s="116">
        <f t="shared" si="13"/>
        <v>172.2</v>
      </c>
      <c r="M102" s="83"/>
    </row>
    <row r="103" spans="1:13" s="7" customFormat="1" ht="20.100000000000001" customHeight="1">
      <c r="A103" s="109" t="s">
        <v>390</v>
      </c>
      <c r="B103" s="189" t="s">
        <v>236</v>
      </c>
      <c r="C103" s="111" t="s">
        <v>122</v>
      </c>
      <c r="D103" s="112">
        <v>0</v>
      </c>
      <c r="E103" s="113">
        <v>28</v>
      </c>
      <c r="F103" s="114"/>
      <c r="G103" s="114">
        <v>1</v>
      </c>
      <c r="H103" s="308">
        <v>90</v>
      </c>
      <c r="I103" s="115">
        <f t="shared" si="12"/>
        <v>90</v>
      </c>
      <c r="J103" s="366"/>
      <c r="K103" s="366"/>
      <c r="L103" s="116">
        <f t="shared" si="13"/>
        <v>90</v>
      </c>
      <c r="M103" s="83"/>
    </row>
    <row r="104" spans="1:13" s="7" customFormat="1" ht="20.100000000000001" customHeight="1">
      <c r="A104" s="109" t="s">
        <v>391</v>
      </c>
      <c r="B104" s="189" t="s">
        <v>237</v>
      </c>
      <c r="C104" s="111" t="s">
        <v>122</v>
      </c>
      <c r="D104" s="112">
        <v>0</v>
      </c>
      <c r="E104" s="113">
        <v>28</v>
      </c>
      <c r="F104" s="114"/>
      <c r="G104" s="114">
        <v>1</v>
      </c>
      <c r="H104" s="308">
        <v>570</v>
      </c>
      <c r="I104" s="115">
        <f t="shared" si="12"/>
        <v>570</v>
      </c>
      <c r="J104" s="366"/>
      <c r="K104" s="366"/>
      <c r="L104" s="116">
        <f t="shared" si="13"/>
        <v>570</v>
      </c>
      <c r="M104" s="83"/>
    </row>
    <row r="105" spans="1:13" s="7" customFormat="1" ht="20.100000000000001" customHeight="1">
      <c r="A105" s="109" t="s">
        <v>392</v>
      </c>
      <c r="B105" s="266" t="s">
        <v>74</v>
      </c>
      <c r="C105" s="215"/>
      <c r="D105" s="216"/>
      <c r="E105" s="217"/>
      <c r="F105" s="218"/>
      <c r="G105" s="218"/>
      <c r="H105" s="308"/>
      <c r="I105" s="366"/>
      <c r="J105" s="366"/>
      <c r="K105" s="366"/>
      <c r="L105" s="116">
        <f t="shared" si="13"/>
        <v>0</v>
      </c>
      <c r="M105" s="83"/>
    </row>
    <row r="106" spans="1:13" s="7" customFormat="1" ht="20.100000000000001" customHeight="1">
      <c r="A106" s="109"/>
      <c r="B106" s="268" t="s">
        <v>247</v>
      </c>
      <c r="C106" s="249" t="s">
        <v>122</v>
      </c>
      <c r="D106" s="250">
        <v>0</v>
      </c>
      <c r="E106" s="251">
        <v>20</v>
      </c>
      <c r="F106" s="252"/>
      <c r="G106" s="252">
        <v>1</v>
      </c>
      <c r="H106" s="308">
        <v>145</v>
      </c>
      <c r="I106" s="115">
        <f>G106*H106</f>
        <v>145</v>
      </c>
      <c r="J106" s="366"/>
      <c r="K106" s="366"/>
      <c r="L106" s="116">
        <f t="shared" si="13"/>
        <v>145</v>
      </c>
      <c r="M106" s="117"/>
    </row>
    <row r="107" spans="1:13" s="7" customFormat="1" ht="18" customHeight="1">
      <c r="A107" s="265"/>
      <c r="B107" s="268" t="s">
        <v>194</v>
      </c>
      <c r="C107" s="249" t="s">
        <v>122</v>
      </c>
      <c r="D107" s="250">
        <v>0</v>
      </c>
      <c r="E107" s="251">
        <v>20</v>
      </c>
      <c r="F107" s="252"/>
      <c r="G107" s="252">
        <v>1</v>
      </c>
      <c r="H107" s="308">
        <v>145</v>
      </c>
      <c r="I107" s="115">
        <f>G107*H107</f>
        <v>145</v>
      </c>
      <c r="J107" s="366"/>
      <c r="K107" s="366"/>
      <c r="L107" s="116">
        <f t="shared" si="13"/>
        <v>145</v>
      </c>
      <c r="M107" s="220" t="s">
        <v>34</v>
      </c>
    </row>
    <row r="108" spans="1:13" s="7" customFormat="1" ht="19.5" hidden="1" customHeight="1">
      <c r="A108" s="267"/>
      <c r="B108" s="293"/>
      <c r="C108" s="297"/>
      <c r="G108" s="294"/>
      <c r="H108" s="297"/>
      <c r="I108" s="297"/>
      <c r="J108" s="297"/>
      <c r="K108" s="294"/>
      <c r="L108" s="294"/>
      <c r="M108" s="93"/>
    </row>
    <row r="109" spans="1:13" s="7" customFormat="1" ht="20.100000000000001" customHeight="1" thickBot="1">
      <c r="A109" s="386"/>
      <c r="C109" s="298"/>
      <c r="D109" s="295"/>
      <c r="E109" s="295"/>
      <c r="F109" s="295"/>
      <c r="G109" s="296"/>
      <c r="H109" s="298"/>
      <c r="I109" s="298"/>
      <c r="J109" s="298"/>
      <c r="K109" s="296"/>
      <c r="L109" s="296"/>
      <c r="M109" s="93"/>
    </row>
    <row r="110" spans="1:13" s="7" customFormat="1" ht="20.100000000000001" customHeight="1" thickTop="1" thickBot="1">
      <c r="A110" s="42"/>
      <c r="B110" s="43" t="s">
        <v>394</v>
      </c>
      <c r="C110" s="46"/>
      <c r="D110" s="47"/>
      <c r="E110" s="48"/>
      <c r="F110" s="48"/>
      <c r="G110" s="48"/>
      <c r="H110" s="49"/>
      <c r="I110" s="35">
        <f>SUM(I72:I109)</f>
        <v>23039.600000000002</v>
      </c>
      <c r="J110" s="49"/>
      <c r="K110" s="35"/>
      <c r="L110" s="35">
        <f>SUM(L72:L109)</f>
        <v>23039.600000000002</v>
      </c>
      <c r="M110" s="36"/>
    </row>
    <row r="111" spans="1:13" s="7" customFormat="1" ht="20.100000000000001" customHeight="1" thickTop="1">
      <c r="A111" s="420"/>
      <c r="B111" s="387"/>
      <c r="C111" s="388"/>
      <c r="D111" s="1"/>
      <c r="E111" s="1"/>
      <c r="F111" s="1"/>
      <c r="G111" s="387"/>
      <c r="H111" s="403"/>
      <c r="I111" s="388"/>
      <c r="J111" s="388"/>
      <c r="K111" s="388"/>
      <c r="L111" s="388"/>
      <c r="M111" s="417"/>
    </row>
    <row r="112" spans="1:13" s="7" customFormat="1" ht="20.100000000000001" customHeight="1">
      <c r="A112" s="77" t="s">
        <v>22</v>
      </c>
      <c r="B112" s="78" t="s">
        <v>146</v>
      </c>
      <c r="C112" s="176"/>
      <c r="D112" s="177"/>
      <c r="E112" s="79"/>
      <c r="F112" s="79"/>
      <c r="G112" s="79"/>
      <c r="H112" s="307"/>
      <c r="I112" s="80"/>
      <c r="J112" s="80"/>
      <c r="K112" s="80"/>
      <c r="L112" s="81"/>
      <c r="M112" s="82"/>
    </row>
    <row r="113" spans="1:13" s="7" customFormat="1" ht="20.100000000000001" customHeight="1">
      <c r="A113" s="228" t="s">
        <v>147</v>
      </c>
      <c r="B113" s="234" t="s">
        <v>248</v>
      </c>
      <c r="C113" s="231"/>
      <c r="D113" s="232"/>
      <c r="E113" s="114"/>
      <c r="F113" s="114"/>
      <c r="G113" s="114"/>
      <c r="H113" s="115"/>
      <c r="I113" s="115"/>
      <c r="J113" s="115"/>
      <c r="K113" s="115"/>
      <c r="L113" s="116"/>
      <c r="M113" s="108"/>
    </row>
    <row r="114" spans="1:13" s="7" customFormat="1" ht="20.100000000000001" customHeight="1">
      <c r="A114" s="230" t="s">
        <v>170</v>
      </c>
      <c r="B114" s="110" t="s">
        <v>238</v>
      </c>
      <c r="C114" s="231" t="s">
        <v>169</v>
      </c>
      <c r="D114" s="232"/>
      <c r="E114" s="114"/>
      <c r="F114" s="114"/>
      <c r="G114" s="114">
        <v>497</v>
      </c>
      <c r="H114" s="114">
        <v>42</v>
      </c>
      <c r="I114" s="115">
        <f>G114*H114</f>
        <v>20874</v>
      </c>
      <c r="J114" s="115"/>
      <c r="K114" s="115"/>
      <c r="L114" s="116">
        <f>K114+I114</f>
        <v>20874</v>
      </c>
      <c r="M114" s="233"/>
    </row>
    <row r="115" spans="1:13" s="7" customFormat="1" ht="20.100000000000001" customHeight="1" thickBot="1">
      <c r="A115" s="230" t="s">
        <v>188</v>
      </c>
      <c r="B115" s="292" t="s">
        <v>189</v>
      </c>
      <c r="C115" s="284" t="s">
        <v>172</v>
      </c>
      <c r="D115" s="285"/>
      <c r="E115" s="131"/>
      <c r="F115" s="131"/>
      <c r="G115" s="131"/>
      <c r="H115" s="131"/>
      <c r="I115" s="132">
        <v>5000</v>
      </c>
      <c r="J115" s="132"/>
      <c r="K115" s="132"/>
      <c r="L115" s="194">
        <v>5000</v>
      </c>
      <c r="M115" s="233"/>
    </row>
    <row r="116" spans="1:13" s="7" customFormat="1" ht="19.5" customHeight="1" thickTop="1" thickBot="1">
      <c r="A116" s="230"/>
      <c r="B116" s="110"/>
      <c r="C116" s="231"/>
      <c r="D116" s="232"/>
      <c r="E116" s="114"/>
      <c r="F116" s="114"/>
      <c r="G116" s="114"/>
      <c r="H116" s="114"/>
      <c r="I116" s="409"/>
      <c r="J116" s="410"/>
      <c r="K116" s="409"/>
      <c r="L116" s="409"/>
      <c r="M116" s="233"/>
    </row>
    <row r="117" spans="1:13" s="7" customFormat="1" ht="19.5" customHeight="1" thickTop="1" thickBot="1">
      <c r="A117" s="42"/>
      <c r="B117" s="43" t="s">
        <v>148</v>
      </c>
      <c r="C117" s="46"/>
      <c r="D117" s="47"/>
      <c r="E117" s="48"/>
      <c r="F117" s="48"/>
      <c r="G117" s="48"/>
      <c r="H117" s="49"/>
      <c r="I117" s="35">
        <f>SUM(I112:I116)</f>
        <v>25874</v>
      </c>
      <c r="J117" s="49"/>
      <c r="K117" s="35"/>
      <c r="L117" s="35">
        <f>SUM(L112:L116)</f>
        <v>25874</v>
      </c>
      <c r="M117" s="36"/>
    </row>
    <row r="118" spans="1:13" s="7" customFormat="1" ht="20.25" customHeight="1" thickTop="1">
      <c r="A118" s="362" t="s">
        <v>23</v>
      </c>
      <c r="B118" s="363" t="s">
        <v>360</v>
      </c>
      <c r="C118" s="178" t="s">
        <v>34</v>
      </c>
      <c r="D118" s="179"/>
      <c r="E118" s="180"/>
      <c r="F118" s="180"/>
      <c r="G118" s="180"/>
      <c r="H118" s="399"/>
      <c r="I118" s="181"/>
      <c r="J118" s="181"/>
      <c r="K118" s="181"/>
      <c r="L118" s="182"/>
      <c r="M118" s="183"/>
    </row>
    <row r="119" spans="1:13" s="7" customFormat="1" ht="20.100000000000001" customHeight="1">
      <c r="A119" s="228" t="s">
        <v>149</v>
      </c>
      <c r="B119" s="364" t="s">
        <v>361</v>
      </c>
      <c r="C119" s="365"/>
      <c r="D119" s="229"/>
      <c r="E119" s="105"/>
      <c r="F119" s="105"/>
      <c r="G119" s="105"/>
      <c r="H119" s="106"/>
      <c r="I119" s="106"/>
      <c r="J119" s="106"/>
      <c r="K119" s="106"/>
      <c r="L119" s="107"/>
      <c r="M119" s="108"/>
    </row>
    <row r="120" spans="1:13" s="7" customFormat="1" ht="20.100000000000001" customHeight="1">
      <c r="A120" s="230"/>
      <c r="B120" s="235" t="s">
        <v>362</v>
      </c>
      <c r="C120" s="231" t="s">
        <v>363</v>
      </c>
      <c r="D120" s="112">
        <v>0</v>
      </c>
      <c r="E120" s="113">
        <f>32*2</f>
        <v>64</v>
      </c>
      <c r="F120" s="114"/>
      <c r="G120" s="114">
        <v>16</v>
      </c>
      <c r="H120" s="114">
        <v>540</v>
      </c>
      <c r="I120" s="115">
        <f t="shared" ref="I120:I126" si="14">G120*H120</f>
        <v>8640</v>
      </c>
      <c r="J120" s="115"/>
      <c r="K120" s="115"/>
      <c r="L120" s="116">
        <f t="shared" ref="L120:L126" si="15">K120+I120</f>
        <v>8640</v>
      </c>
      <c r="M120" s="83"/>
    </row>
    <row r="121" spans="1:13" s="7" customFormat="1" ht="20.100000000000001" customHeight="1">
      <c r="A121" s="230"/>
      <c r="B121" s="235" t="s">
        <v>364</v>
      </c>
      <c r="C121" s="111" t="s">
        <v>64</v>
      </c>
      <c r="D121" s="112">
        <v>0</v>
      </c>
      <c r="E121" s="113">
        <f>4.38*2</f>
        <v>8.76</v>
      </c>
      <c r="F121" s="114"/>
      <c r="G121" s="114">
        <v>2.2000000000000002</v>
      </c>
      <c r="H121" s="114">
        <v>470</v>
      </c>
      <c r="I121" s="115">
        <f t="shared" si="14"/>
        <v>1034</v>
      </c>
      <c r="J121" s="115"/>
      <c r="K121" s="115"/>
      <c r="L121" s="116">
        <f t="shared" si="15"/>
        <v>1034</v>
      </c>
      <c r="M121" s="83"/>
    </row>
    <row r="122" spans="1:13" s="7" customFormat="1" ht="20.100000000000001" customHeight="1">
      <c r="A122" s="230"/>
      <c r="B122" s="270" t="s">
        <v>365</v>
      </c>
      <c r="C122" s="111" t="s">
        <v>102</v>
      </c>
      <c r="D122" s="112">
        <v>0</v>
      </c>
      <c r="E122" s="113">
        <f>6*3.12*2</f>
        <v>37.44</v>
      </c>
      <c r="F122" s="114"/>
      <c r="G122" s="114">
        <v>8.2200000000000006</v>
      </c>
      <c r="H122" s="114">
        <v>70</v>
      </c>
      <c r="I122" s="115">
        <f t="shared" si="14"/>
        <v>575.40000000000009</v>
      </c>
      <c r="J122" s="115"/>
      <c r="K122" s="115"/>
      <c r="L122" s="116">
        <f t="shared" si="15"/>
        <v>575.40000000000009</v>
      </c>
      <c r="M122" s="83"/>
    </row>
    <row r="123" spans="1:13" s="7" customFormat="1" ht="20.100000000000001" customHeight="1">
      <c r="A123" s="230"/>
      <c r="B123" s="235" t="s">
        <v>366</v>
      </c>
      <c r="C123" s="111" t="s">
        <v>168</v>
      </c>
      <c r="D123" s="112"/>
      <c r="E123" s="113"/>
      <c r="F123" s="114"/>
      <c r="G123" s="114">
        <v>1</v>
      </c>
      <c r="H123" s="114">
        <v>12000</v>
      </c>
      <c r="I123" s="115">
        <f t="shared" si="14"/>
        <v>12000</v>
      </c>
      <c r="J123" s="115"/>
      <c r="K123" s="115"/>
      <c r="L123" s="116">
        <f t="shared" si="15"/>
        <v>12000</v>
      </c>
      <c r="M123" s="83"/>
    </row>
    <row r="124" spans="1:13" s="7" customFormat="1" ht="20.100000000000001" customHeight="1">
      <c r="A124" s="230"/>
      <c r="B124" s="222" t="s">
        <v>367</v>
      </c>
      <c r="C124" s="111" t="s">
        <v>168</v>
      </c>
      <c r="D124" s="112"/>
      <c r="E124" s="113"/>
      <c r="F124" s="114"/>
      <c r="G124" s="114">
        <v>1</v>
      </c>
      <c r="H124" s="114">
        <v>2500</v>
      </c>
      <c r="I124" s="115">
        <f t="shared" si="14"/>
        <v>2500</v>
      </c>
      <c r="J124" s="115"/>
      <c r="K124" s="115"/>
      <c r="L124" s="116">
        <f t="shared" si="15"/>
        <v>2500</v>
      </c>
      <c r="M124" s="83"/>
    </row>
    <row r="125" spans="1:13" s="7" customFormat="1" ht="20.100000000000001" customHeight="1">
      <c r="A125" s="230"/>
      <c r="B125" s="222" t="s">
        <v>368</v>
      </c>
      <c r="C125" s="111" t="s">
        <v>168</v>
      </c>
      <c r="D125" s="112"/>
      <c r="E125" s="113"/>
      <c r="F125" s="114"/>
      <c r="G125" s="114">
        <v>1</v>
      </c>
      <c r="H125" s="114">
        <v>3500</v>
      </c>
      <c r="I125" s="115">
        <f t="shared" si="14"/>
        <v>3500</v>
      </c>
      <c r="J125" s="115"/>
      <c r="K125" s="115"/>
      <c r="L125" s="116">
        <f t="shared" si="15"/>
        <v>3500</v>
      </c>
      <c r="M125" s="83"/>
    </row>
    <row r="126" spans="1:13" s="1" customFormat="1" ht="39" customHeight="1">
      <c r="A126" s="230"/>
      <c r="B126" s="235" t="s">
        <v>369</v>
      </c>
      <c r="C126" s="111" t="s">
        <v>102</v>
      </c>
      <c r="D126" s="112">
        <v>0</v>
      </c>
      <c r="E126" s="113">
        <f>6*3.12*2</f>
        <v>37.44</v>
      </c>
      <c r="F126" s="114"/>
      <c r="G126" s="114">
        <v>6.2</v>
      </c>
      <c r="H126" s="114">
        <v>1800</v>
      </c>
      <c r="I126" s="115">
        <f t="shared" si="14"/>
        <v>11160</v>
      </c>
      <c r="J126" s="115"/>
      <c r="K126" s="115"/>
      <c r="L126" s="116">
        <f t="shared" si="15"/>
        <v>11160</v>
      </c>
      <c r="M126" s="83"/>
    </row>
    <row r="127" spans="1:13" s="1" customFormat="1" ht="20.100000000000001" customHeight="1" thickBot="1">
      <c r="A127" s="389"/>
      <c r="B127" s="193"/>
      <c r="C127" s="118"/>
      <c r="D127" s="119"/>
      <c r="E127" s="120"/>
      <c r="F127" s="121"/>
      <c r="G127" s="121"/>
      <c r="H127" s="390"/>
      <c r="I127" s="122"/>
      <c r="J127" s="390"/>
      <c r="K127" s="122"/>
      <c r="L127" s="123"/>
      <c r="M127" s="83"/>
    </row>
    <row r="128" spans="1:13" s="7" customFormat="1" ht="20.100000000000001" customHeight="1" thickTop="1" thickBot="1">
      <c r="A128" s="42"/>
      <c r="B128" s="43" t="s">
        <v>150</v>
      </c>
      <c r="C128" s="46"/>
      <c r="D128" s="47"/>
      <c r="E128" s="48"/>
      <c r="F128" s="48"/>
      <c r="G128" s="48"/>
      <c r="H128" s="49"/>
      <c r="I128" s="282">
        <f>SUM(I120:I127)</f>
        <v>39409.4</v>
      </c>
      <c r="J128" s="49"/>
      <c r="K128" s="35"/>
      <c r="L128" s="282">
        <f>SUM(L118:L127)</f>
        <v>39409.4</v>
      </c>
      <c r="M128" s="36"/>
    </row>
    <row r="129" spans="1:13" s="7" customFormat="1" ht="20.100000000000001" customHeight="1" thickTop="1">
      <c r="A129" s="77" t="s">
        <v>370</v>
      </c>
      <c r="B129" s="78" t="s">
        <v>151</v>
      </c>
      <c r="C129" s="176" t="s">
        <v>34</v>
      </c>
      <c r="D129" s="177"/>
      <c r="E129" s="79"/>
      <c r="F129" s="79"/>
      <c r="G129" s="79"/>
      <c r="H129" s="307"/>
      <c r="I129" s="80"/>
      <c r="J129" s="80"/>
      <c r="K129" s="80"/>
      <c r="L129" s="81"/>
      <c r="M129" s="417"/>
    </row>
    <row r="130" spans="1:13" s="7" customFormat="1" ht="20.100000000000001" customHeight="1">
      <c r="A130" s="236" t="s">
        <v>371</v>
      </c>
      <c r="B130" s="237" t="s">
        <v>239</v>
      </c>
      <c r="C130" s="111" t="s">
        <v>395</v>
      </c>
      <c r="D130" s="112">
        <v>0</v>
      </c>
      <c r="E130" s="113">
        <v>530</v>
      </c>
      <c r="F130" s="114"/>
      <c r="G130" s="114">
        <v>2</v>
      </c>
      <c r="H130" s="114">
        <v>1650</v>
      </c>
      <c r="I130" s="115">
        <f t="shared" ref="I130:I141" si="16">G130*H130</f>
        <v>3300</v>
      </c>
      <c r="J130" s="115"/>
      <c r="K130" s="115"/>
      <c r="L130" s="116">
        <f t="shared" ref="L130:L141" si="17">K130+I130</f>
        <v>3300</v>
      </c>
      <c r="M130" s="82"/>
    </row>
    <row r="131" spans="1:13" s="7" customFormat="1" ht="20.100000000000001" customHeight="1">
      <c r="A131" s="230" t="s">
        <v>372</v>
      </c>
      <c r="B131" s="237" t="s">
        <v>240</v>
      </c>
      <c r="C131" s="111" t="s">
        <v>395</v>
      </c>
      <c r="D131" s="112">
        <v>0</v>
      </c>
      <c r="E131" s="113">
        <v>530</v>
      </c>
      <c r="F131" s="114"/>
      <c r="G131" s="114">
        <v>2</v>
      </c>
      <c r="H131" s="114">
        <v>5375</v>
      </c>
      <c r="I131" s="115">
        <f t="shared" si="16"/>
        <v>10750</v>
      </c>
      <c r="J131" s="115"/>
      <c r="K131" s="115"/>
      <c r="L131" s="116">
        <f t="shared" si="17"/>
        <v>10750</v>
      </c>
      <c r="M131" s="117"/>
    </row>
    <row r="132" spans="1:13" s="7" customFormat="1" ht="20.100000000000001" customHeight="1">
      <c r="A132" s="230" t="s">
        <v>396</v>
      </c>
      <c r="B132" s="237" t="s">
        <v>250</v>
      </c>
      <c r="C132" s="111" t="s">
        <v>395</v>
      </c>
      <c r="D132" s="304"/>
      <c r="E132" s="305"/>
      <c r="F132" s="306"/>
      <c r="G132" s="391">
        <v>2</v>
      </c>
      <c r="H132" s="391">
        <v>8250</v>
      </c>
      <c r="I132" s="115">
        <f t="shared" si="16"/>
        <v>16500</v>
      </c>
      <c r="J132" s="392"/>
      <c r="K132" s="392"/>
      <c r="L132" s="116">
        <f t="shared" si="17"/>
        <v>16500</v>
      </c>
      <c r="M132" s="117"/>
    </row>
    <row r="133" spans="1:13" s="7" customFormat="1" ht="20.100000000000001" customHeight="1">
      <c r="A133" s="230" t="s">
        <v>397</v>
      </c>
      <c r="B133" s="237" t="s">
        <v>251</v>
      </c>
      <c r="C133" s="111" t="s">
        <v>395</v>
      </c>
      <c r="D133" s="304"/>
      <c r="E133" s="305"/>
      <c r="F133" s="306"/>
      <c r="G133" s="391">
        <v>2</v>
      </c>
      <c r="H133" s="391">
        <v>24250</v>
      </c>
      <c r="I133" s="115">
        <f t="shared" si="16"/>
        <v>48500</v>
      </c>
      <c r="J133" s="392"/>
      <c r="K133" s="392"/>
      <c r="L133" s="116">
        <f t="shared" si="17"/>
        <v>48500</v>
      </c>
      <c r="M133" s="117"/>
    </row>
    <row r="134" spans="1:13" s="7" customFormat="1" ht="20.100000000000001" customHeight="1">
      <c r="A134" s="230" t="s">
        <v>398</v>
      </c>
      <c r="B134" s="237" t="s">
        <v>399</v>
      </c>
      <c r="C134" s="111" t="s">
        <v>395</v>
      </c>
      <c r="D134" s="304"/>
      <c r="E134" s="305"/>
      <c r="F134" s="306"/>
      <c r="G134" s="391">
        <v>2</v>
      </c>
      <c r="H134" s="391">
        <v>18500</v>
      </c>
      <c r="I134" s="115">
        <f t="shared" si="16"/>
        <v>37000</v>
      </c>
      <c r="J134" s="392"/>
      <c r="K134" s="392"/>
      <c r="L134" s="116">
        <f t="shared" si="17"/>
        <v>37000</v>
      </c>
      <c r="M134" s="117"/>
    </row>
    <row r="135" spans="1:13" s="7" customFormat="1" ht="20.100000000000001" customHeight="1">
      <c r="A135" s="230" t="s">
        <v>400</v>
      </c>
      <c r="B135" s="237" t="s">
        <v>401</v>
      </c>
      <c r="C135" s="111" t="s">
        <v>395</v>
      </c>
      <c r="D135" s="304"/>
      <c r="E135" s="305"/>
      <c r="F135" s="306"/>
      <c r="G135" s="391">
        <v>2</v>
      </c>
      <c r="H135" s="391">
        <v>12000</v>
      </c>
      <c r="I135" s="115">
        <f t="shared" si="16"/>
        <v>24000</v>
      </c>
      <c r="J135" s="392"/>
      <c r="K135" s="392"/>
      <c r="L135" s="116">
        <f t="shared" si="17"/>
        <v>24000</v>
      </c>
      <c r="M135" s="117"/>
    </row>
    <row r="136" spans="1:13" s="7" customFormat="1" ht="20.100000000000001" customHeight="1">
      <c r="A136" s="230" t="s">
        <v>402</v>
      </c>
      <c r="B136" s="237" t="s">
        <v>403</v>
      </c>
      <c r="C136" s="111" t="s">
        <v>395</v>
      </c>
      <c r="D136" s="304"/>
      <c r="E136" s="305"/>
      <c r="F136" s="306"/>
      <c r="G136" s="391">
        <v>2</v>
      </c>
      <c r="H136" s="391">
        <v>8750</v>
      </c>
      <c r="I136" s="115">
        <f t="shared" si="16"/>
        <v>17500</v>
      </c>
      <c r="J136" s="392"/>
      <c r="K136" s="392"/>
      <c r="L136" s="116">
        <f t="shared" si="17"/>
        <v>17500</v>
      </c>
      <c r="M136" s="117"/>
    </row>
    <row r="137" spans="1:13" s="7" customFormat="1" ht="20.100000000000001" customHeight="1">
      <c r="A137" s="230" t="s">
        <v>404</v>
      </c>
      <c r="B137" s="237" t="s">
        <v>405</v>
      </c>
      <c r="C137" s="111" t="s">
        <v>395</v>
      </c>
      <c r="D137" s="304"/>
      <c r="E137" s="305"/>
      <c r="F137" s="306"/>
      <c r="G137" s="391">
        <v>1</v>
      </c>
      <c r="H137" s="391">
        <v>3750</v>
      </c>
      <c r="I137" s="115">
        <f t="shared" si="16"/>
        <v>3750</v>
      </c>
      <c r="J137" s="392"/>
      <c r="K137" s="392"/>
      <c r="L137" s="116">
        <f t="shared" si="17"/>
        <v>3750</v>
      </c>
      <c r="M137" s="117"/>
    </row>
    <row r="138" spans="1:13" s="7" customFormat="1" ht="20.100000000000001" customHeight="1">
      <c r="A138" s="230" t="s">
        <v>406</v>
      </c>
      <c r="B138" s="237" t="s">
        <v>407</v>
      </c>
      <c r="C138" s="111" t="s">
        <v>395</v>
      </c>
      <c r="D138" s="304"/>
      <c r="E138" s="305"/>
      <c r="F138" s="306"/>
      <c r="G138" s="391">
        <v>1</v>
      </c>
      <c r="H138" s="391">
        <v>7000</v>
      </c>
      <c r="I138" s="115">
        <f t="shared" si="16"/>
        <v>7000</v>
      </c>
      <c r="J138" s="392"/>
      <c r="K138" s="392"/>
      <c r="L138" s="116">
        <f t="shared" si="17"/>
        <v>7000</v>
      </c>
      <c r="M138" s="117"/>
    </row>
    <row r="139" spans="1:13" s="7" customFormat="1" ht="20.100000000000001" customHeight="1">
      <c r="A139" s="230" t="s">
        <v>408</v>
      </c>
      <c r="B139" s="237" t="s">
        <v>409</v>
      </c>
      <c r="C139" s="111" t="s">
        <v>395</v>
      </c>
      <c r="D139" s="304"/>
      <c r="E139" s="305"/>
      <c r="F139" s="306"/>
      <c r="G139" s="391">
        <v>1</v>
      </c>
      <c r="H139" s="391">
        <v>9300</v>
      </c>
      <c r="I139" s="115">
        <f t="shared" si="16"/>
        <v>9300</v>
      </c>
      <c r="J139" s="392"/>
      <c r="K139" s="392"/>
      <c r="L139" s="116">
        <f t="shared" si="17"/>
        <v>9300</v>
      </c>
      <c r="M139" s="117"/>
    </row>
    <row r="140" spans="1:13" s="7" customFormat="1" ht="20.100000000000001" customHeight="1">
      <c r="A140" s="230" t="s">
        <v>410</v>
      </c>
      <c r="B140" s="237" t="s">
        <v>411</v>
      </c>
      <c r="C140" s="111" t="s">
        <v>395</v>
      </c>
      <c r="D140" s="304"/>
      <c r="E140" s="305"/>
      <c r="F140" s="306"/>
      <c r="G140" s="391">
        <v>1</v>
      </c>
      <c r="H140" s="391">
        <v>6250</v>
      </c>
      <c r="I140" s="115">
        <f t="shared" si="16"/>
        <v>6250</v>
      </c>
      <c r="J140" s="392"/>
      <c r="K140" s="392"/>
      <c r="L140" s="116">
        <f t="shared" si="17"/>
        <v>6250</v>
      </c>
      <c r="M140" s="117"/>
    </row>
    <row r="141" spans="1:13" s="7" customFormat="1" ht="20.25" customHeight="1">
      <c r="A141" s="230" t="s">
        <v>412</v>
      </c>
      <c r="B141" s="237" t="s">
        <v>373</v>
      </c>
      <c r="C141" s="111" t="s">
        <v>395</v>
      </c>
      <c r="D141" s="112">
        <v>0</v>
      </c>
      <c r="E141" s="113">
        <f>6*3.12*2</f>
        <v>37.44</v>
      </c>
      <c r="F141" s="114"/>
      <c r="G141" s="114">
        <v>1</v>
      </c>
      <c r="H141" s="114">
        <v>32750</v>
      </c>
      <c r="I141" s="115">
        <f t="shared" si="16"/>
        <v>32750</v>
      </c>
      <c r="J141" s="115"/>
      <c r="K141" s="115"/>
      <c r="L141" s="116">
        <f t="shared" si="17"/>
        <v>32750</v>
      </c>
      <c r="M141" s="117"/>
    </row>
    <row r="142" spans="1:13" s="7" customFormat="1" ht="20.100000000000001" customHeight="1" thickBot="1">
      <c r="A142" s="393"/>
      <c r="B142" s="394"/>
      <c r="C142" s="395"/>
      <c r="D142" s="119"/>
      <c r="E142" s="120"/>
      <c r="F142" s="121"/>
      <c r="G142" s="121"/>
      <c r="H142" s="122"/>
      <c r="I142" s="122"/>
      <c r="J142" s="122"/>
      <c r="K142" s="122"/>
      <c r="L142" s="123"/>
      <c r="M142" s="83"/>
    </row>
    <row r="143" spans="1:13" s="7" customFormat="1" ht="23.25" customHeight="1" thickTop="1" thickBot="1">
      <c r="A143" s="42"/>
      <c r="B143" s="43" t="s">
        <v>374</v>
      </c>
      <c r="C143" s="46"/>
      <c r="D143" s="47"/>
      <c r="E143" s="48"/>
      <c r="F143" s="48"/>
      <c r="G143" s="48"/>
      <c r="H143" s="49"/>
      <c r="I143" s="35">
        <f>SUM(I130:I142)</f>
        <v>216600</v>
      </c>
      <c r="J143" s="49"/>
      <c r="K143" s="35"/>
      <c r="L143" s="35">
        <f>SUM(L130:L142)</f>
        <v>216600</v>
      </c>
      <c r="M143" s="36"/>
    </row>
    <row r="144" spans="1:13" s="7" customFormat="1" ht="23.25" customHeight="1" thickTop="1" thickBot="1">
      <c r="A144" s="44"/>
      <c r="B144" s="45" t="s">
        <v>152</v>
      </c>
      <c r="C144" s="45"/>
      <c r="D144" s="396"/>
      <c r="E144" s="39"/>
      <c r="F144" s="39"/>
      <c r="G144" s="39"/>
      <c r="H144" s="368"/>
      <c r="I144" s="40">
        <f>I19+I33+I42+I53+I69+I110+I117+I128+I143</f>
        <v>756138.4</v>
      </c>
      <c r="J144" s="40"/>
      <c r="K144" s="40">
        <f>K19+K33+K42+K53+K69+K110+K117+K128+K143</f>
        <v>126814.91</v>
      </c>
      <c r="L144" s="40">
        <f>L19+L33+L42+L53+L69+L110+L117+L128+L143</f>
        <v>882953.31</v>
      </c>
      <c r="M144" s="41"/>
    </row>
    <row r="145" spans="1:13" s="7" customFormat="1" ht="20.100000000000001" customHeight="1">
      <c r="A145" s="1"/>
      <c r="B145" s="1"/>
      <c r="C145" s="1"/>
      <c r="D145" s="1"/>
      <c r="E145" s="1"/>
      <c r="F145" s="1"/>
      <c r="G145" s="1"/>
      <c r="I145" s="1"/>
      <c r="J145" s="1"/>
      <c r="K145" s="1"/>
      <c r="L145" s="1"/>
      <c r="M145" s="1"/>
    </row>
    <row r="146" spans="1:13" s="7" customFormat="1" ht="20.100000000000001" customHeight="1"/>
    <row r="147" spans="1:13" s="7" customFormat="1" ht="20.100000000000001" customHeight="1"/>
    <row r="148" spans="1:13" s="7" customFormat="1" ht="20.100000000000001" customHeight="1"/>
    <row r="149" spans="1:13" s="7" customFormat="1" ht="20.100000000000001" customHeight="1"/>
    <row r="150" spans="1:13" s="7" customFormat="1" ht="20.100000000000001" customHeight="1"/>
    <row r="151" spans="1:13" s="7" customFormat="1" ht="20.100000000000001" customHeight="1"/>
    <row r="152" spans="1:13" s="7" customFormat="1" ht="20.100000000000001" customHeight="1"/>
    <row r="153" spans="1:13" s="7" customFormat="1" ht="20.100000000000001" customHeight="1"/>
    <row r="154" spans="1:13" s="7" customFormat="1" ht="20.100000000000001" customHeight="1"/>
    <row r="155" spans="1:13" s="1" customFormat="1" ht="20.100000000000001" customHeight="1">
      <c r="H155" s="7"/>
    </row>
    <row r="156" spans="1:13" s="1" customFormat="1" ht="20.100000000000001" customHeight="1">
      <c r="H156" s="7"/>
    </row>
    <row r="157" spans="1:13" s="7" customFormat="1" ht="20.100000000000001" customHeight="1"/>
    <row r="158" spans="1:13" s="7" customFormat="1" ht="20.100000000000001" customHeight="1"/>
    <row r="159" spans="1:13" s="7" customFormat="1" ht="20.100000000000001" customHeight="1"/>
    <row r="160" spans="1:13" s="7" customFormat="1" ht="20.100000000000001" customHeight="1"/>
    <row r="161" spans="8:8" s="7" customFormat="1" ht="20.100000000000001" customHeight="1"/>
    <row r="162" spans="8:8" s="7" customFormat="1" ht="20.100000000000001" customHeight="1"/>
    <row r="163" spans="8:8" s="7" customFormat="1" ht="20.100000000000001" customHeight="1"/>
    <row r="164" spans="8:8" s="7" customFormat="1" ht="34.5" customHeight="1"/>
    <row r="165" spans="8:8" s="7" customFormat="1" ht="20.25" customHeight="1"/>
    <row r="166" spans="8:8" s="7" customFormat="1" ht="20.100000000000001" customHeight="1"/>
    <row r="167" spans="8:8" s="1" customFormat="1" ht="20.100000000000001" customHeight="1">
      <c r="H167" s="7"/>
    </row>
    <row r="168" spans="8:8" s="1" customFormat="1" ht="20.100000000000001" customHeight="1">
      <c r="H168" s="7"/>
    </row>
    <row r="169" spans="8:8" s="7" customFormat="1" ht="20.100000000000001" customHeight="1"/>
    <row r="170" spans="8:8" s="7" customFormat="1" ht="20.100000000000001" customHeight="1"/>
    <row r="171" spans="8:8" s="7" customFormat="1" ht="20.100000000000001" customHeight="1"/>
    <row r="172" spans="8:8" s="7" customFormat="1" ht="40.5" customHeight="1"/>
    <row r="173" spans="8:8" s="7" customFormat="1" ht="21" customHeight="1"/>
    <row r="174" spans="8:8" s="7" customFormat="1" ht="20.100000000000001" customHeight="1"/>
    <row r="175" spans="8:8" s="1" customFormat="1" ht="20.100000000000001" customHeight="1">
      <c r="H175" s="7"/>
    </row>
    <row r="176" spans="8:8" s="7" customFormat="1" ht="20.100000000000001" customHeight="1"/>
    <row r="177" spans="8:8" s="1" customFormat="1" ht="20.100000000000001" customHeight="1">
      <c r="H177" s="7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0" activePane="bottomRight" state="frozen"/>
      <selection activeCell="P4" sqref="P4"/>
      <selection pane="topRight" activeCell="P4" sqref="P4"/>
      <selection pane="bottomLeft" activeCell="P4" sqref="P4"/>
      <selection pane="bottomRight" activeCell="A70" sqref="A70:M70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56" t="s">
        <v>243</v>
      </c>
      <c r="K4" s="456"/>
      <c r="L4" s="456"/>
      <c r="M4" s="457"/>
    </row>
    <row r="5" spans="1:13" s="1" customFormat="1" ht="20.100000000000001" customHeight="1" thickBot="1">
      <c r="A5" s="133" t="s">
        <v>418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68" t="s">
        <v>3</v>
      </c>
      <c r="B6" s="470" t="s">
        <v>4</v>
      </c>
      <c r="C6" s="470" t="s">
        <v>38</v>
      </c>
      <c r="D6" s="30" t="s">
        <v>47</v>
      </c>
      <c r="E6" s="369" t="s">
        <v>39</v>
      </c>
      <c r="F6" s="369" t="s">
        <v>39</v>
      </c>
      <c r="G6" s="472" t="s">
        <v>39</v>
      </c>
      <c r="H6" s="464" t="s">
        <v>40</v>
      </c>
      <c r="I6" s="465"/>
      <c r="J6" s="466" t="s">
        <v>41</v>
      </c>
      <c r="K6" s="467"/>
      <c r="L6" s="31" t="s">
        <v>6</v>
      </c>
      <c r="M6" s="462" t="s">
        <v>42</v>
      </c>
    </row>
    <row r="7" spans="1:13" s="25" customFormat="1" ht="20.100000000000001" customHeight="1" thickBot="1">
      <c r="A7" s="469"/>
      <c r="B7" s="471"/>
      <c r="C7" s="471"/>
      <c r="D7" s="32" t="s">
        <v>48</v>
      </c>
      <c r="E7" s="370"/>
      <c r="F7" s="370"/>
      <c r="G7" s="473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63"/>
    </row>
    <row r="8" spans="1:13" s="1" customFormat="1" ht="20.100000000000001" customHeight="1">
      <c r="A8" s="29" t="s">
        <v>153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10" t="s">
        <v>258</v>
      </c>
      <c r="B9" s="91" t="s">
        <v>259</v>
      </c>
      <c r="C9" s="92"/>
      <c r="D9" s="238">
        <v>0</v>
      </c>
      <c r="E9" s="239">
        <v>1</v>
      </c>
      <c r="F9" s="240"/>
      <c r="G9" s="240"/>
      <c r="H9" s="241"/>
      <c r="I9" s="242"/>
      <c r="J9" s="241"/>
      <c r="K9" s="242"/>
      <c r="L9" s="243"/>
      <c r="M9" s="244"/>
    </row>
    <row r="10" spans="1:13" ht="18" customHeight="1">
      <c r="A10" s="246"/>
      <c r="B10" s="213" t="s">
        <v>260</v>
      </c>
      <c r="C10" s="111" t="s">
        <v>122</v>
      </c>
      <c r="D10" s="112"/>
      <c r="E10" s="113"/>
      <c r="F10" s="113"/>
      <c r="G10" s="114">
        <v>1</v>
      </c>
      <c r="H10" s="240">
        <v>1465</v>
      </c>
      <c r="I10" s="115">
        <f t="shared" ref="I10:I17" si="0">G10*H10</f>
        <v>1465</v>
      </c>
      <c r="J10" s="115">
        <v>110</v>
      </c>
      <c r="K10" s="115">
        <f>G10*J10</f>
        <v>110</v>
      </c>
      <c r="L10" s="116">
        <f t="shared" ref="L10:L17" si="1">SUM(I10+K10)</f>
        <v>1575</v>
      </c>
      <c r="M10" s="83"/>
    </row>
    <row r="11" spans="1:13" ht="18" customHeight="1">
      <c r="A11" s="246"/>
      <c r="B11" s="213" t="s">
        <v>261</v>
      </c>
      <c r="C11" s="111" t="s">
        <v>122</v>
      </c>
      <c r="D11" s="112"/>
      <c r="E11" s="113"/>
      <c r="F11" s="113"/>
      <c r="G11" s="114">
        <v>1</v>
      </c>
      <c r="H11" s="240">
        <v>1100</v>
      </c>
      <c r="I11" s="115">
        <f t="shared" si="0"/>
        <v>1100</v>
      </c>
      <c r="J11" s="115">
        <v>110</v>
      </c>
      <c r="K11" s="115">
        <f t="shared" ref="K11:K17" si="2">G11*J11</f>
        <v>110</v>
      </c>
      <c r="L11" s="116">
        <f t="shared" si="1"/>
        <v>1210</v>
      </c>
      <c r="M11" s="83"/>
    </row>
    <row r="12" spans="1:13" ht="18" customHeight="1">
      <c r="A12" s="246"/>
      <c r="B12" s="213" t="s">
        <v>262</v>
      </c>
      <c r="C12" s="111" t="s">
        <v>122</v>
      </c>
      <c r="D12" s="112">
        <v>0</v>
      </c>
      <c r="E12" s="113">
        <v>12</v>
      </c>
      <c r="F12" s="114"/>
      <c r="G12" s="114">
        <v>6</v>
      </c>
      <c r="H12" s="240">
        <v>110</v>
      </c>
      <c r="I12" s="115">
        <f t="shared" si="0"/>
        <v>660</v>
      </c>
      <c r="J12" s="115">
        <v>110</v>
      </c>
      <c r="K12" s="115">
        <f t="shared" si="2"/>
        <v>660</v>
      </c>
      <c r="L12" s="116">
        <f t="shared" si="1"/>
        <v>1320</v>
      </c>
      <c r="M12" s="83"/>
    </row>
    <row r="13" spans="1:13" ht="18" customHeight="1">
      <c r="A13" s="246"/>
      <c r="B13" s="213" t="s">
        <v>442</v>
      </c>
      <c r="C13" s="111" t="s">
        <v>122</v>
      </c>
      <c r="D13" s="112">
        <v>0</v>
      </c>
      <c r="E13" s="113">
        <v>12</v>
      </c>
      <c r="F13" s="114"/>
      <c r="G13" s="114">
        <v>1</v>
      </c>
      <c r="H13" s="240">
        <v>110</v>
      </c>
      <c r="I13" s="115">
        <f>G13*H13</f>
        <v>110</v>
      </c>
      <c r="J13" s="115">
        <v>110</v>
      </c>
      <c r="K13" s="115">
        <f>G13*J13</f>
        <v>110</v>
      </c>
      <c r="L13" s="116">
        <f>SUM(I13+K13)</f>
        <v>220</v>
      </c>
      <c r="M13" s="83"/>
    </row>
    <row r="14" spans="1:13" ht="18" customHeight="1">
      <c r="A14" s="246"/>
      <c r="B14" s="213" t="s">
        <v>263</v>
      </c>
      <c r="C14" s="111" t="s">
        <v>122</v>
      </c>
      <c r="D14" s="112">
        <v>0</v>
      </c>
      <c r="E14" s="113">
        <v>12</v>
      </c>
      <c r="F14" s="114"/>
      <c r="G14" s="114">
        <v>2</v>
      </c>
      <c r="H14" s="240">
        <v>1450</v>
      </c>
      <c r="I14" s="115">
        <f t="shared" si="0"/>
        <v>2900</v>
      </c>
      <c r="J14" s="115">
        <v>110</v>
      </c>
      <c r="K14" s="115">
        <f t="shared" si="2"/>
        <v>220</v>
      </c>
      <c r="L14" s="116">
        <f t="shared" si="1"/>
        <v>3120</v>
      </c>
      <c r="M14" s="83"/>
    </row>
    <row r="15" spans="1:13" ht="18" customHeight="1">
      <c r="A15" s="246"/>
      <c r="B15" s="213" t="s">
        <v>264</v>
      </c>
      <c r="C15" s="111" t="s">
        <v>122</v>
      </c>
      <c r="D15" s="112">
        <v>0</v>
      </c>
      <c r="E15" s="113">
        <v>12</v>
      </c>
      <c r="F15" s="114"/>
      <c r="G15" s="114">
        <v>2</v>
      </c>
      <c r="H15" s="240">
        <v>1450</v>
      </c>
      <c r="I15" s="115">
        <f t="shared" si="0"/>
        <v>2900</v>
      </c>
      <c r="J15" s="115">
        <v>110</v>
      </c>
      <c r="K15" s="115">
        <f t="shared" si="2"/>
        <v>220</v>
      </c>
      <c r="L15" s="116">
        <f t="shared" si="1"/>
        <v>3120</v>
      </c>
      <c r="M15" s="83"/>
    </row>
    <row r="16" spans="1:13" ht="18" customHeight="1">
      <c r="A16" s="246"/>
      <c r="B16" s="213" t="s">
        <v>265</v>
      </c>
      <c r="C16" s="111" t="s">
        <v>122</v>
      </c>
      <c r="D16" s="112">
        <v>0</v>
      </c>
      <c r="E16" s="113">
        <v>12</v>
      </c>
      <c r="F16" s="114"/>
      <c r="G16" s="114">
        <v>1</v>
      </c>
      <c r="H16" s="240">
        <v>800</v>
      </c>
      <c r="I16" s="311">
        <f t="shared" si="0"/>
        <v>800</v>
      </c>
      <c r="J16" s="311">
        <v>200</v>
      </c>
      <c r="K16" s="115">
        <f t="shared" si="2"/>
        <v>200</v>
      </c>
      <c r="L16" s="116">
        <f t="shared" si="1"/>
        <v>1000</v>
      </c>
      <c r="M16" s="83"/>
    </row>
    <row r="17" spans="1:13" s="7" customFormat="1" ht="14.4" thickBot="1">
      <c r="A17" s="246"/>
      <c r="B17" s="213" t="s">
        <v>266</v>
      </c>
      <c r="C17" s="111" t="s">
        <v>122</v>
      </c>
      <c r="D17" s="112">
        <v>0</v>
      </c>
      <c r="E17" s="113">
        <v>12</v>
      </c>
      <c r="F17" s="114"/>
      <c r="G17" s="114">
        <v>1</v>
      </c>
      <c r="H17" s="240">
        <v>1900</v>
      </c>
      <c r="I17" s="311">
        <f t="shared" si="0"/>
        <v>1900</v>
      </c>
      <c r="J17" s="311">
        <v>400</v>
      </c>
      <c r="K17" s="115">
        <f t="shared" si="2"/>
        <v>400</v>
      </c>
      <c r="L17" s="116">
        <f t="shared" si="1"/>
        <v>2300</v>
      </c>
      <c r="M17" s="83"/>
    </row>
    <row r="18" spans="1:13" ht="20.100000000000001" customHeight="1" thickTop="1" thickBot="1">
      <c r="A18" s="247"/>
      <c r="B18" s="43" t="s">
        <v>154</v>
      </c>
      <c r="C18" s="46"/>
      <c r="D18" s="47"/>
      <c r="E18" s="48"/>
      <c r="F18" s="48"/>
      <c r="G18" s="48"/>
      <c r="H18" s="49"/>
      <c r="I18" s="35">
        <f>SUM(I10:I17)</f>
        <v>11835</v>
      </c>
      <c r="J18" s="49"/>
      <c r="K18" s="35">
        <f>SUM(K10:K17)</f>
        <v>2030</v>
      </c>
      <c r="L18" s="35">
        <f>SUM(L10:L17)</f>
        <v>13865</v>
      </c>
      <c r="M18" s="36"/>
    </row>
    <row r="19" spans="1:13" ht="20.100000000000001" customHeight="1" thickTop="1">
      <c r="A19" s="95" t="s">
        <v>167</v>
      </c>
      <c r="B19" s="96" t="s">
        <v>267</v>
      </c>
      <c r="C19" s="71"/>
      <c r="D19" s="72"/>
      <c r="E19" s="245"/>
      <c r="F19" s="125"/>
      <c r="G19" s="73"/>
      <c r="H19" s="74"/>
      <c r="I19" s="74"/>
      <c r="J19" s="74"/>
      <c r="K19" s="74"/>
      <c r="L19" s="75"/>
      <c r="M19" s="76"/>
    </row>
    <row r="20" spans="1:13" ht="18" customHeight="1">
      <c r="A20" s="246"/>
      <c r="B20" s="189" t="s">
        <v>268</v>
      </c>
      <c r="C20" s="111" t="s">
        <v>269</v>
      </c>
      <c r="D20" s="112">
        <v>0</v>
      </c>
      <c r="E20" s="113"/>
      <c r="F20" s="113">
        <v>3</v>
      </c>
      <c r="G20" s="114">
        <f>50</f>
        <v>50</v>
      </c>
      <c r="H20" s="114">
        <v>112.31</v>
      </c>
      <c r="I20" s="115">
        <f>G20*H20</f>
        <v>5615.5</v>
      </c>
      <c r="J20" s="114">
        <v>30</v>
      </c>
      <c r="K20" s="115">
        <f>G20*J20</f>
        <v>1500</v>
      </c>
      <c r="L20" s="116">
        <f>SUM(I20+K20)</f>
        <v>7115.5</v>
      </c>
      <c r="M20" s="83"/>
    </row>
    <row r="21" spans="1:13" ht="18" customHeight="1">
      <c r="A21" s="246"/>
      <c r="B21" s="213" t="s">
        <v>270</v>
      </c>
      <c r="C21" s="111" t="s">
        <v>269</v>
      </c>
      <c r="D21" s="112"/>
      <c r="E21" s="113"/>
      <c r="F21" s="113"/>
      <c r="G21" s="114">
        <f>15</f>
        <v>15</v>
      </c>
      <c r="H21" s="114">
        <v>34.76</v>
      </c>
      <c r="I21" s="115">
        <f t="shared" ref="I21:I34" si="3">G21*H21</f>
        <v>521.4</v>
      </c>
      <c r="J21" s="114">
        <v>16</v>
      </c>
      <c r="K21" s="115">
        <f t="shared" ref="K21:K34" si="4">G21*J21</f>
        <v>240</v>
      </c>
      <c r="L21" s="116">
        <f t="shared" ref="L21:L34" si="5">SUM(I21+K21)</f>
        <v>761.4</v>
      </c>
      <c r="M21" s="83"/>
    </row>
    <row r="22" spans="1:13" ht="18" customHeight="1">
      <c r="A22" s="246"/>
      <c r="B22" s="213" t="s">
        <v>271</v>
      </c>
      <c r="C22" s="111" t="s">
        <v>269</v>
      </c>
      <c r="D22" s="112"/>
      <c r="E22" s="113"/>
      <c r="F22" s="113"/>
      <c r="G22" s="114">
        <f>250+40+50</f>
        <v>340</v>
      </c>
      <c r="H22" s="114">
        <v>12.13</v>
      </c>
      <c r="I22" s="115">
        <f t="shared" si="3"/>
        <v>4124.2</v>
      </c>
      <c r="J22" s="114">
        <v>10</v>
      </c>
      <c r="K22" s="115">
        <f t="shared" si="4"/>
        <v>3400</v>
      </c>
      <c r="L22" s="116">
        <f t="shared" si="5"/>
        <v>7524.2</v>
      </c>
      <c r="M22" s="83"/>
    </row>
    <row r="23" spans="1:13" ht="18" customHeight="1">
      <c r="A23" s="246"/>
      <c r="B23" s="189" t="s">
        <v>272</v>
      </c>
      <c r="C23" s="111" t="s">
        <v>269</v>
      </c>
      <c r="D23" s="112"/>
      <c r="E23" s="113"/>
      <c r="F23" s="113"/>
      <c r="G23" s="114">
        <f>455+125+20+114+25+60</f>
        <v>799</v>
      </c>
      <c r="H23" s="114">
        <v>8.0399999999999991</v>
      </c>
      <c r="I23" s="115">
        <f t="shared" si="3"/>
        <v>6423.9599999999991</v>
      </c>
      <c r="J23" s="114">
        <v>7</v>
      </c>
      <c r="K23" s="115">
        <f t="shared" si="4"/>
        <v>5593</v>
      </c>
      <c r="L23" s="116">
        <f t="shared" si="5"/>
        <v>12016.96</v>
      </c>
      <c r="M23" s="83"/>
    </row>
    <row r="24" spans="1:13" ht="18" customHeight="1">
      <c r="A24" s="246"/>
      <c r="B24" s="189" t="s">
        <v>273</v>
      </c>
      <c r="C24" s="111" t="s">
        <v>269</v>
      </c>
      <c r="D24" s="112">
        <v>0</v>
      </c>
      <c r="E24" s="113">
        <v>12</v>
      </c>
      <c r="F24" s="114"/>
      <c r="G24" s="114">
        <f>30</f>
        <v>30</v>
      </c>
      <c r="H24" s="114">
        <v>20.59</v>
      </c>
      <c r="I24" s="115">
        <f>G24*H24</f>
        <v>617.70000000000005</v>
      </c>
      <c r="J24" s="114">
        <v>12</v>
      </c>
      <c r="K24" s="115">
        <f>G24*J24</f>
        <v>360</v>
      </c>
      <c r="L24" s="116">
        <f>SUM(I24+K24)</f>
        <v>977.7</v>
      </c>
      <c r="M24" s="83"/>
    </row>
    <row r="25" spans="1:13" ht="18" customHeight="1">
      <c r="A25" s="246"/>
      <c r="B25" s="189" t="s">
        <v>274</v>
      </c>
      <c r="C25" s="111" t="s">
        <v>269</v>
      </c>
      <c r="D25" s="112">
        <v>0</v>
      </c>
      <c r="E25" s="113">
        <v>12</v>
      </c>
      <c r="F25" s="114"/>
      <c r="G25" s="114">
        <f>30</f>
        <v>30</v>
      </c>
      <c r="H25" s="114">
        <v>17.63</v>
      </c>
      <c r="I25" s="115">
        <f t="shared" si="3"/>
        <v>528.9</v>
      </c>
      <c r="J25" s="114">
        <v>10</v>
      </c>
      <c r="K25" s="115">
        <f t="shared" si="4"/>
        <v>300</v>
      </c>
      <c r="L25" s="116">
        <f t="shared" si="5"/>
        <v>828.9</v>
      </c>
      <c r="M25" s="83"/>
    </row>
    <row r="26" spans="1:13" ht="18" customHeight="1">
      <c r="A26" s="246"/>
      <c r="B26" s="189" t="s">
        <v>275</v>
      </c>
      <c r="C26" s="111" t="s">
        <v>269</v>
      </c>
      <c r="D26" s="112">
        <v>0</v>
      </c>
      <c r="E26" s="113">
        <v>12</v>
      </c>
      <c r="F26" s="114"/>
      <c r="G26" s="114">
        <f>60</f>
        <v>60</v>
      </c>
      <c r="H26" s="240">
        <v>4.8</v>
      </c>
      <c r="I26" s="311">
        <f t="shared" si="3"/>
        <v>288</v>
      </c>
      <c r="J26" s="240">
        <v>3</v>
      </c>
      <c r="K26" s="115">
        <f t="shared" si="4"/>
        <v>180</v>
      </c>
      <c r="L26" s="116">
        <f t="shared" si="5"/>
        <v>468</v>
      </c>
      <c r="M26" s="83"/>
    </row>
    <row r="27" spans="1:13" ht="18" customHeight="1">
      <c r="A27" s="246"/>
      <c r="B27" s="189" t="s">
        <v>276</v>
      </c>
      <c r="C27" s="111" t="s">
        <v>269</v>
      </c>
      <c r="D27" s="112">
        <v>0</v>
      </c>
      <c r="E27" s="113">
        <v>12</v>
      </c>
      <c r="F27" s="114"/>
      <c r="G27" s="114">
        <f>30</f>
        <v>30</v>
      </c>
      <c r="H27" s="240">
        <v>9.35</v>
      </c>
      <c r="I27" s="115">
        <f t="shared" si="3"/>
        <v>280.5</v>
      </c>
      <c r="J27" s="114">
        <v>6</v>
      </c>
      <c r="K27" s="115">
        <f t="shared" si="4"/>
        <v>180</v>
      </c>
      <c r="L27" s="116">
        <f t="shared" si="5"/>
        <v>460.5</v>
      </c>
      <c r="M27" s="83"/>
    </row>
    <row r="28" spans="1:13" ht="18" customHeight="1">
      <c r="A28" s="246"/>
      <c r="B28" s="189" t="s">
        <v>277</v>
      </c>
      <c r="C28" s="111" t="s">
        <v>269</v>
      </c>
      <c r="D28" s="112">
        <v>0</v>
      </c>
      <c r="E28" s="113">
        <v>12</v>
      </c>
      <c r="F28" s="114"/>
      <c r="G28" s="114">
        <f>30</f>
        <v>30</v>
      </c>
      <c r="H28" s="114">
        <v>39</v>
      </c>
      <c r="I28" s="115">
        <f t="shared" si="3"/>
        <v>1170</v>
      </c>
      <c r="J28" s="114">
        <v>12</v>
      </c>
      <c r="K28" s="115">
        <f t="shared" si="4"/>
        <v>360</v>
      </c>
      <c r="L28" s="116">
        <f t="shared" si="5"/>
        <v>1530</v>
      </c>
      <c r="M28" s="83"/>
    </row>
    <row r="29" spans="1:13" ht="18" customHeight="1">
      <c r="A29" s="246"/>
      <c r="B29" s="189" t="s">
        <v>279</v>
      </c>
      <c r="C29" s="111" t="s">
        <v>269</v>
      </c>
      <c r="D29" s="112">
        <v>0</v>
      </c>
      <c r="E29" s="113">
        <v>12</v>
      </c>
      <c r="F29" s="114"/>
      <c r="G29" s="114">
        <f>10</f>
        <v>10</v>
      </c>
      <c r="H29" s="114">
        <v>16</v>
      </c>
      <c r="I29" s="115">
        <f t="shared" si="3"/>
        <v>160</v>
      </c>
      <c r="J29" s="114">
        <v>19</v>
      </c>
      <c r="K29" s="115">
        <f t="shared" si="4"/>
        <v>190</v>
      </c>
      <c r="L29" s="116">
        <f t="shared" si="5"/>
        <v>350</v>
      </c>
      <c r="M29" s="83"/>
    </row>
    <row r="30" spans="1:13" ht="18" customHeight="1">
      <c r="A30" s="246"/>
      <c r="B30" s="189" t="s">
        <v>280</v>
      </c>
      <c r="C30" s="111" t="s">
        <v>269</v>
      </c>
      <c r="D30" s="112">
        <v>0</v>
      </c>
      <c r="E30" s="113">
        <v>12</v>
      </c>
      <c r="F30" s="114"/>
      <c r="G30" s="114">
        <f>15</f>
        <v>15</v>
      </c>
      <c r="H30" s="114">
        <v>22</v>
      </c>
      <c r="I30" s="115">
        <f t="shared" si="3"/>
        <v>330</v>
      </c>
      <c r="J30" s="114">
        <v>18</v>
      </c>
      <c r="K30" s="115">
        <f t="shared" si="4"/>
        <v>270</v>
      </c>
      <c r="L30" s="116">
        <f t="shared" si="5"/>
        <v>600</v>
      </c>
      <c r="M30" s="83"/>
    </row>
    <row r="31" spans="1:13" ht="18" customHeight="1">
      <c r="A31" s="246"/>
      <c r="B31" s="189" t="s">
        <v>281</v>
      </c>
      <c r="C31" s="111" t="s">
        <v>269</v>
      </c>
      <c r="D31" s="112">
        <v>0</v>
      </c>
      <c r="E31" s="113">
        <v>12</v>
      </c>
      <c r="F31" s="114"/>
      <c r="G31" s="114">
        <f>25</f>
        <v>25</v>
      </c>
      <c r="H31" s="114">
        <v>77.28</v>
      </c>
      <c r="I31" s="115">
        <f t="shared" si="3"/>
        <v>1932</v>
      </c>
      <c r="J31" s="114">
        <v>35</v>
      </c>
      <c r="K31" s="115">
        <f t="shared" si="4"/>
        <v>875</v>
      </c>
      <c r="L31" s="116">
        <f t="shared" si="5"/>
        <v>2807</v>
      </c>
      <c r="M31" s="83"/>
    </row>
    <row r="32" spans="1:13" ht="18" customHeight="1">
      <c r="A32" s="246"/>
      <c r="B32" s="189" t="s">
        <v>282</v>
      </c>
      <c r="C32" s="111" t="s">
        <v>269</v>
      </c>
      <c r="D32" s="112">
        <v>0</v>
      </c>
      <c r="E32" s="113">
        <v>12</v>
      </c>
      <c r="F32" s="114"/>
      <c r="G32" s="114">
        <f>13</f>
        <v>13</v>
      </c>
      <c r="H32" s="240">
        <v>18.149999999999999</v>
      </c>
      <c r="I32" s="115">
        <f t="shared" si="3"/>
        <v>235.95</v>
      </c>
      <c r="J32" s="114">
        <v>23</v>
      </c>
      <c r="K32" s="115">
        <f t="shared" si="4"/>
        <v>299</v>
      </c>
      <c r="L32" s="116">
        <f t="shared" si="5"/>
        <v>534.95000000000005</v>
      </c>
      <c r="M32" s="83"/>
    </row>
    <row r="33" spans="1:13" ht="18" customHeight="1">
      <c r="A33" s="246"/>
      <c r="B33" s="189" t="s">
        <v>283</v>
      </c>
      <c r="C33" s="111" t="s">
        <v>269</v>
      </c>
      <c r="D33" s="112">
        <v>0</v>
      </c>
      <c r="E33" s="113">
        <v>12</v>
      </c>
      <c r="F33" s="114"/>
      <c r="G33" s="114">
        <f>200+125+55+30+20+38+25+20</f>
        <v>513</v>
      </c>
      <c r="H33" s="240">
        <v>14.04</v>
      </c>
      <c r="I33" s="115">
        <f t="shared" si="3"/>
        <v>7202.5199999999995</v>
      </c>
      <c r="J33" s="114">
        <v>20</v>
      </c>
      <c r="K33" s="115">
        <f t="shared" si="4"/>
        <v>10260</v>
      </c>
      <c r="L33" s="116">
        <f t="shared" si="5"/>
        <v>17462.52</v>
      </c>
      <c r="M33" s="83"/>
    </row>
    <row r="34" spans="1:13" ht="18" customHeight="1">
      <c r="A34" s="246"/>
      <c r="B34" s="189" t="s">
        <v>284</v>
      </c>
      <c r="C34" s="111" t="s">
        <v>269</v>
      </c>
      <c r="D34" s="112">
        <v>0</v>
      </c>
      <c r="E34" s="113">
        <v>12</v>
      </c>
      <c r="F34" s="114"/>
      <c r="G34" s="114">
        <f>30</f>
        <v>30</v>
      </c>
      <c r="H34" s="240">
        <v>4.4000000000000004</v>
      </c>
      <c r="I34" s="115">
        <f t="shared" si="3"/>
        <v>132</v>
      </c>
      <c r="J34" s="114">
        <v>11</v>
      </c>
      <c r="K34" s="115">
        <f t="shared" si="4"/>
        <v>330</v>
      </c>
      <c r="L34" s="116">
        <f t="shared" si="5"/>
        <v>462</v>
      </c>
      <c r="M34" s="83"/>
    </row>
    <row r="35" spans="1:13" ht="18" customHeight="1" thickBot="1">
      <c r="A35" s="246"/>
      <c r="B35" s="189" t="s">
        <v>443</v>
      </c>
      <c r="C35" s="111" t="s">
        <v>278</v>
      </c>
      <c r="D35" s="112">
        <v>0</v>
      </c>
      <c r="E35" s="113">
        <v>12</v>
      </c>
      <c r="F35" s="114"/>
      <c r="G35" s="114">
        <v>1</v>
      </c>
      <c r="H35" s="240"/>
      <c r="I35" s="115"/>
      <c r="J35" s="114"/>
      <c r="K35" s="115"/>
      <c r="L35" s="240">
        <f>(SUM(I20:I34)+SUM(K20:K34))*0.1</f>
        <v>5389.9630000000006</v>
      </c>
      <c r="M35" s="83"/>
    </row>
    <row r="36" spans="1:13" s="7" customFormat="1" ht="15" thickTop="1" thickBot="1">
      <c r="A36" s="247"/>
      <c r="B36" s="43" t="s">
        <v>285</v>
      </c>
      <c r="C36" s="46"/>
      <c r="D36" s="47"/>
      <c r="E36" s="48"/>
      <c r="F36" s="48"/>
      <c r="G36" s="48"/>
      <c r="H36" s="49"/>
      <c r="I36" s="35">
        <f>SUM(I20:I34)</f>
        <v>29562.63</v>
      </c>
      <c r="J36" s="49"/>
      <c r="K36" s="35">
        <f>SUM(K20:K34)</f>
        <v>24337</v>
      </c>
      <c r="L36" s="35">
        <f>SUM(L20:L35)</f>
        <v>59289.593000000008</v>
      </c>
      <c r="M36" s="36" t="s">
        <v>34</v>
      </c>
    </row>
    <row r="37" spans="1:13" ht="20.100000000000001" customHeight="1" thickTop="1">
      <c r="A37" s="95" t="s">
        <v>286</v>
      </c>
      <c r="B37" s="96" t="s">
        <v>287</v>
      </c>
      <c r="C37" s="71"/>
      <c r="D37" s="72"/>
      <c r="E37" s="245"/>
      <c r="F37" s="125"/>
      <c r="G37" s="73"/>
      <c r="H37" s="74"/>
      <c r="I37" s="74"/>
      <c r="J37" s="74"/>
      <c r="K37" s="74"/>
      <c r="L37" s="75"/>
      <c r="M37" s="76"/>
    </row>
    <row r="38" spans="1:13" ht="35.25" customHeight="1">
      <c r="A38" s="246"/>
      <c r="B38" s="189" t="s">
        <v>288</v>
      </c>
      <c r="C38" s="111" t="s">
        <v>289</v>
      </c>
      <c r="D38" s="112">
        <v>0</v>
      </c>
      <c r="E38" s="113"/>
      <c r="F38" s="113">
        <v>3</v>
      </c>
      <c r="G38" s="114">
        <v>9</v>
      </c>
      <c r="H38" s="240">
        <v>420</v>
      </c>
      <c r="I38" s="115">
        <f t="shared" ref="I38:I45" si="6">G38*H38</f>
        <v>3780</v>
      </c>
      <c r="J38" s="115">
        <v>115</v>
      </c>
      <c r="K38" s="115">
        <f t="shared" ref="K38:K45" si="7">G38*J38</f>
        <v>1035</v>
      </c>
      <c r="L38" s="116">
        <f t="shared" ref="L38:L45" si="8">SUM(I38+K38)</f>
        <v>4815</v>
      </c>
      <c r="M38" s="83"/>
    </row>
    <row r="39" spans="1:13" ht="35.25" customHeight="1">
      <c r="A39" s="246"/>
      <c r="B39" s="189" t="s">
        <v>290</v>
      </c>
      <c r="C39" s="111" t="s">
        <v>291</v>
      </c>
      <c r="D39" s="112"/>
      <c r="E39" s="113"/>
      <c r="F39" s="113"/>
      <c r="G39" s="114">
        <v>10</v>
      </c>
      <c r="H39" s="240">
        <v>250</v>
      </c>
      <c r="I39" s="115">
        <f t="shared" si="6"/>
        <v>2500</v>
      </c>
      <c r="J39" s="115">
        <v>115</v>
      </c>
      <c r="K39" s="115">
        <f t="shared" si="7"/>
        <v>1150</v>
      </c>
      <c r="L39" s="116">
        <f t="shared" si="8"/>
        <v>3650</v>
      </c>
      <c r="M39" s="83"/>
    </row>
    <row r="40" spans="1:13" ht="35.25" customHeight="1">
      <c r="A40" s="246"/>
      <c r="B40" s="189" t="s">
        <v>292</v>
      </c>
      <c r="C40" s="111" t="s">
        <v>291</v>
      </c>
      <c r="D40" s="112"/>
      <c r="E40" s="113"/>
      <c r="F40" s="113"/>
      <c r="G40" s="114">
        <v>6</v>
      </c>
      <c r="H40" s="240">
        <v>250</v>
      </c>
      <c r="I40" s="115">
        <f t="shared" si="6"/>
        <v>1500</v>
      </c>
      <c r="J40" s="115">
        <v>115</v>
      </c>
      <c r="K40" s="115">
        <f t="shared" si="7"/>
        <v>690</v>
      </c>
      <c r="L40" s="116">
        <f t="shared" si="8"/>
        <v>2190</v>
      </c>
      <c r="M40" s="83"/>
    </row>
    <row r="41" spans="1:13" ht="18" customHeight="1">
      <c r="A41" s="246"/>
      <c r="B41" s="189" t="s">
        <v>444</v>
      </c>
      <c r="C41" s="111" t="s">
        <v>291</v>
      </c>
      <c r="D41" s="112"/>
      <c r="E41" s="113"/>
      <c r="F41" s="113"/>
      <c r="G41" s="114">
        <v>2</v>
      </c>
      <c r="H41" s="240">
        <v>250</v>
      </c>
      <c r="I41" s="115">
        <f>G41*H41</f>
        <v>500</v>
      </c>
      <c r="J41" s="115">
        <v>115</v>
      </c>
      <c r="K41" s="115">
        <f>G41*J41</f>
        <v>230</v>
      </c>
      <c r="L41" s="116">
        <f>SUM(I41+K41)</f>
        <v>730</v>
      </c>
      <c r="M41" s="83"/>
    </row>
    <row r="42" spans="1:13" ht="18" customHeight="1">
      <c r="A42" s="246"/>
      <c r="B42" s="189" t="s">
        <v>293</v>
      </c>
      <c r="C42" s="111" t="s">
        <v>291</v>
      </c>
      <c r="D42" s="112"/>
      <c r="E42" s="113"/>
      <c r="F42" s="113"/>
      <c r="G42" s="114">
        <v>10</v>
      </c>
      <c r="H42" s="240">
        <v>320</v>
      </c>
      <c r="I42" s="115">
        <f t="shared" si="6"/>
        <v>3200</v>
      </c>
      <c r="J42" s="115">
        <v>115</v>
      </c>
      <c r="K42" s="115">
        <f t="shared" si="7"/>
        <v>1150</v>
      </c>
      <c r="L42" s="116">
        <f t="shared" si="8"/>
        <v>4350</v>
      </c>
      <c r="M42" s="83"/>
    </row>
    <row r="43" spans="1:13" ht="18" customHeight="1">
      <c r="A43" s="246"/>
      <c r="B43" s="189" t="s">
        <v>445</v>
      </c>
      <c r="C43" s="111" t="s">
        <v>291</v>
      </c>
      <c r="D43" s="112"/>
      <c r="E43" s="113"/>
      <c r="F43" s="113"/>
      <c r="G43" s="114">
        <v>1</v>
      </c>
      <c r="H43" s="240">
        <v>320</v>
      </c>
      <c r="I43" s="115">
        <f t="shared" si="6"/>
        <v>320</v>
      </c>
      <c r="J43" s="115">
        <v>115</v>
      </c>
      <c r="K43" s="115">
        <f t="shared" si="7"/>
        <v>115</v>
      </c>
      <c r="L43" s="116">
        <f t="shared" si="8"/>
        <v>435</v>
      </c>
      <c r="M43" s="83"/>
    </row>
    <row r="44" spans="1:13" s="7" customFormat="1">
      <c r="A44" s="246"/>
      <c r="B44" s="189" t="s">
        <v>294</v>
      </c>
      <c r="C44" s="111" t="s">
        <v>289</v>
      </c>
      <c r="D44" s="112">
        <v>0</v>
      </c>
      <c r="E44" s="113"/>
      <c r="F44" s="113">
        <v>3</v>
      </c>
      <c r="G44" s="114">
        <f>(2*G38)+G39+G40+(2*G41)</f>
        <v>38</v>
      </c>
      <c r="H44" s="240">
        <v>120</v>
      </c>
      <c r="I44" s="115">
        <f t="shared" si="6"/>
        <v>4560</v>
      </c>
      <c r="J44" s="311"/>
      <c r="K44" s="115">
        <f t="shared" si="7"/>
        <v>0</v>
      </c>
      <c r="L44" s="116">
        <f t="shared" si="8"/>
        <v>4560</v>
      </c>
      <c r="M44" s="83"/>
    </row>
    <row r="45" spans="1:13" ht="20.100000000000001" customHeight="1" thickBot="1">
      <c r="A45" s="246"/>
      <c r="B45" s="189" t="s">
        <v>295</v>
      </c>
      <c r="C45" s="111" t="s">
        <v>291</v>
      </c>
      <c r="D45" s="112"/>
      <c r="E45" s="113"/>
      <c r="F45" s="113"/>
      <c r="G45" s="114">
        <f>G42+G43</f>
        <v>11</v>
      </c>
      <c r="H45" s="240">
        <v>220</v>
      </c>
      <c r="I45" s="115">
        <f t="shared" si="6"/>
        <v>2420</v>
      </c>
      <c r="J45" s="311"/>
      <c r="K45" s="115">
        <f t="shared" si="7"/>
        <v>0</v>
      </c>
      <c r="L45" s="116">
        <f t="shared" si="8"/>
        <v>2420</v>
      </c>
      <c r="M45" s="83"/>
    </row>
    <row r="46" spans="1:13" ht="20.100000000000001" customHeight="1" thickTop="1" thickBot="1">
      <c r="A46" s="247"/>
      <c r="B46" s="43" t="s">
        <v>296</v>
      </c>
      <c r="C46" s="46"/>
      <c r="D46" s="47"/>
      <c r="E46" s="48"/>
      <c r="F46" s="48"/>
      <c r="G46" s="48"/>
      <c r="H46" s="49"/>
      <c r="I46" s="35">
        <f>SUM(I38:I45)</f>
        <v>18780</v>
      </c>
      <c r="J46" s="49"/>
      <c r="K46" s="35">
        <f>SUM(K38:K45)</f>
        <v>4370</v>
      </c>
      <c r="L46" s="35">
        <f>SUM(L38:L45)</f>
        <v>23150</v>
      </c>
      <c r="M46" s="36" t="s">
        <v>34</v>
      </c>
    </row>
    <row r="47" spans="1:13" ht="18" customHeight="1" thickTop="1">
      <c r="A47" s="95" t="s">
        <v>297</v>
      </c>
      <c r="B47" s="96" t="s">
        <v>298</v>
      </c>
      <c r="C47" s="71"/>
      <c r="D47" s="72"/>
      <c r="E47" s="245"/>
      <c r="F47" s="125"/>
      <c r="G47" s="73"/>
      <c r="H47" s="74"/>
      <c r="I47" s="74"/>
      <c r="J47" s="74"/>
      <c r="K47" s="74"/>
      <c r="L47" s="75"/>
      <c r="M47" s="76"/>
    </row>
    <row r="48" spans="1:13" ht="18" customHeight="1">
      <c r="A48" s="246"/>
      <c r="B48" s="189" t="s">
        <v>299</v>
      </c>
      <c r="C48" s="111" t="s">
        <v>289</v>
      </c>
      <c r="D48" s="112">
        <v>0</v>
      </c>
      <c r="E48" s="113"/>
      <c r="F48" s="113">
        <v>3</v>
      </c>
      <c r="G48" s="114">
        <f>8+12+3+4</f>
        <v>27</v>
      </c>
      <c r="H48" s="114">
        <v>30</v>
      </c>
      <c r="I48" s="115">
        <f t="shared" ref="I48:I57" si="9">G48*H48</f>
        <v>810</v>
      </c>
      <c r="J48" s="115">
        <v>80</v>
      </c>
      <c r="K48" s="115">
        <f t="shared" ref="K48:K57" si="10">G48*J48</f>
        <v>2160</v>
      </c>
      <c r="L48" s="116">
        <f>SUM(I48+K48)</f>
        <v>2970</v>
      </c>
      <c r="M48" s="83"/>
    </row>
    <row r="49" spans="1:13" ht="18" customHeight="1">
      <c r="A49" s="246"/>
      <c r="B49" s="189" t="s">
        <v>359</v>
      </c>
      <c r="C49" s="111" t="s">
        <v>291</v>
      </c>
      <c r="D49" s="112"/>
      <c r="E49" s="113"/>
      <c r="F49" s="113"/>
      <c r="G49" s="312">
        <f>2</f>
        <v>2</v>
      </c>
      <c r="H49" s="114">
        <v>56</v>
      </c>
      <c r="I49" s="115">
        <f t="shared" si="9"/>
        <v>112</v>
      </c>
      <c r="J49" s="115">
        <v>85</v>
      </c>
      <c r="K49" s="115">
        <f t="shared" si="10"/>
        <v>170</v>
      </c>
      <c r="L49" s="116">
        <f>SUM(I49+K49)</f>
        <v>282</v>
      </c>
      <c r="M49" s="83"/>
    </row>
    <row r="50" spans="1:13" ht="18" customHeight="1">
      <c r="A50" s="246"/>
      <c r="B50" s="189" t="s">
        <v>300</v>
      </c>
      <c r="C50" s="111" t="s">
        <v>291</v>
      </c>
      <c r="D50" s="112"/>
      <c r="E50" s="113"/>
      <c r="F50" s="113"/>
      <c r="G50" s="114">
        <v>8</v>
      </c>
      <c r="H50" s="114">
        <v>22</v>
      </c>
      <c r="I50" s="115">
        <f t="shared" si="9"/>
        <v>176</v>
      </c>
      <c r="J50" s="311"/>
      <c r="K50" s="115">
        <f>G50*J50</f>
        <v>0</v>
      </c>
      <c r="L50" s="116">
        <f t="shared" ref="L50:L57" si="11">SUM(I50+K50)</f>
        <v>176</v>
      </c>
      <c r="M50" s="83"/>
    </row>
    <row r="51" spans="1:13" ht="18" customHeight="1">
      <c r="A51" s="246"/>
      <c r="B51" s="189" t="s">
        <v>301</v>
      </c>
      <c r="C51" s="111" t="s">
        <v>291</v>
      </c>
      <c r="D51" s="112"/>
      <c r="E51" s="113"/>
      <c r="F51" s="113"/>
      <c r="G51" s="114">
        <v>6</v>
      </c>
      <c r="H51" s="114">
        <v>22</v>
      </c>
      <c r="I51" s="115">
        <f t="shared" si="9"/>
        <v>132</v>
      </c>
      <c r="J51" s="311"/>
      <c r="K51" s="115">
        <f t="shared" si="10"/>
        <v>0</v>
      </c>
      <c r="L51" s="116">
        <f t="shared" si="11"/>
        <v>132</v>
      </c>
      <c r="M51" s="83"/>
    </row>
    <row r="52" spans="1:13" ht="18" customHeight="1">
      <c r="A52" s="246"/>
      <c r="B52" s="189" t="s">
        <v>358</v>
      </c>
      <c r="C52" s="111" t="s">
        <v>291</v>
      </c>
      <c r="D52" s="112">
        <v>0</v>
      </c>
      <c r="E52" s="113">
        <v>12</v>
      </c>
      <c r="F52" s="114"/>
      <c r="G52" s="312">
        <v>1</v>
      </c>
      <c r="H52" s="114">
        <v>22</v>
      </c>
      <c r="I52" s="115">
        <f t="shared" si="9"/>
        <v>22</v>
      </c>
      <c r="J52" s="311"/>
      <c r="K52" s="115">
        <f t="shared" si="10"/>
        <v>0</v>
      </c>
      <c r="L52" s="116">
        <f t="shared" si="11"/>
        <v>22</v>
      </c>
      <c r="M52" s="83"/>
    </row>
    <row r="53" spans="1:13" ht="18" customHeight="1">
      <c r="A53" s="246"/>
      <c r="B53" s="189" t="s">
        <v>302</v>
      </c>
      <c r="C53" s="111" t="s">
        <v>291</v>
      </c>
      <c r="D53" s="112">
        <v>0</v>
      </c>
      <c r="E53" s="113">
        <v>12</v>
      </c>
      <c r="F53" s="114"/>
      <c r="G53" s="114">
        <v>1</v>
      </c>
      <c r="H53" s="114">
        <v>22</v>
      </c>
      <c r="I53" s="115">
        <f t="shared" si="9"/>
        <v>22</v>
      </c>
      <c r="J53" s="311"/>
      <c r="K53" s="115">
        <f t="shared" si="10"/>
        <v>0</v>
      </c>
      <c r="L53" s="116">
        <f t="shared" si="11"/>
        <v>22</v>
      </c>
      <c r="M53" s="83"/>
    </row>
    <row r="54" spans="1:13" ht="18" customHeight="1">
      <c r="A54" s="246"/>
      <c r="B54" s="189" t="s">
        <v>303</v>
      </c>
      <c r="C54" s="111" t="s">
        <v>291</v>
      </c>
      <c r="D54" s="112">
        <v>0</v>
      </c>
      <c r="E54" s="113">
        <v>12</v>
      </c>
      <c r="F54" s="114"/>
      <c r="G54" s="114">
        <v>11</v>
      </c>
      <c r="H54" s="114">
        <v>130</v>
      </c>
      <c r="I54" s="115">
        <f t="shared" si="9"/>
        <v>1430</v>
      </c>
      <c r="J54" s="311">
        <v>90</v>
      </c>
      <c r="K54" s="115">
        <f t="shared" si="10"/>
        <v>990</v>
      </c>
      <c r="L54" s="116">
        <f t="shared" si="11"/>
        <v>2420</v>
      </c>
      <c r="M54" s="83"/>
    </row>
    <row r="55" spans="1:13" ht="18" customHeight="1">
      <c r="A55" s="246"/>
      <c r="B55" s="189" t="s">
        <v>304</v>
      </c>
      <c r="C55" s="111" t="s">
        <v>291</v>
      </c>
      <c r="D55" s="112">
        <v>0</v>
      </c>
      <c r="E55" s="113">
        <v>12</v>
      </c>
      <c r="F55" s="114"/>
      <c r="G55" s="114">
        <v>3</v>
      </c>
      <c r="H55" s="114">
        <v>130</v>
      </c>
      <c r="I55" s="115">
        <f t="shared" si="9"/>
        <v>390</v>
      </c>
      <c r="J55" s="311">
        <v>115</v>
      </c>
      <c r="K55" s="115">
        <f t="shared" si="10"/>
        <v>345</v>
      </c>
      <c r="L55" s="116">
        <f t="shared" si="11"/>
        <v>735</v>
      </c>
      <c r="M55" s="83"/>
    </row>
    <row r="56" spans="1:13" s="7" customFormat="1">
      <c r="A56" s="246"/>
      <c r="B56" s="189" t="s">
        <v>305</v>
      </c>
      <c r="C56" s="111" t="s">
        <v>291</v>
      </c>
      <c r="D56" s="112">
        <v>0</v>
      </c>
      <c r="E56" s="113">
        <v>12</v>
      </c>
      <c r="F56" s="114"/>
      <c r="G56" s="114">
        <v>11</v>
      </c>
      <c r="H56" s="114">
        <v>22</v>
      </c>
      <c r="I56" s="115">
        <f t="shared" si="9"/>
        <v>242</v>
      </c>
      <c r="J56" s="311"/>
      <c r="K56" s="115">
        <f t="shared" si="10"/>
        <v>0</v>
      </c>
      <c r="L56" s="116">
        <f t="shared" si="11"/>
        <v>242</v>
      </c>
      <c r="M56" s="83"/>
    </row>
    <row r="57" spans="1:13" ht="20.100000000000001" customHeight="1" thickBot="1">
      <c r="A57" s="246"/>
      <c r="B57" s="189" t="s">
        <v>306</v>
      </c>
      <c r="C57" s="111" t="s">
        <v>291</v>
      </c>
      <c r="D57" s="112">
        <v>0</v>
      </c>
      <c r="E57" s="113">
        <v>12</v>
      </c>
      <c r="F57" s="114"/>
      <c r="G57" s="114">
        <v>3</v>
      </c>
      <c r="H57" s="114">
        <v>22</v>
      </c>
      <c r="I57" s="115">
        <f t="shared" si="9"/>
        <v>66</v>
      </c>
      <c r="J57" s="311"/>
      <c r="K57" s="115">
        <f t="shared" si="10"/>
        <v>0</v>
      </c>
      <c r="L57" s="116">
        <f t="shared" si="11"/>
        <v>66</v>
      </c>
      <c r="M57" s="83"/>
    </row>
    <row r="58" spans="1:13" ht="20.100000000000001" customHeight="1" thickTop="1" thickBot="1">
      <c r="A58" s="247"/>
      <c r="B58" s="43" t="s">
        <v>307</v>
      </c>
      <c r="C58" s="46"/>
      <c r="D58" s="47"/>
      <c r="E58" s="48"/>
      <c r="F58" s="48"/>
      <c r="G58" s="48"/>
      <c r="H58" s="49"/>
      <c r="I58" s="35">
        <f>SUM(I48:I57)</f>
        <v>3402</v>
      </c>
      <c r="J58" s="49"/>
      <c r="K58" s="35">
        <f>SUM(K48:K57)</f>
        <v>3665</v>
      </c>
      <c r="L58" s="35">
        <f>SUM(L48:L57)</f>
        <v>7067</v>
      </c>
      <c r="M58" s="36" t="s">
        <v>34</v>
      </c>
    </row>
    <row r="59" spans="1:13" ht="18" customHeight="1" thickTop="1">
      <c r="A59" s="95" t="s">
        <v>308</v>
      </c>
      <c r="B59" s="96" t="s">
        <v>309</v>
      </c>
      <c r="C59" s="71"/>
      <c r="D59" s="72"/>
      <c r="E59" s="245"/>
      <c r="F59" s="125"/>
      <c r="G59" s="73"/>
      <c r="H59" s="74"/>
      <c r="I59" s="74"/>
      <c r="J59" s="74"/>
      <c r="K59" s="74"/>
      <c r="L59" s="75"/>
      <c r="M59" s="76"/>
    </row>
    <row r="60" spans="1:13" ht="18" customHeight="1">
      <c r="A60" s="246"/>
      <c r="B60" s="189" t="s">
        <v>310</v>
      </c>
      <c r="C60" s="111" t="s">
        <v>289</v>
      </c>
      <c r="D60" s="112">
        <v>0</v>
      </c>
      <c r="E60" s="113"/>
      <c r="F60" s="113">
        <v>3</v>
      </c>
      <c r="G60" s="114">
        <v>4</v>
      </c>
      <c r="H60" s="114">
        <v>300</v>
      </c>
      <c r="I60" s="115">
        <f t="shared" ref="I60:I66" si="12">G60*H60</f>
        <v>1200</v>
      </c>
      <c r="J60" s="115">
        <v>90</v>
      </c>
      <c r="K60" s="115">
        <f t="shared" ref="K60:K66" si="13">G60*J60</f>
        <v>360</v>
      </c>
      <c r="L60" s="116">
        <f t="shared" ref="L60:L66" si="14">SUM(I60+K60)</f>
        <v>1560</v>
      </c>
      <c r="M60" s="83"/>
    </row>
    <row r="61" spans="1:13" ht="18" customHeight="1">
      <c r="A61" s="246"/>
      <c r="B61" s="189" t="s">
        <v>311</v>
      </c>
      <c r="C61" s="111" t="s">
        <v>291</v>
      </c>
      <c r="D61" s="112"/>
      <c r="E61" s="113"/>
      <c r="F61" s="113"/>
      <c r="G61" s="312">
        <v>4</v>
      </c>
      <c r="H61" s="114">
        <v>330</v>
      </c>
      <c r="I61" s="115">
        <f t="shared" si="12"/>
        <v>1320</v>
      </c>
      <c r="J61" s="115">
        <v>90</v>
      </c>
      <c r="K61" s="115">
        <f t="shared" si="13"/>
        <v>360</v>
      </c>
      <c r="L61" s="116">
        <f t="shared" si="14"/>
        <v>1680</v>
      </c>
      <c r="M61" s="83"/>
    </row>
    <row r="62" spans="1:13" ht="18" customHeight="1">
      <c r="A62" s="246"/>
      <c r="B62" s="189" t="s">
        <v>312</v>
      </c>
      <c r="C62" s="111" t="s">
        <v>291</v>
      </c>
      <c r="D62" s="112"/>
      <c r="E62" s="113"/>
      <c r="F62" s="113"/>
      <c r="G62" s="114">
        <v>1</v>
      </c>
      <c r="H62" s="114">
        <v>950</v>
      </c>
      <c r="I62" s="115">
        <f t="shared" si="12"/>
        <v>950</v>
      </c>
      <c r="J62" s="115">
        <v>115</v>
      </c>
      <c r="K62" s="115">
        <f t="shared" si="13"/>
        <v>115</v>
      </c>
      <c r="L62" s="116">
        <f t="shared" si="14"/>
        <v>1065</v>
      </c>
      <c r="M62" s="83"/>
    </row>
    <row r="63" spans="1:13" ht="18" customHeight="1">
      <c r="A63" s="246"/>
      <c r="B63" s="189" t="s">
        <v>313</v>
      </c>
      <c r="C63" s="111" t="s">
        <v>291</v>
      </c>
      <c r="D63" s="112"/>
      <c r="E63" s="113"/>
      <c r="F63" s="113"/>
      <c r="G63" s="114">
        <v>4</v>
      </c>
      <c r="H63" s="114">
        <v>140</v>
      </c>
      <c r="I63" s="115">
        <f t="shared" si="12"/>
        <v>560</v>
      </c>
      <c r="J63" s="115">
        <v>90</v>
      </c>
      <c r="K63" s="115">
        <f t="shared" si="13"/>
        <v>360</v>
      </c>
      <c r="L63" s="116">
        <f t="shared" si="14"/>
        <v>920</v>
      </c>
      <c r="M63" s="83"/>
    </row>
    <row r="64" spans="1:13" ht="18" customHeight="1">
      <c r="A64" s="246"/>
      <c r="B64" s="189" t="s">
        <v>314</v>
      </c>
      <c r="C64" s="111" t="s">
        <v>291</v>
      </c>
      <c r="D64" s="112">
        <v>0</v>
      </c>
      <c r="E64" s="113">
        <v>12</v>
      </c>
      <c r="F64" s="114"/>
      <c r="G64" s="312">
        <v>2</v>
      </c>
      <c r="H64" s="114">
        <v>200</v>
      </c>
      <c r="I64" s="115">
        <f t="shared" si="12"/>
        <v>400</v>
      </c>
      <c r="J64" s="115">
        <v>90</v>
      </c>
      <c r="K64" s="115">
        <f t="shared" si="13"/>
        <v>180</v>
      </c>
      <c r="L64" s="116">
        <f t="shared" si="14"/>
        <v>580</v>
      </c>
      <c r="M64" s="83"/>
    </row>
    <row r="65" spans="1:13" s="7" customFormat="1">
      <c r="A65" s="246"/>
      <c r="B65" s="189" t="s">
        <v>315</v>
      </c>
      <c r="C65" s="111" t="s">
        <v>291</v>
      </c>
      <c r="D65" s="112">
        <v>0</v>
      </c>
      <c r="E65" s="113">
        <v>12</v>
      </c>
      <c r="F65" s="114"/>
      <c r="G65" s="114">
        <v>1</v>
      </c>
      <c r="H65" s="114">
        <v>300</v>
      </c>
      <c r="I65" s="115">
        <f t="shared" si="12"/>
        <v>300</v>
      </c>
      <c r="J65" s="115">
        <v>80</v>
      </c>
      <c r="K65" s="115">
        <f t="shared" si="13"/>
        <v>80</v>
      </c>
      <c r="L65" s="116">
        <f t="shared" si="14"/>
        <v>380</v>
      </c>
      <c r="M65" s="83"/>
    </row>
    <row r="66" spans="1:13" ht="20.100000000000001" customHeight="1" thickBot="1">
      <c r="A66" s="246"/>
      <c r="B66" s="189" t="s">
        <v>316</v>
      </c>
      <c r="C66" s="111" t="s">
        <v>291</v>
      </c>
      <c r="D66" s="112">
        <v>0</v>
      </c>
      <c r="E66" s="113">
        <v>12</v>
      </c>
      <c r="F66" s="114"/>
      <c r="G66" s="114">
        <v>1</v>
      </c>
      <c r="H66" s="114">
        <v>200</v>
      </c>
      <c r="I66" s="115">
        <f t="shared" si="12"/>
        <v>200</v>
      </c>
      <c r="J66" s="115">
        <v>80</v>
      </c>
      <c r="K66" s="115">
        <f t="shared" si="13"/>
        <v>80</v>
      </c>
      <c r="L66" s="116">
        <f t="shared" si="14"/>
        <v>280</v>
      </c>
      <c r="M66" s="83"/>
    </row>
    <row r="67" spans="1:13" ht="20.100000000000001" customHeight="1" thickTop="1" thickBot="1">
      <c r="A67" s="247"/>
      <c r="B67" s="43" t="s">
        <v>317</v>
      </c>
      <c r="C67" s="46"/>
      <c r="D67" s="47"/>
      <c r="E67" s="48"/>
      <c r="F67" s="48"/>
      <c r="G67" s="48"/>
      <c r="H67" s="49"/>
      <c r="I67" s="35">
        <f>SUM(I60:I66)</f>
        <v>4930</v>
      </c>
      <c r="J67" s="49"/>
      <c r="K67" s="35">
        <f>SUM(K60:K66)</f>
        <v>1535</v>
      </c>
      <c r="L67" s="35">
        <f>SUM(L60:L66)</f>
        <v>6465</v>
      </c>
      <c r="M67" s="36" t="s">
        <v>34</v>
      </c>
    </row>
    <row r="68" spans="1:13" s="7" customFormat="1" ht="14.4" thickTop="1">
      <c r="A68" s="95" t="s">
        <v>318</v>
      </c>
      <c r="B68" s="96" t="s">
        <v>26</v>
      </c>
      <c r="C68" s="71"/>
      <c r="D68" s="72"/>
      <c r="E68" s="245"/>
      <c r="F68" s="125"/>
      <c r="G68" s="73"/>
      <c r="H68" s="74"/>
      <c r="I68" s="74"/>
      <c r="J68" s="74"/>
      <c r="K68" s="74"/>
      <c r="L68" s="75"/>
      <c r="M68" s="76"/>
    </row>
    <row r="69" spans="1:13" s="321" customFormat="1" ht="28.2" thickBot="1">
      <c r="A69" s="246"/>
      <c r="B69" s="189" t="s">
        <v>446</v>
      </c>
      <c r="C69" s="111" t="s">
        <v>289</v>
      </c>
      <c r="D69" s="112">
        <v>0</v>
      </c>
      <c r="E69" s="113"/>
      <c r="F69" s="113">
        <v>3</v>
      </c>
      <c r="G69" s="114">
        <v>1</v>
      </c>
      <c r="H69" s="240"/>
      <c r="I69" s="311">
        <f>G69*H69</f>
        <v>0</v>
      </c>
      <c r="J69" s="311"/>
      <c r="K69" s="115">
        <f>G69*J69</f>
        <v>0</v>
      </c>
      <c r="L69" s="116">
        <f>SUM(I69+K69)</f>
        <v>0</v>
      </c>
      <c r="M69" s="313" t="s">
        <v>319</v>
      </c>
    </row>
    <row r="70" spans="1:13" ht="15" thickTop="1" thickBot="1">
      <c r="A70" s="247"/>
      <c r="B70" s="43" t="s">
        <v>320</v>
      </c>
      <c r="C70" s="46"/>
      <c r="D70" s="47"/>
      <c r="E70" s="48"/>
      <c r="F70" s="48"/>
      <c r="G70" s="48"/>
      <c r="H70" s="49"/>
      <c r="I70" s="35">
        <f>SUM(I69:I69)</f>
        <v>0</v>
      </c>
      <c r="J70" s="49"/>
      <c r="K70" s="35">
        <f>SUM(K69:K69)</f>
        <v>0</v>
      </c>
      <c r="L70" s="35">
        <f>SUM(L69:L69)</f>
        <v>0</v>
      </c>
      <c r="M70" s="36" t="s">
        <v>34</v>
      </c>
    </row>
    <row r="71" spans="1:13" ht="15" thickTop="1" thickBot="1">
      <c r="A71" s="314"/>
      <c r="B71" s="315" t="s">
        <v>155</v>
      </c>
      <c r="C71" s="315"/>
      <c r="D71" s="316"/>
      <c r="E71" s="317"/>
      <c r="F71" s="317"/>
      <c r="G71" s="317"/>
      <c r="H71" s="318"/>
      <c r="I71" s="319">
        <f>I18+I36+I46+I58+I67+I70</f>
        <v>68509.63</v>
      </c>
      <c r="J71" s="318"/>
      <c r="K71" s="319">
        <f>K18+K36+K46+K58+K67+K70</f>
        <v>35937</v>
      </c>
      <c r="L71" s="319">
        <f>L18+L36+L46+L58+L67+L70</f>
        <v>109836.59300000001</v>
      </c>
      <c r="M71" s="320"/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75" activePane="bottomRight" state="frozen"/>
      <selection activeCell="P4" sqref="P4"/>
      <selection pane="topRight" activeCell="P4" sqref="P4"/>
      <selection pane="bottomLeft" activeCell="P4" sqref="P4"/>
      <selection pane="bottomRight" activeCell="A43" sqref="A39:XFD43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5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4"/>
      <c r="C3" s="135"/>
      <c r="D3" s="162"/>
      <c r="E3" s="136"/>
      <c r="F3" s="136"/>
      <c r="G3" s="136"/>
      <c r="H3" s="137"/>
      <c r="I3" s="137"/>
      <c r="J3" s="163"/>
      <c r="K3" s="163"/>
      <c r="L3" s="139"/>
      <c r="M3" s="14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5"/>
      <c r="C4" s="135"/>
      <c r="D4" s="162"/>
      <c r="E4" s="136"/>
      <c r="F4" s="136"/>
      <c r="G4" s="136"/>
      <c r="H4" s="137"/>
      <c r="I4" s="137"/>
      <c r="J4" s="456" t="s">
        <v>243</v>
      </c>
      <c r="K4" s="456"/>
      <c r="L4" s="456"/>
      <c r="M4" s="457"/>
    </row>
    <row r="5" spans="1:13" s="1" customFormat="1" ht="20.100000000000001" customHeight="1" thickBot="1">
      <c r="A5" s="133" t="s">
        <v>418</v>
      </c>
      <c r="B5" s="135"/>
      <c r="C5" s="135"/>
      <c r="D5" s="162"/>
      <c r="E5" s="136"/>
      <c r="F5" s="136"/>
      <c r="G5" s="136"/>
      <c r="H5" s="137"/>
      <c r="I5" s="137"/>
      <c r="J5" s="138"/>
      <c r="K5" s="138"/>
      <c r="L5" s="136"/>
      <c r="M5" s="140"/>
    </row>
    <row r="6" spans="1:13" s="25" customFormat="1" ht="20.100000000000001" customHeight="1">
      <c r="A6" s="468" t="s">
        <v>3</v>
      </c>
      <c r="B6" s="470" t="s">
        <v>4</v>
      </c>
      <c r="C6" s="470" t="s">
        <v>38</v>
      </c>
      <c r="D6" s="30" t="s">
        <v>47</v>
      </c>
      <c r="E6" s="369" t="s">
        <v>39</v>
      </c>
      <c r="F6" s="369" t="s">
        <v>39</v>
      </c>
      <c r="G6" s="472" t="s">
        <v>39</v>
      </c>
      <c r="H6" s="464" t="s">
        <v>40</v>
      </c>
      <c r="I6" s="465"/>
      <c r="J6" s="466" t="s">
        <v>41</v>
      </c>
      <c r="K6" s="467"/>
      <c r="L6" s="31" t="s">
        <v>6</v>
      </c>
      <c r="M6" s="462" t="s">
        <v>42</v>
      </c>
    </row>
    <row r="7" spans="1:13" s="25" customFormat="1" ht="20.100000000000001" customHeight="1" thickBot="1">
      <c r="A7" s="469"/>
      <c r="B7" s="471"/>
      <c r="C7" s="471"/>
      <c r="D7" s="32" t="s">
        <v>48</v>
      </c>
      <c r="E7" s="370"/>
      <c r="F7" s="370"/>
      <c r="G7" s="473"/>
      <c r="H7" s="33" t="s">
        <v>43</v>
      </c>
      <c r="I7" s="33" t="s">
        <v>44</v>
      </c>
      <c r="J7" s="33" t="s">
        <v>43</v>
      </c>
      <c r="K7" s="33" t="s">
        <v>44</v>
      </c>
      <c r="L7" s="34" t="s">
        <v>45</v>
      </c>
      <c r="M7" s="463"/>
    </row>
    <row r="8" spans="1:13" s="1" customFormat="1" ht="20.100000000000001" customHeight="1">
      <c r="A8" s="29" t="s">
        <v>156</v>
      </c>
      <c r="B8" s="26" t="s">
        <v>321</v>
      </c>
      <c r="C8" s="8"/>
      <c r="D8" s="551"/>
      <c r="E8" s="552"/>
      <c r="F8" s="553"/>
      <c r="G8" s="554"/>
      <c r="H8" s="555"/>
      <c r="I8" s="555"/>
      <c r="J8" s="555"/>
      <c r="K8" s="555"/>
      <c r="L8" s="556"/>
      <c r="M8" s="27"/>
    </row>
    <row r="9" spans="1:13">
      <c r="A9" s="322" t="str">
        <f>A18</f>
        <v>D1</v>
      </c>
      <c r="B9" s="323" t="str">
        <f>B18</f>
        <v>ระบบท่อน้ำประปา</v>
      </c>
      <c r="C9" s="92"/>
      <c r="D9" s="557"/>
      <c r="E9" s="558"/>
      <c r="F9" s="559"/>
      <c r="G9" s="559"/>
      <c r="H9" s="560"/>
      <c r="I9" s="561">
        <f>I41</f>
        <v>25216.682124999999</v>
      </c>
      <c r="J9" s="560"/>
      <c r="K9" s="561">
        <f>K41</f>
        <v>13410.517062499997</v>
      </c>
      <c r="L9" s="562">
        <f>L41</f>
        <v>38627.199187500002</v>
      </c>
      <c r="M9" s="244"/>
    </row>
    <row r="10" spans="1:13" ht="18" customHeight="1">
      <c r="A10" s="246" t="str">
        <f>A42</f>
        <v>D2</v>
      </c>
      <c r="B10" s="213" t="str">
        <f>B42</f>
        <v>ระบบท่อระบายทิ้ง น้ำเสียและน้ำโสโครก</v>
      </c>
      <c r="C10" s="111"/>
      <c r="D10" s="563"/>
      <c r="E10" s="564"/>
      <c r="F10" s="564"/>
      <c r="G10" s="565"/>
      <c r="H10" s="559"/>
      <c r="I10" s="566">
        <f>I57</f>
        <v>14585.594000000001</v>
      </c>
      <c r="J10" s="566"/>
      <c r="K10" s="566">
        <f>K57</f>
        <v>10927.823749999998</v>
      </c>
      <c r="L10" s="567">
        <f>L57</f>
        <v>25513.417749999997</v>
      </c>
      <c r="M10" s="83"/>
    </row>
    <row r="11" spans="1:13" ht="18" customHeight="1">
      <c r="A11" s="246" t="str">
        <f>A58</f>
        <v>D3</v>
      </c>
      <c r="B11" s="213" t="str">
        <f>B58</f>
        <v>งานระบบท่ออากาศ</v>
      </c>
      <c r="C11" s="111"/>
      <c r="D11" s="563"/>
      <c r="E11" s="564"/>
      <c r="F11" s="564"/>
      <c r="G11" s="565"/>
      <c r="H11" s="559"/>
      <c r="I11" s="566">
        <f>I69</f>
        <v>1034.55</v>
      </c>
      <c r="J11" s="566"/>
      <c r="K11" s="566">
        <f>K69</f>
        <v>1788.2149999999999</v>
      </c>
      <c r="L11" s="567">
        <f>L69</f>
        <v>2822.7649999999999</v>
      </c>
      <c r="M11" s="83"/>
    </row>
    <row r="12" spans="1:13" ht="18" customHeight="1">
      <c r="A12" s="246" t="str">
        <f>A70</f>
        <v>D4</v>
      </c>
      <c r="B12" s="213" t="str">
        <f>B70</f>
        <v>งานระบบท่อระบายน้ำฝนของอาคาร</v>
      </c>
      <c r="C12" s="111"/>
      <c r="D12" s="563"/>
      <c r="E12" s="564"/>
      <c r="F12" s="565"/>
      <c r="G12" s="565"/>
      <c r="H12" s="559"/>
      <c r="I12" s="566">
        <f>I76</f>
        <v>4918.7624999999998</v>
      </c>
      <c r="J12" s="566"/>
      <c r="K12" s="566">
        <f>K76</f>
        <v>2251.5</v>
      </c>
      <c r="L12" s="567">
        <f>L76</f>
        <v>7170.2624999999998</v>
      </c>
      <c r="M12" s="83"/>
    </row>
    <row r="13" spans="1:13" ht="18" customHeight="1">
      <c r="A13" s="246" t="str">
        <f>A77</f>
        <v>D5</v>
      </c>
      <c r="B13" s="213" t="str">
        <f>B77</f>
        <v>งานระบบระบายน้ำรอบพื้นที่</v>
      </c>
      <c r="C13" s="111"/>
      <c r="D13" s="563"/>
      <c r="E13" s="564"/>
      <c r="F13" s="565"/>
      <c r="G13" s="565"/>
      <c r="H13" s="559"/>
      <c r="I13" s="566">
        <f>I92</f>
        <v>24593.333333333336</v>
      </c>
      <c r="J13" s="566"/>
      <c r="K13" s="566">
        <f>K92</f>
        <v>5451</v>
      </c>
      <c r="L13" s="567">
        <f>L92</f>
        <v>30044.333333333336</v>
      </c>
      <c r="M13" s="83"/>
    </row>
    <row r="14" spans="1:13" ht="18" customHeight="1">
      <c r="A14" s="246"/>
      <c r="B14" s="213"/>
      <c r="C14" s="111"/>
      <c r="D14" s="563"/>
      <c r="E14" s="564"/>
      <c r="F14" s="565"/>
      <c r="G14" s="565"/>
      <c r="H14" s="559"/>
      <c r="I14" s="566"/>
      <c r="J14" s="566"/>
      <c r="K14" s="566"/>
      <c r="L14" s="567"/>
      <c r="M14" s="83"/>
    </row>
    <row r="15" spans="1:13" ht="18" customHeight="1">
      <c r="A15" s="246"/>
      <c r="B15" s="213"/>
      <c r="C15" s="111"/>
      <c r="D15" s="563"/>
      <c r="E15" s="564"/>
      <c r="F15" s="565"/>
      <c r="G15" s="565"/>
      <c r="H15" s="559"/>
      <c r="I15" s="568"/>
      <c r="J15" s="568"/>
      <c r="K15" s="566"/>
      <c r="L15" s="567"/>
      <c r="M15" s="83"/>
    </row>
    <row r="16" spans="1:13" ht="18" customHeight="1" thickBot="1">
      <c r="A16" s="246"/>
      <c r="B16" s="213"/>
      <c r="C16" s="111"/>
      <c r="D16" s="563"/>
      <c r="E16" s="564"/>
      <c r="F16" s="565"/>
      <c r="G16" s="565"/>
      <c r="H16" s="559"/>
      <c r="I16" s="568"/>
      <c r="J16" s="568"/>
      <c r="K16" s="566"/>
      <c r="L16" s="567"/>
      <c r="M16" s="83"/>
    </row>
    <row r="17" spans="1:13" s="7" customFormat="1" ht="15" thickTop="1" thickBot="1">
      <c r="A17" s="247"/>
      <c r="B17" s="43" t="s">
        <v>157</v>
      </c>
      <c r="C17" s="46"/>
      <c r="D17" s="569"/>
      <c r="E17" s="570"/>
      <c r="F17" s="570"/>
      <c r="G17" s="570"/>
      <c r="H17" s="571"/>
      <c r="I17" s="572">
        <f>SUM(I9:I16)</f>
        <v>70348.921958333347</v>
      </c>
      <c r="J17" s="571"/>
      <c r="K17" s="572">
        <f>SUM(K9:K16)</f>
        <v>33829.055812499995</v>
      </c>
      <c r="L17" s="572">
        <f>SUM(L9:L16)</f>
        <v>104177.97777083333</v>
      </c>
      <c r="M17" s="36"/>
    </row>
    <row r="18" spans="1:13" ht="20.100000000000001" customHeight="1" thickTop="1">
      <c r="A18" s="95" t="s">
        <v>322</v>
      </c>
      <c r="B18" s="96" t="s">
        <v>323</v>
      </c>
      <c r="C18" s="71"/>
      <c r="D18" s="573"/>
      <c r="E18" s="574"/>
      <c r="F18" s="575"/>
      <c r="G18" s="576"/>
      <c r="H18" s="577"/>
      <c r="I18" s="577"/>
      <c r="J18" s="577"/>
      <c r="K18" s="577"/>
      <c r="L18" s="578"/>
      <c r="M18" s="76"/>
    </row>
    <row r="19" spans="1:13" ht="20.100000000000001" customHeight="1">
      <c r="A19" s="246"/>
      <c r="B19" s="189" t="s">
        <v>324</v>
      </c>
      <c r="C19" s="111"/>
      <c r="D19" s="563"/>
      <c r="E19" s="564"/>
      <c r="F19" s="564"/>
      <c r="G19" s="565"/>
      <c r="H19" s="565"/>
      <c r="I19" s="566"/>
      <c r="J19" s="565"/>
      <c r="K19" s="566"/>
      <c r="L19" s="567"/>
      <c r="M19" s="83"/>
    </row>
    <row r="20" spans="1:13" ht="18" customHeight="1">
      <c r="A20" s="246"/>
      <c r="B20" s="213" t="s">
        <v>325</v>
      </c>
      <c r="C20" s="92">
        <f>7+2+3.5</f>
        <v>12.5</v>
      </c>
      <c r="D20" s="557"/>
      <c r="E20" s="558"/>
      <c r="F20" s="558"/>
      <c r="G20" s="559" t="s">
        <v>326</v>
      </c>
      <c r="H20" s="559">
        <f>39.9/4</f>
        <v>9.9749999999999996</v>
      </c>
      <c r="I20" s="568">
        <f>C20*H20</f>
        <v>124.6875</v>
      </c>
      <c r="J20" s="559">
        <v>30</v>
      </c>
      <c r="K20" s="568">
        <f>C20*J20</f>
        <v>375</v>
      </c>
      <c r="L20" s="562">
        <f>I20+K20</f>
        <v>499.6875</v>
      </c>
      <c r="M20" s="83"/>
    </row>
    <row r="21" spans="1:13" ht="18" customHeight="1">
      <c r="A21" s="246"/>
      <c r="B21" s="213" t="s">
        <v>327</v>
      </c>
      <c r="C21" s="92">
        <f>20.5+2.6+14.5+5.1+12.5+5</f>
        <v>60.2</v>
      </c>
      <c r="D21" s="557"/>
      <c r="E21" s="558"/>
      <c r="F21" s="558"/>
      <c r="G21" s="559" t="s">
        <v>326</v>
      </c>
      <c r="H21" s="559">
        <f>50.35/4</f>
        <v>12.5875</v>
      </c>
      <c r="I21" s="568">
        <f>C21*H21</f>
        <v>757.76750000000004</v>
      </c>
      <c r="J21" s="559">
        <v>30</v>
      </c>
      <c r="K21" s="568">
        <f>C21*J21</f>
        <v>1806</v>
      </c>
      <c r="L21" s="562">
        <f>I21+K21</f>
        <v>2563.7674999999999</v>
      </c>
      <c r="M21" s="83"/>
    </row>
    <row r="22" spans="1:13" ht="18" customHeight="1">
      <c r="A22" s="246"/>
      <c r="B22" s="213" t="s">
        <v>447</v>
      </c>
      <c r="C22" s="92">
        <f>5.77+3.5</f>
        <v>9.27</v>
      </c>
      <c r="D22" s="557"/>
      <c r="E22" s="558"/>
      <c r="F22" s="558"/>
      <c r="G22" s="559" t="s">
        <v>326</v>
      </c>
      <c r="H22" s="559">
        <f>66.5/4</f>
        <v>16.625</v>
      </c>
      <c r="I22" s="568">
        <f>C22*H22</f>
        <v>154.11374999999998</v>
      </c>
      <c r="J22" s="559">
        <v>30</v>
      </c>
      <c r="K22" s="568">
        <f>C22*J22</f>
        <v>278.09999999999997</v>
      </c>
      <c r="L22" s="562">
        <f>I22+K22</f>
        <v>432.21374999999995</v>
      </c>
      <c r="M22" s="83"/>
    </row>
    <row r="23" spans="1:13" ht="18" customHeight="1">
      <c r="A23" s="246"/>
      <c r="B23" s="189" t="s">
        <v>328</v>
      </c>
      <c r="C23" s="92">
        <v>1</v>
      </c>
      <c r="D23" s="557"/>
      <c r="E23" s="558"/>
      <c r="F23" s="558"/>
      <c r="G23" s="559" t="s">
        <v>35</v>
      </c>
      <c r="H23" s="559">
        <f>SUM(I20:I22)*0.1</f>
        <v>103.656875</v>
      </c>
      <c r="I23" s="568">
        <f>C23*H23</f>
        <v>103.656875</v>
      </c>
      <c r="J23" s="559">
        <f>H23*0.3</f>
        <v>31.0970625</v>
      </c>
      <c r="K23" s="568">
        <f>C23*J23</f>
        <v>31.0970625</v>
      </c>
      <c r="L23" s="562">
        <f>I23+K23</f>
        <v>134.75393750000001</v>
      </c>
      <c r="M23" s="83"/>
    </row>
    <row r="24" spans="1:13" ht="18" customHeight="1">
      <c r="A24" s="246"/>
      <c r="B24" s="189" t="s">
        <v>329</v>
      </c>
      <c r="C24" s="92"/>
      <c r="D24" s="557"/>
      <c r="E24" s="558"/>
      <c r="F24" s="559"/>
      <c r="G24" s="559"/>
      <c r="H24" s="559"/>
      <c r="I24" s="568"/>
      <c r="J24" s="559"/>
      <c r="K24" s="568"/>
      <c r="L24" s="562"/>
      <c r="M24" s="83"/>
    </row>
    <row r="25" spans="1:13" ht="18" customHeight="1">
      <c r="A25" s="246"/>
      <c r="B25" s="189" t="s">
        <v>330</v>
      </c>
      <c r="C25" s="92">
        <v>4</v>
      </c>
      <c r="D25" s="557"/>
      <c r="E25" s="558"/>
      <c r="F25" s="559"/>
      <c r="G25" s="559" t="s">
        <v>122</v>
      </c>
      <c r="H25" s="559">
        <v>105</v>
      </c>
      <c r="I25" s="568">
        <f t="shared" ref="I25:I38" si="0">C25*H25</f>
        <v>420</v>
      </c>
      <c r="J25" s="559">
        <v>100</v>
      </c>
      <c r="K25" s="568">
        <f t="shared" ref="K25:K38" si="1">C25*J25</f>
        <v>400</v>
      </c>
      <c r="L25" s="562">
        <f t="shared" ref="L25:L38" si="2">I25+K25</f>
        <v>820</v>
      </c>
      <c r="M25" s="83"/>
    </row>
    <row r="26" spans="1:13" ht="18" customHeight="1">
      <c r="A26" s="246"/>
      <c r="B26" s="189" t="s">
        <v>331</v>
      </c>
      <c r="C26" s="92">
        <v>6</v>
      </c>
      <c r="D26" s="557"/>
      <c r="E26" s="558"/>
      <c r="F26" s="559"/>
      <c r="G26" s="559" t="s">
        <v>122</v>
      </c>
      <c r="H26" s="559">
        <v>264</v>
      </c>
      <c r="I26" s="568">
        <f t="shared" si="0"/>
        <v>1584</v>
      </c>
      <c r="J26" s="559">
        <v>150</v>
      </c>
      <c r="K26" s="568">
        <f t="shared" si="1"/>
        <v>900</v>
      </c>
      <c r="L26" s="562">
        <f t="shared" si="2"/>
        <v>2484</v>
      </c>
      <c r="M26" s="83"/>
    </row>
    <row r="27" spans="1:13" ht="18" customHeight="1">
      <c r="A27" s="246"/>
      <c r="B27" s="189" t="s">
        <v>332</v>
      </c>
      <c r="C27" s="92">
        <v>1</v>
      </c>
      <c r="D27" s="557"/>
      <c r="E27" s="558"/>
      <c r="F27" s="559"/>
      <c r="G27" s="559" t="s">
        <v>122</v>
      </c>
      <c r="H27" s="559">
        <v>1135</v>
      </c>
      <c r="I27" s="568">
        <f t="shared" si="0"/>
        <v>1135</v>
      </c>
      <c r="J27" s="559">
        <v>100</v>
      </c>
      <c r="K27" s="568">
        <f t="shared" si="1"/>
        <v>100</v>
      </c>
      <c r="L27" s="562">
        <f t="shared" si="2"/>
        <v>1235</v>
      </c>
      <c r="M27" s="83"/>
    </row>
    <row r="28" spans="1:13" ht="18" customHeight="1">
      <c r="A28" s="246"/>
      <c r="B28" s="189" t="s">
        <v>333</v>
      </c>
      <c r="C28" s="92">
        <v>4</v>
      </c>
      <c r="D28" s="557"/>
      <c r="E28" s="558"/>
      <c r="F28" s="559"/>
      <c r="G28" s="559" t="s">
        <v>122</v>
      </c>
      <c r="H28" s="559">
        <v>155</v>
      </c>
      <c r="I28" s="568">
        <f t="shared" si="0"/>
        <v>620</v>
      </c>
      <c r="J28" s="559">
        <v>50</v>
      </c>
      <c r="K28" s="568">
        <f t="shared" si="1"/>
        <v>200</v>
      </c>
      <c r="L28" s="562">
        <f t="shared" si="2"/>
        <v>820</v>
      </c>
      <c r="M28" s="83"/>
    </row>
    <row r="29" spans="1:13" ht="18" customHeight="1">
      <c r="A29" s="246"/>
      <c r="B29" s="189" t="s">
        <v>334</v>
      </c>
      <c r="C29" s="92">
        <v>1</v>
      </c>
      <c r="D29" s="557"/>
      <c r="E29" s="558"/>
      <c r="F29" s="559"/>
      <c r="G29" s="559" t="s">
        <v>122</v>
      </c>
      <c r="H29" s="559">
        <v>11600</v>
      </c>
      <c r="I29" s="568">
        <f t="shared" si="0"/>
        <v>11600</v>
      </c>
      <c r="J29" s="559">
        <f>H29*0.3</f>
        <v>3480</v>
      </c>
      <c r="K29" s="568">
        <f t="shared" si="1"/>
        <v>3480</v>
      </c>
      <c r="L29" s="562">
        <f t="shared" si="2"/>
        <v>15080</v>
      </c>
      <c r="M29" s="83"/>
    </row>
    <row r="30" spans="1:13" ht="18" customHeight="1">
      <c r="A30" s="246"/>
      <c r="B30" s="189" t="s">
        <v>335</v>
      </c>
      <c r="C30" s="92">
        <v>1</v>
      </c>
      <c r="D30" s="557"/>
      <c r="E30" s="558"/>
      <c r="F30" s="559"/>
      <c r="G30" s="559" t="s">
        <v>122</v>
      </c>
      <c r="H30" s="559">
        <v>4590</v>
      </c>
      <c r="I30" s="568">
        <f t="shared" si="0"/>
        <v>4590</v>
      </c>
      <c r="J30" s="559">
        <f>H30*0.3</f>
        <v>1377</v>
      </c>
      <c r="K30" s="568">
        <f t="shared" si="1"/>
        <v>1377</v>
      </c>
      <c r="L30" s="562">
        <f t="shared" si="2"/>
        <v>5967</v>
      </c>
      <c r="M30" s="83"/>
    </row>
    <row r="31" spans="1:13" ht="18" customHeight="1">
      <c r="A31" s="246"/>
      <c r="B31" s="189" t="s">
        <v>328</v>
      </c>
      <c r="C31" s="92">
        <v>1</v>
      </c>
      <c r="D31" s="557"/>
      <c r="E31" s="558"/>
      <c r="F31" s="559"/>
      <c r="G31" s="559" t="s">
        <v>35</v>
      </c>
      <c r="H31" s="559">
        <f>SUM(I25:I30)*0.1</f>
        <v>1994.9</v>
      </c>
      <c r="I31" s="568">
        <f t="shared" si="0"/>
        <v>1994.9</v>
      </c>
      <c r="J31" s="559">
        <f>H31*0.3</f>
        <v>598.47</v>
      </c>
      <c r="K31" s="568">
        <f t="shared" si="1"/>
        <v>598.47</v>
      </c>
      <c r="L31" s="562">
        <f t="shared" si="2"/>
        <v>2593.37</v>
      </c>
      <c r="M31" s="83"/>
    </row>
    <row r="32" spans="1:13" ht="18" customHeight="1">
      <c r="A32" s="246"/>
      <c r="B32" s="579" t="s">
        <v>448</v>
      </c>
      <c r="C32" s="92"/>
      <c r="D32" s="557"/>
      <c r="E32" s="558"/>
      <c r="F32" s="559"/>
      <c r="G32" s="559"/>
      <c r="H32" s="559"/>
      <c r="I32" s="568">
        <f t="shared" si="0"/>
        <v>0</v>
      </c>
      <c r="J32" s="559"/>
      <c r="K32" s="568">
        <f t="shared" si="1"/>
        <v>0</v>
      </c>
      <c r="L32" s="562">
        <f t="shared" si="2"/>
        <v>0</v>
      </c>
      <c r="M32" s="83"/>
    </row>
    <row r="33" spans="1:13" ht="18" customHeight="1">
      <c r="A33" s="246"/>
      <c r="B33" s="189" t="s">
        <v>449</v>
      </c>
      <c r="C33" s="92">
        <v>4</v>
      </c>
      <c r="D33" s="557"/>
      <c r="E33" s="558"/>
      <c r="F33" s="559"/>
      <c r="G33" s="559" t="s">
        <v>52</v>
      </c>
      <c r="H33" s="559">
        <f>150.82*6/2</f>
        <v>452.46</v>
      </c>
      <c r="I33" s="568">
        <f t="shared" si="0"/>
        <v>1809.84</v>
      </c>
      <c r="J33" s="559">
        <v>548</v>
      </c>
      <c r="K33" s="568">
        <f t="shared" si="1"/>
        <v>2192</v>
      </c>
      <c r="L33" s="562">
        <f t="shared" si="2"/>
        <v>4001.84</v>
      </c>
      <c r="M33" s="83"/>
    </row>
    <row r="34" spans="1:13" ht="18" customHeight="1">
      <c r="A34" s="246"/>
      <c r="B34" s="189" t="s">
        <v>450</v>
      </c>
      <c r="C34" s="92">
        <v>4</v>
      </c>
      <c r="D34" s="557"/>
      <c r="E34" s="558"/>
      <c r="F34" s="559"/>
      <c r="G34" s="559" t="s">
        <v>52</v>
      </c>
      <c r="H34" s="559"/>
      <c r="I34" s="568">
        <f t="shared" si="0"/>
        <v>0</v>
      </c>
      <c r="J34" s="559">
        <v>400</v>
      </c>
      <c r="K34" s="568">
        <f t="shared" si="1"/>
        <v>1600</v>
      </c>
      <c r="L34" s="562">
        <f t="shared" si="2"/>
        <v>1600</v>
      </c>
      <c r="M34" s="83"/>
    </row>
    <row r="35" spans="1:13" ht="18" customHeight="1">
      <c r="A35" s="246"/>
      <c r="B35" s="189" t="s">
        <v>451</v>
      </c>
      <c r="C35" s="92">
        <f>1*0.05</f>
        <v>0.05</v>
      </c>
      <c r="D35" s="557"/>
      <c r="E35" s="558"/>
      <c r="F35" s="559"/>
      <c r="G35" s="559" t="s">
        <v>452</v>
      </c>
      <c r="H35" s="559">
        <v>453.33</v>
      </c>
      <c r="I35" s="568">
        <f t="shared" si="0"/>
        <v>22.666499999999999</v>
      </c>
      <c r="J35" s="559">
        <v>91</v>
      </c>
      <c r="K35" s="568">
        <f t="shared" si="1"/>
        <v>4.55</v>
      </c>
      <c r="L35" s="562">
        <f t="shared" si="2"/>
        <v>27.2165</v>
      </c>
      <c r="M35" s="83"/>
    </row>
    <row r="36" spans="1:13" ht="18" customHeight="1">
      <c r="A36" s="246"/>
      <c r="B36" s="189" t="s">
        <v>428</v>
      </c>
      <c r="C36" s="92">
        <v>0.05</v>
      </c>
      <c r="D36" s="557"/>
      <c r="E36" s="558"/>
      <c r="F36" s="559"/>
      <c r="G36" s="559" t="s">
        <v>452</v>
      </c>
      <c r="H36" s="559">
        <v>2034</v>
      </c>
      <c r="I36" s="568">
        <f t="shared" si="0"/>
        <v>101.7</v>
      </c>
      <c r="J36" s="559">
        <v>398</v>
      </c>
      <c r="K36" s="568">
        <f t="shared" si="1"/>
        <v>19.900000000000002</v>
      </c>
      <c r="L36" s="562">
        <f t="shared" si="2"/>
        <v>121.60000000000001</v>
      </c>
      <c r="M36" s="83"/>
    </row>
    <row r="37" spans="1:13" s="7" customFormat="1">
      <c r="A37" s="246"/>
      <c r="B37" s="189" t="s">
        <v>453</v>
      </c>
      <c r="C37" s="92">
        <f>1*1*0.05</f>
        <v>0.05</v>
      </c>
      <c r="D37" s="557"/>
      <c r="E37" s="558"/>
      <c r="F37" s="559"/>
      <c r="G37" s="559" t="s">
        <v>452</v>
      </c>
      <c r="H37" s="559">
        <v>2367</v>
      </c>
      <c r="I37" s="568">
        <f t="shared" si="0"/>
        <v>118.35000000000001</v>
      </c>
      <c r="J37" s="559">
        <v>436</v>
      </c>
      <c r="K37" s="568">
        <f t="shared" si="1"/>
        <v>21.8</v>
      </c>
      <c r="L37" s="562">
        <f t="shared" si="2"/>
        <v>140.15</v>
      </c>
      <c r="M37" s="83"/>
    </row>
    <row r="38" spans="1:13" ht="20.100000000000001" customHeight="1">
      <c r="A38" s="246"/>
      <c r="B38" s="189" t="s">
        <v>454</v>
      </c>
      <c r="C38" s="92">
        <f>4*0.1*0.5</f>
        <v>0.2</v>
      </c>
      <c r="D38" s="557"/>
      <c r="E38" s="558"/>
      <c r="F38" s="559"/>
      <c r="G38" s="559" t="s">
        <v>36</v>
      </c>
      <c r="H38" s="559">
        <v>400</v>
      </c>
      <c r="I38" s="568">
        <f t="shared" si="0"/>
        <v>80</v>
      </c>
      <c r="J38" s="559">
        <v>133</v>
      </c>
      <c r="K38" s="568">
        <f t="shared" si="1"/>
        <v>26.6</v>
      </c>
      <c r="L38" s="562">
        <f t="shared" si="2"/>
        <v>106.6</v>
      </c>
      <c r="M38" s="83"/>
    </row>
    <row r="39" spans="1:13">
      <c r="A39" s="246"/>
      <c r="B39" s="189"/>
      <c r="C39" s="92"/>
      <c r="D39" s="557"/>
      <c r="E39" s="558"/>
      <c r="F39" s="559"/>
      <c r="G39" s="559"/>
      <c r="H39" s="559"/>
      <c r="I39" s="568"/>
      <c r="J39" s="559"/>
      <c r="K39" s="568"/>
      <c r="L39" s="562"/>
      <c r="M39" s="83"/>
    </row>
    <row r="40" spans="1:13" ht="14.4" thickBot="1">
      <c r="A40" s="246"/>
      <c r="B40" s="189"/>
      <c r="C40" s="92"/>
      <c r="D40" s="557"/>
      <c r="E40" s="558"/>
      <c r="F40" s="559"/>
      <c r="G40" s="559"/>
      <c r="H40" s="559"/>
      <c r="I40" s="568"/>
      <c r="J40" s="559"/>
      <c r="K40" s="568"/>
      <c r="L40" s="562"/>
      <c r="M40" s="83"/>
    </row>
    <row r="41" spans="1:13" ht="15" thickTop="1" thickBot="1">
      <c r="A41" s="247"/>
      <c r="B41" s="43" t="s">
        <v>336</v>
      </c>
      <c r="C41" s="46"/>
      <c r="D41" s="569"/>
      <c r="E41" s="570"/>
      <c r="F41" s="570"/>
      <c r="G41" s="570"/>
      <c r="H41" s="571"/>
      <c r="I41" s="572">
        <f>SUM(I19:I40)</f>
        <v>25216.682124999999</v>
      </c>
      <c r="J41" s="571"/>
      <c r="K41" s="572">
        <f>SUM(K19:K40)</f>
        <v>13410.517062499997</v>
      </c>
      <c r="L41" s="572">
        <f>SUM(L19:L40)</f>
        <v>38627.199187500002</v>
      </c>
      <c r="M41" s="36" t="s">
        <v>34</v>
      </c>
    </row>
    <row r="42" spans="1:13" ht="14.4" thickTop="1">
      <c r="A42" s="95" t="s">
        <v>337</v>
      </c>
      <c r="B42" s="96" t="s">
        <v>338</v>
      </c>
      <c r="C42" s="580"/>
      <c r="D42" s="581"/>
      <c r="E42" s="582"/>
      <c r="F42" s="583"/>
      <c r="G42" s="584"/>
      <c r="H42" s="585"/>
      <c r="I42" s="585"/>
      <c r="J42" s="585"/>
      <c r="K42" s="585"/>
      <c r="L42" s="586"/>
      <c r="M42" s="76"/>
    </row>
    <row r="43" spans="1:13">
      <c r="A43" s="246"/>
      <c r="B43" s="189" t="s">
        <v>339</v>
      </c>
      <c r="C43" s="92"/>
      <c r="D43" s="557"/>
      <c r="E43" s="558"/>
      <c r="F43" s="558"/>
      <c r="G43" s="559"/>
      <c r="H43" s="559"/>
      <c r="I43" s="568"/>
      <c r="J43" s="568"/>
      <c r="K43" s="568"/>
      <c r="L43" s="562"/>
      <c r="M43" s="83"/>
    </row>
    <row r="44" spans="1:13" ht="18" customHeight="1">
      <c r="A44" s="246"/>
      <c r="B44" s="189" t="s">
        <v>340</v>
      </c>
      <c r="C44" s="92">
        <f>11+11+3.5+5+3+26+26</f>
        <v>85.5</v>
      </c>
      <c r="D44" s="557"/>
      <c r="E44" s="558"/>
      <c r="F44" s="558"/>
      <c r="G44" s="559" t="s">
        <v>326</v>
      </c>
      <c r="H44" s="559">
        <f>171/4</f>
        <v>42.75</v>
      </c>
      <c r="I44" s="568">
        <f>C44*H44</f>
        <v>3655.125</v>
      </c>
      <c r="J44" s="568">
        <v>40</v>
      </c>
      <c r="K44" s="568">
        <f>J44*C44</f>
        <v>3420</v>
      </c>
      <c r="L44" s="562">
        <f>K44+I44</f>
        <v>7075.125</v>
      </c>
      <c r="M44" s="83"/>
    </row>
    <row r="45" spans="1:13" ht="18" customHeight="1">
      <c r="A45" s="246"/>
      <c r="B45" s="189" t="s">
        <v>341</v>
      </c>
      <c r="C45" s="92">
        <f>10.5+3.5+3</f>
        <v>17</v>
      </c>
      <c r="D45" s="557"/>
      <c r="E45" s="558"/>
      <c r="F45" s="558"/>
      <c r="G45" s="559" t="s">
        <v>326</v>
      </c>
      <c r="H45" s="559">
        <f>608/4</f>
        <v>152</v>
      </c>
      <c r="I45" s="568">
        <f>C45*H45</f>
        <v>2584</v>
      </c>
      <c r="J45" s="568">
        <v>100</v>
      </c>
      <c r="K45" s="568">
        <f>J45*C45</f>
        <v>1700</v>
      </c>
      <c r="L45" s="562">
        <f>K45+I45</f>
        <v>4284</v>
      </c>
      <c r="M45" s="83"/>
    </row>
    <row r="46" spans="1:13" s="7" customFormat="1">
      <c r="A46" s="246"/>
      <c r="B46" s="189" t="s">
        <v>328</v>
      </c>
      <c r="C46" s="92">
        <v>1</v>
      </c>
      <c r="D46" s="557"/>
      <c r="E46" s="558"/>
      <c r="F46" s="558"/>
      <c r="G46" s="559" t="s">
        <v>35</v>
      </c>
      <c r="H46" s="559">
        <f>SUM(I44:I45)*0.1</f>
        <v>623.91250000000002</v>
      </c>
      <c r="I46" s="568">
        <f>C46*H46</f>
        <v>623.91250000000002</v>
      </c>
      <c r="J46" s="568">
        <f>H46*0.3</f>
        <v>187.17375000000001</v>
      </c>
      <c r="K46" s="568">
        <f>J46*C46</f>
        <v>187.17375000000001</v>
      </c>
      <c r="L46" s="562">
        <f>K46+I46</f>
        <v>811.08625000000006</v>
      </c>
      <c r="M46" s="83"/>
    </row>
    <row r="47" spans="1:13" ht="20.100000000000001" customHeight="1">
      <c r="A47" s="246"/>
      <c r="B47" s="189" t="s">
        <v>342</v>
      </c>
      <c r="C47" s="92">
        <v>1</v>
      </c>
      <c r="D47" s="557"/>
      <c r="E47" s="558"/>
      <c r="F47" s="558"/>
      <c r="G47" s="559" t="s">
        <v>122</v>
      </c>
      <c r="H47" s="559">
        <v>4790</v>
      </c>
      <c r="I47" s="568">
        <f>C47*H47</f>
        <v>4790</v>
      </c>
      <c r="J47" s="568">
        <f>H47*0.3</f>
        <v>1437</v>
      </c>
      <c r="K47" s="568">
        <f>J47*C47</f>
        <v>1437</v>
      </c>
      <c r="L47" s="562">
        <f>K47+I47</f>
        <v>6227</v>
      </c>
      <c r="M47" s="83"/>
    </row>
    <row r="48" spans="1:13" ht="20.100000000000001" customHeight="1">
      <c r="A48" s="246"/>
      <c r="B48" s="189" t="s">
        <v>455</v>
      </c>
      <c r="C48" s="92">
        <v>4</v>
      </c>
      <c r="D48" s="557"/>
      <c r="E48" s="558"/>
      <c r="F48" s="558"/>
      <c r="G48" s="559" t="s">
        <v>122</v>
      </c>
      <c r="H48" s="559">
        <v>200</v>
      </c>
      <c r="I48" s="568">
        <f>C48*H48</f>
        <v>800</v>
      </c>
      <c r="J48" s="568">
        <v>50</v>
      </c>
      <c r="K48" s="568">
        <f>J48*C48</f>
        <v>200</v>
      </c>
      <c r="L48" s="562">
        <f>K48+I48</f>
        <v>1000</v>
      </c>
      <c r="M48" s="83"/>
    </row>
    <row r="49" spans="1:13" ht="18" customHeight="1">
      <c r="A49" s="246"/>
      <c r="B49" s="189" t="s">
        <v>456</v>
      </c>
      <c r="C49" s="92"/>
      <c r="D49" s="557"/>
      <c r="E49" s="558"/>
      <c r="F49" s="558"/>
      <c r="G49" s="559"/>
      <c r="H49" s="559"/>
      <c r="I49" s="568"/>
      <c r="J49" s="568"/>
      <c r="K49" s="568"/>
      <c r="L49" s="562"/>
      <c r="M49" s="83"/>
    </row>
    <row r="50" spans="1:13" ht="18" customHeight="1">
      <c r="A50" s="246"/>
      <c r="B50" s="189" t="s">
        <v>449</v>
      </c>
      <c r="C50" s="92">
        <v>4</v>
      </c>
      <c r="D50" s="557"/>
      <c r="E50" s="558"/>
      <c r="F50" s="559"/>
      <c r="G50" s="559" t="s">
        <v>52</v>
      </c>
      <c r="H50" s="559">
        <f>150.82*6/2</f>
        <v>452.46</v>
      </c>
      <c r="I50" s="568">
        <f>C50*H50</f>
        <v>1809.84</v>
      </c>
      <c r="J50" s="559">
        <v>548</v>
      </c>
      <c r="K50" s="568">
        <f t="shared" ref="K50:K56" si="3">C50*J50</f>
        <v>2192</v>
      </c>
      <c r="L50" s="562">
        <f t="shared" ref="L50:L56" si="4">I50+K50</f>
        <v>4001.84</v>
      </c>
      <c r="M50" s="83"/>
    </row>
    <row r="51" spans="1:13" ht="18" customHeight="1">
      <c r="A51" s="246"/>
      <c r="B51" s="189" t="s">
        <v>450</v>
      </c>
      <c r="C51" s="92">
        <v>4</v>
      </c>
      <c r="D51" s="557"/>
      <c r="E51" s="558"/>
      <c r="F51" s="559"/>
      <c r="G51" s="559" t="s">
        <v>52</v>
      </c>
      <c r="H51" s="559"/>
      <c r="I51" s="568">
        <f>C51*H51</f>
        <v>0</v>
      </c>
      <c r="J51" s="559">
        <v>400</v>
      </c>
      <c r="K51" s="568">
        <f t="shared" si="3"/>
        <v>1600</v>
      </c>
      <c r="L51" s="562">
        <f t="shared" si="4"/>
        <v>1600</v>
      </c>
      <c r="M51" s="83"/>
    </row>
    <row r="52" spans="1:13" ht="18" customHeight="1">
      <c r="A52" s="246"/>
      <c r="B52" s="189" t="s">
        <v>457</v>
      </c>
      <c r="C52" s="92">
        <v>1.2</v>
      </c>
      <c r="D52" s="557"/>
      <c r="E52" s="558"/>
      <c r="F52" s="559"/>
      <c r="G52" s="559" t="s">
        <v>452</v>
      </c>
      <c r="H52" s="559"/>
      <c r="I52" s="568"/>
      <c r="J52" s="559">
        <v>99</v>
      </c>
      <c r="K52" s="568">
        <f t="shared" si="3"/>
        <v>118.8</v>
      </c>
      <c r="L52" s="562">
        <f t="shared" si="4"/>
        <v>118.8</v>
      </c>
      <c r="M52" s="83"/>
    </row>
    <row r="53" spans="1:13" ht="18" customHeight="1">
      <c r="A53" s="246"/>
      <c r="B53" s="189" t="s">
        <v>451</v>
      </c>
      <c r="C53" s="92">
        <f>1*0.05</f>
        <v>0.05</v>
      </c>
      <c r="D53" s="557"/>
      <c r="E53" s="558"/>
      <c r="F53" s="559"/>
      <c r="G53" s="559" t="s">
        <v>452</v>
      </c>
      <c r="H53" s="559">
        <v>453.33</v>
      </c>
      <c r="I53" s="568">
        <f>C53*H53</f>
        <v>22.666499999999999</v>
      </c>
      <c r="J53" s="559">
        <v>91</v>
      </c>
      <c r="K53" s="568">
        <f t="shared" si="3"/>
        <v>4.55</v>
      </c>
      <c r="L53" s="562">
        <f t="shared" si="4"/>
        <v>27.2165</v>
      </c>
      <c r="M53" s="83"/>
    </row>
    <row r="54" spans="1:13" ht="18" customHeight="1">
      <c r="A54" s="246"/>
      <c r="B54" s="189" t="s">
        <v>428</v>
      </c>
      <c r="C54" s="92">
        <v>0.05</v>
      </c>
      <c r="D54" s="557"/>
      <c r="E54" s="558"/>
      <c r="F54" s="559"/>
      <c r="G54" s="559" t="s">
        <v>452</v>
      </c>
      <c r="H54" s="559">
        <v>2034</v>
      </c>
      <c r="I54" s="568">
        <f>C54*H54</f>
        <v>101.7</v>
      </c>
      <c r="J54" s="559">
        <v>398</v>
      </c>
      <c r="K54" s="568">
        <f t="shared" si="3"/>
        <v>19.900000000000002</v>
      </c>
      <c r="L54" s="562">
        <f t="shared" si="4"/>
        <v>121.60000000000001</v>
      </c>
      <c r="M54" s="83"/>
    </row>
    <row r="55" spans="1:13" ht="18" customHeight="1">
      <c r="A55" s="246"/>
      <c r="B55" s="189" t="s">
        <v>453</v>
      </c>
      <c r="C55" s="92">
        <f>1*1*0.05</f>
        <v>0.05</v>
      </c>
      <c r="D55" s="557"/>
      <c r="E55" s="558"/>
      <c r="F55" s="559"/>
      <c r="G55" s="559" t="s">
        <v>452</v>
      </c>
      <c r="H55" s="559">
        <v>2367</v>
      </c>
      <c r="I55" s="568">
        <f>C55*H55</f>
        <v>118.35000000000001</v>
      </c>
      <c r="J55" s="559">
        <v>436</v>
      </c>
      <c r="K55" s="568">
        <f t="shared" si="3"/>
        <v>21.8</v>
      </c>
      <c r="L55" s="562">
        <f t="shared" si="4"/>
        <v>140.15</v>
      </c>
      <c r="M55" s="83"/>
    </row>
    <row r="56" spans="1:13" ht="18" customHeight="1" thickBot="1">
      <c r="A56" s="246"/>
      <c r="B56" s="189" t="s">
        <v>454</v>
      </c>
      <c r="C56" s="92">
        <f>4*0.1*0.5</f>
        <v>0.2</v>
      </c>
      <c r="D56" s="557"/>
      <c r="E56" s="558"/>
      <c r="F56" s="559"/>
      <c r="G56" s="559" t="s">
        <v>36</v>
      </c>
      <c r="H56" s="559">
        <v>400</v>
      </c>
      <c r="I56" s="568">
        <f>C56*H56</f>
        <v>80</v>
      </c>
      <c r="J56" s="559">
        <v>133</v>
      </c>
      <c r="K56" s="568">
        <f t="shared" si="3"/>
        <v>26.6</v>
      </c>
      <c r="L56" s="562">
        <f t="shared" si="4"/>
        <v>106.6</v>
      </c>
      <c r="M56" s="83"/>
    </row>
    <row r="57" spans="1:13" ht="18" customHeight="1" thickTop="1" thickBot="1">
      <c r="A57" s="247"/>
      <c r="B57" s="43" t="s">
        <v>343</v>
      </c>
      <c r="C57" s="46"/>
      <c r="D57" s="569"/>
      <c r="E57" s="570"/>
      <c r="F57" s="570"/>
      <c r="G57" s="570"/>
      <c r="H57" s="571"/>
      <c r="I57" s="572">
        <f>SUM(I43:I56)</f>
        <v>14585.594000000001</v>
      </c>
      <c r="J57" s="571"/>
      <c r="K57" s="572">
        <f>SUM(K43:K56)</f>
        <v>10927.823749999998</v>
      </c>
      <c r="L57" s="572">
        <f>SUM(L43:L56)</f>
        <v>25513.417749999997</v>
      </c>
      <c r="M57" s="36" t="s">
        <v>34</v>
      </c>
    </row>
    <row r="58" spans="1:13" s="7" customFormat="1" ht="14.4" thickTop="1">
      <c r="A58" s="95" t="s">
        <v>344</v>
      </c>
      <c r="B58" s="96" t="s">
        <v>345</v>
      </c>
      <c r="C58" s="580"/>
      <c r="D58" s="581"/>
      <c r="E58" s="582"/>
      <c r="F58" s="583"/>
      <c r="G58" s="584"/>
      <c r="H58" s="585"/>
      <c r="I58" s="585"/>
      <c r="J58" s="585"/>
      <c r="K58" s="585"/>
      <c r="L58" s="586"/>
      <c r="M58" s="76"/>
    </row>
    <row r="59" spans="1:13" ht="20.100000000000001" customHeight="1">
      <c r="A59" s="246"/>
      <c r="B59" s="189" t="s">
        <v>346</v>
      </c>
      <c r="C59" s="92"/>
      <c r="D59" s="557"/>
      <c r="E59" s="558"/>
      <c r="F59" s="558"/>
      <c r="G59" s="559"/>
      <c r="H59" s="559"/>
      <c r="I59" s="568"/>
      <c r="J59" s="568"/>
      <c r="K59" s="568"/>
      <c r="L59" s="562"/>
      <c r="M59" s="83"/>
    </row>
    <row r="60" spans="1:13" ht="20.100000000000001" customHeight="1">
      <c r="A60" s="246"/>
      <c r="B60" s="189" t="s">
        <v>340</v>
      </c>
      <c r="C60" s="92">
        <f>11*2</f>
        <v>22</v>
      </c>
      <c r="D60" s="557"/>
      <c r="E60" s="558"/>
      <c r="F60" s="558"/>
      <c r="G60" s="587" t="s">
        <v>326</v>
      </c>
      <c r="H60" s="559">
        <v>42.75</v>
      </c>
      <c r="I60" s="568">
        <f>C60*H60</f>
        <v>940.5</v>
      </c>
      <c r="J60" s="568">
        <v>80</v>
      </c>
      <c r="K60" s="568">
        <f>J60*C60</f>
        <v>1760</v>
      </c>
      <c r="L60" s="562">
        <f>K60+I60</f>
        <v>2700.5</v>
      </c>
      <c r="M60" s="83"/>
    </row>
    <row r="61" spans="1:13" ht="18" customHeight="1">
      <c r="A61" s="246"/>
      <c r="B61" s="189" t="s">
        <v>328</v>
      </c>
      <c r="C61" s="92">
        <v>1</v>
      </c>
      <c r="D61" s="557"/>
      <c r="E61" s="558"/>
      <c r="F61" s="558"/>
      <c r="G61" s="587" t="s">
        <v>35</v>
      </c>
      <c r="H61" s="559">
        <f>SUM(I58:I60)*0.1</f>
        <v>94.050000000000011</v>
      </c>
      <c r="I61" s="568">
        <f>C61*H61</f>
        <v>94.050000000000011</v>
      </c>
      <c r="J61" s="559">
        <f>H61*0.3</f>
        <v>28.215000000000003</v>
      </c>
      <c r="K61" s="568">
        <f>C61*J61</f>
        <v>28.215000000000003</v>
      </c>
      <c r="L61" s="562">
        <f>I61+K61</f>
        <v>122.26500000000001</v>
      </c>
      <c r="M61" s="83"/>
    </row>
    <row r="62" spans="1:13" ht="18" customHeight="1">
      <c r="A62" s="246"/>
      <c r="B62" s="189"/>
      <c r="C62" s="92"/>
      <c r="D62" s="557"/>
      <c r="E62" s="558"/>
      <c r="F62" s="558"/>
      <c r="G62" s="559"/>
      <c r="H62" s="559"/>
      <c r="I62" s="568"/>
      <c r="J62" s="568"/>
      <c r="K62" s="568"/>
      <c r="L62" s="562"/>
      <c r="M62" s="83"/>
    </row>
    <row r="63" spans="1:13" ht="18" customHeight="1">
      <c r="A63" s="246"/>
      <c r="B63" s="189"/>
      <c r="C63" s="92"/>
      <c r="D63" s="557"/>
      <c r="E63" s="558"/>
      <c r="F63" s="559"/>
      <c r="G63" s="587"/>
      <c r="H63" s="559"/>
      <c r="I63" s="568"/>
      <c r="J63" s="568"/>
      <c r="K63" s="568"/>
      <c r="L63" s="562"/>
      <c r="M63" s="83"/>
    </row>
    <row r="64" spans="1:13" ht="18" customHeight="1">
      <c r="A64" s="246"/>
      <c r="B64" s="189"/>
      <c r="C64" s="92"/>
      <c r="D64" s="557"/>
      <c r="E64" s="558"/>
      <c r="F64" s="559"/>
      <c r="G64" s="559"/>
      <c r="H64" s="559"/>
      <c r="I64" s="568"/>
      <c r="J64" s="568"/>
      <c r="K64" s="568"/>
      <c r="L64" s="562"/>
      <c r="M64" s="83"/>
    </row>
    <row r="65" spans="1:13" ht="18" customHeight="1">
      <c r="A65" s="246"/>
      <c r="B65" s="189"/>
      <c r="C65" s="92"/>
      <c r="D65" s="557"/>
      <c r="E65" s="558"/>
      <c r="F65" s="559"/>
      <c r="G65" s="559"/>
      <c r="H65" s="559"/>
      <c r="I65" s="568"/>
      <c r="J65" s="568"/>
      <c r="K65" s="568"/>
      <c r="L65" s="562"/>
      <c r="M65" s="83"/>
    </row>
    <row r="66" spans="1:13" ht="18" customHeight="1">
      <c r="A66" s="246"/>
      <c r="B66" s="189"/>
      <c r="C66" s="92"/>
      <c r="D66" s="557"/>
      <c r="E66" s="558"/>
      <c r="F66" s="559"/>
      <c r="G66" s="559"/>
      <c r="H66" s="559"/>
      <c r="I66" s="568"/>
      <c r="J66" s="568"/>
      <c r="K66" s="568"/>
      <c r="L66" s="562"/>
      <c r="M66" s="83"/>
    </row>
    <row r="67" spans="1:13" s="7" customFormat="1">
      <c r="A67" s="246"/>
      <c r="B67" s="189"/>
      <c r="C67" s="92"/>
      <c r="D67" s="557"/>
      <c r="E67" s="558"/>
      <c r="F67" s="559"/>
      <c r="G67" s="559"/>
      <c r="H67" s="559"/>
      <c r="I67" s="568"/>
      <c r="J67" s="568"/>
      <c r="K67" s="568"/>
      <c r="L67" s="562"/>
      <c r="M67" s="83"/>
    </row>
    <row r="68" spans="1:13" ht="20.100000000000001" customHeight="1" thickBot="1">
      <c r="A68" s="246"/>
      <c r="B68" s="189"/>
      <c r="C68" s="92"/>
      <c r="D68" s="557"/>
      <c r="E68" s="558"/>
      <c r="F68" s="559"/>
      <c r="G68" s="559"/>
      <c r="H68" s="559"/>
      <c r="I68" s="568"/>
      <c r="J68" s="568"/>
      <c r="K68" s="568"/>
      <c r="L68" s="562"/>
      <c r="M68" s="83"/>
    </row>
    <row r="69" spans="1:13" ht="20.100000000000001" customHeight="1" thickTop="1" thickBot="1">
      <c r="A69" s="247"/>
      <c r="B69" s="43" t="s">
        <v>347</v>
      </c>
      <c r="C69" s="46"/>
      <c r="D69" s="569"/>
      <c r="E69" s="570"/>
      <c r="F69" s="570"/>
      <c r="G69" s="570"/>
      <c r="H69" s="571"/>
      <c r="I69" s="572">
        <f>SUM(I59:I68)</f>
        <v>1034.55</v>
      </c>
      <c r="J69" s="571"/>
      <c r="K69" s="572">
        <f>SUM(K59:K68)</f>
        <v>1788.2149999999999</v>
      </c>
      <c r="L69" s="572">
        <f>SUM(L59:L68)</f>
        <v>2822.7649999999999</v>
      </c>
      <c r="M69" s="36" t="s">
        <v>34</v>
      </c>
    </row>
    <row r="70" spans="1:13" ht="18" customHeight="1" thickTop="1">
      <c r="A70" s="95" t="s">
        <v>348</v>
      </c>
      <c r="B70" s="96" t="s">
        <v>349</v>
      </c>
      <c r="C70" s="580"/>
      <c r="D70" s="581"/>
      <c r="E70" s="582"/>
      <c r="F70" s="583"/>
      <c r="G70" s="584"/>
      <c r="H70" s="585"/>
      <c r="I70" s="585"/>
      <c r="J70" s="585"/>
      <c r="K70" s="585"/>
      <c r="L70" s="586"/>
      <c r="M70" s="76"/>
    </row>
    <row r="71" spans="1:13" ht="18" customHeight="1">
      <c r="A71" s="246"/>
      <c r="B71" s="189" t="s">
        <v>339</v>
      </c>
      <c r="C71" s="92"/>
      <c r="D71" s="557">
        <v>0</v>
      </c>
      <c r="E71" s="558"/>
      <c r="F71" s="558">
        <v>3</v>
      </c>
      <c r="G71" s="559"/>
      <c r="H71" s="559"/>
      <c r="I71" s="568"/>
      <c r="J71" s="568"/>
      <c r="K71" s="568"/>
      <c r="L71" s="562"/>
      <c r="M71" s="83"/>
    </row>
    <row r="72" spans="1:13" ht="18" customHeight="1">
      <c r="A72" s="246"/>
      <c r="B72" s="579" t="s">
        <v>340</v>
      </c>
      <c r="C72" s="92">
        <f>3*3.5*1.1</f>
        <v>11.55</v>
      </c>
      <c r="D72" s="557"/>
      <c r="E72" s="558"/>
      <c r="F72" s="558"/>
      <c r="G72" s="587" t="s">
        <v>326</v>
      </c>
      <c r="H72" s="559">
        <v>42.75</v>
      </c>
      <c r="I72" s="568">
        <f>C72*H72</f>
        <v>493.76250000000005</v>
      </c>
      <c r="J72" s="568">
        <v>80</v>
      </c>
      <c r="K72" s="568">
        <f>J72*C72</f>
        <v>924</v>
      </c>
      <c r="L72" s="562">
        <f>K72+I72</f>
        <v>1417.7625</v>
      </c>
      <c r="M72" s="83"/>
    </row>
    <row r="73" spans="1:13" ht="18" customHeight="1">
      <c r="A73" s="246"/>
      <c r="B73" s="189" t="s">
        <v>458</v>
      </c>
      <c r="C73" s="92">
        <v>3</v>
      </c>
      <c r="D73" s="557">
        <v>0</v>
      </c>
      <c r="E73" s="558">
        <v>12</v>
      </c>
      <c r="F73" s="559"/>
      <c r="G73" s="587" t="s">
        <v>122</v>
      </c>
      <c r="H73" s="559">
        <v>1475</v>
      </c>
      <c r="I73" s="568">
        <f>C73*H73</f>
        <v>4425</v>
      </c>
      <c r="J73" s="568">
        <f>H73*0.3</f>
        <v>442.5</v>
      </c>
      <c r="K73" s="568">
        <f>J73*C73</f>
        <v>1327.5</v>
      </c>
      <c r="L73" s="562">
        <f>K73+I73</f>
        <v>5752.5</v>
      </c>
      <c r="M73" s="83"/>
    </row>
    <row r="74" spans="1:13" ht="18" customHeight="1">
      <c r="A74" s="246"/>
      <c r="B74" s="189"/>
      <c r="C74" s="92"/>
      <c r="D74" s="557">
        <v>0</v>
      </c>
      <c r="E74" s="558">
        <v>12</v>
      </c>
      <c r="F74" s="559"/>
      <c r="G74" s="559"/>
      <c r="H74" s="559"/>
      <c r="I74" s="568"/>
      <c r="J74" s="568"/>
      <c r="K74" s="568"/>
      <c r="L74" s="562"/>
      <c r="M74" s="83"/>
    </row>
    <row r="75" spans="1:13" ht="18" customHeight="1" thickBot="1">
      <c r="A75" s="246"/>
      <c r="B75" s="189"/>
      <c r="C75" s="92"/>
      <c r="D75" s="557">
        <v>0</v>
      </c>
      <c r="E75" s="558">
        <v>12</v>
      </c>
      <c r="F75" s="559"/>
      <c r="G75" s="559"/>
      <c r="H75" s="559"/>
      <c r="I75" s="568"/>
      <c r="J75" s="568"/>
      <c r="K75" s="568"/>
      <c r="L75" s="562"/>
      <c r="M75" s="83"/>
    </row>
    <row r="76" spans="1:13" s="7" customFormat="1" ht="15" thickTop="1" thickBot="1">
      <c r="A76" s="247"/>
      <c r="B76" s="43" t="s">
        <v>350</v>
      </c>
      <c r="C76" s="46"/>
      <c r="D76" s="569"/>
      <c r="E76" s="570"/>
      <c r="F76" s="570"/>
      <c r="G76" s="570"/>
      <c r="H76" s="571"/>
      <c r="I76" s="572">
        <f>SUM(I71:I75)</f>
        <v>4918.7624999999998</v>
      </c>
      <c r="J76" s="571"/>
      <c r="K76" s="572">
        <f>SUM(K71:K75)</f>
        <v>2251.5</v>
      </c>
      <c r="L76" s="572">
        <f>SUM(L71:L75)</f>
        <v>7170.2624999999998</v>
      </c>
      <c r="M76" s="36" t="s">
        <v>34</v>
      </c>
    </row>
    <row r="77" spans="1:13" s="321" customFormat="1" ht="14.4" thickTop="1">
      <c r="A77" s="95" t="s">
        <v>351</v>
      </c>
      <c r="B77" s="96" t="s">
        <v>352</v>
      </c>
      <c r="C77" s="580"/>
      <c r="D77" s="581"/>
      <c r="E77" s="582"/>
      <c r="F77" s="583"/>
      <c r="G77" s="584"/>
      <c r="H77" s="585"/>
      <c r="I77" s="585"/>
      <c r="J77" s="585"/>
      <c r="K77" s="585"/>
      <c r="L77" s="586"/>
      <c r="M77" s="76"/>
    </row>
    <row r="78" spans="1:13">
      <c r="A78" s="246"/>
      <c r="B78" s="189" t="s">
        <v>353</v>
      </c>
      <c r="C78" s="92">
        <v>73</v>
      </c>
      <c r="D78" s="557">
        <v>0</v>
      </c>
      <c r="E78" s="558"/>
      <c r="F78" s="558">
        <v>3</v>
      </c>
      <c r="G78" s="559" t="s">
        <v>326</v>
      </c>
      <c r="H78" s="559">
        <v>120</v>
      </c>
      <c r="I78" s="568">
        <f t="shared" ref="I78:I83" si="5">H78*C78</f>
        <v>8760</v>
      </c>
      <c r="J78" s="568">
        <v>48</v>
      </c>
      <c r="K78" s="568">
        <f t="shared" ref="K78:K83" si="6">J78*C78</f>
        <v>3504</v>
      </c>
      <c r="L78" s="562">
        <f t="shared" ref="L78:L83" si="7">K78+I78</f>
        <v>12264</v>
      </c>
      <c r="M78" s="83"/>
    </row>
    <row r="79" spans="1:13">
      <c r="A79" s="246"/>
      <c r="B79" s="189" t="s">
        <v>354</v>
      </c>
      <c r="C79" s="92">
        <v>11</v>
      </c>
      <c r="D79" s="557"/>
      <c r="E79" s="558"/>
      <c r="F79" s="558"/>
      <c r="G79" s="559" t="s">
        <v>122</v>
      </c>
      <c r="H79" s="559">
        <f>200/3*4+500</f>
        <v>766.66666666666674</v>
      </c>
      <c r="I79" s="568">
        <f t="shared" si="5"/>
        <v>8433.3333333333339</v>
      </c>
      <c r="J79" s="568">
        <v>100</v>
      </c>
      <c r="K79" s="568">
        <f t="shared" si="6"/>
        <v>1100</v>
      </c>
      <c r="L79" s="562">
        <f t="shared" si="7"/>
        <v>9533.3333333333339</v>
      </c>
      <c r="M79" s="83"/>
    </row>
    <row r="80" spans="1:13">
      <c r="A80" s="246"/>
      <c r="B80" s="189" t="s">
        <v>355</v>
      </c>
      <c r="C80" s="92">
        <v>1</v>
      </c>
      <c r="D80" s="557"/>
      <c r="E80" s="558"/>
      <c r="F80" s="558"/>
      <c r="G80" s="559" t="s">
        <v>122</v>
      </c>
      <c r="H80" s="559">
        <f>300+500</f>
        <v>800</v>
      </c>
      <c r="I80" s="568">
        <f t="shared" si="5"/>
        <v>800</v>
      </c>
      <c r="J80" s="568">
        <v>150</v>
      </c>
      <c r="K80" s="568">
        <f t="shared" si="6"/>
        <v>150</v>
      </c>
      <c r="L80" s="562">
        <f t="shared" si="7"/>
        <v>950</v>
      </c>
      <c r="M80" s="83"/>
    </row>
    <row r="81" spans="1:13">
      <c r="A81" s="246"/>
      <c r="B81" s="189" t="s">
        <v>459</v>
      </c>
      <c r="C81" s="92">
        <v>1</v>
      </c>
      <c r="D81" s="557"/>
      <c r="E81" s="558"/>
      <c r="F81" s="558"/>
      <c r="G81" s="559" t="s">
        <v>122</v>
      </c>
      <c r="H81" s="559">
        <v>2900</v>
      </c>
      <c r="I81" s="568">
        <f t="shared" si="5"/>
        <v>2900</v>
      </c>
      <c r="J81" s="568">
        <v>200</v>
      </c>
      <c r="K81" s="568">
        <f t="shared" si="6"/>
        <v>200</v>
      </c>
      <c r="L81" s="562">
        <f t="shared" si="7"/>
        <v>3100</v>
      </c>
      <c r="M81" s="83"/>
    </row>
    <row r="82" spans="1:13">
      <c r="A82" s="246"/>
      <c r="B82" s="189" t="s">
        <v>356</v>
      </c>
      <c r="C82" s="92">
        <v>1</v>
      </c>
      <c r="D82" s="557">
        <v>0</v>
      </c>
      <c r="E82" s="558">
        <v>12</v>
      </c>
      <c r="F82" s="559"/>
      <c r="G82" s="559" t="s">
        <v>122</v>
      </c>
      <c r="H82" s="559">
        <v>3700</v>
      </c>
      <c r="I82" s="568">
        <f t="shared" si="5"/>
        <v>3700</v>
      </c>
      <c r="J82" s="568">
        <v>200</v>
      </c>
      <c r="K82" s="568">
        <f t="shared" si="6"/>
        <v>200</v>
      </c>
      <c r="L82" s="562">
        <f t="shared" si="7"/>
        <v>3900</v>
      </c>
      <c r="M82" s="83"/>
    </row>
    <row r="83" spans="1:13">
      <c r="A83" s="246"/>
      <c r="B83" s="189" t="s">
        <v>457</v>
      </c>
      <c r="C83" s="588">
        <v>3</v>
      </c>
      <c r="D83" s="557"/>
      <c r="E83" s="558"/>
      <c r="F83" s="559"/>
      <c r="G83" s="559" t="s">
        <v>452</v>
      </c>
      <c r="H83" s="559">
        <v>0</v>
      </c>
      <c r="I83" s="568">
        <f t="shared" si="5"/>
        <v>0</v>
      </c>
      <c r="J83" s="568">
        <v>99</v>
      </c>
      <c r="K83" s="568">
        <f t="shared" si="6"/>
        <v>297</v>
      </c>
      <c r="L83" s="562">
        <f t="shared" si="7"/>
        <v>297</v>
      </c>
      <c r="M83" s="83"/>
    </row>
    <row r="84" spans="1:13">
      <c r="A84" s="246"/>
      <c r="B84" s="189"/>
      <c r="C84" s="92"/>
      <c r="D84" s="557"/>
      <c r="E84" s="558"/>
      <c r="F84" s="559"/>
      <c r="G84" s="559"/>
      <c r="H84" s="559"/>
      <c r="I84" s="568"/>
      <c r="J84" s="568"/>
      <c r="K84" s="568"/>
      <c r="L84" s="562"/>
      <c r="M84" s="83"/>
    </row>
    <row r="85" spans="1:13">
      <c r="A85" s="246"/>
      <c r="B85" s="189"/>
      <c r="C85" s="92"/>
      <c r="D85" s="557"/>
      <c r="E85" s="558"/>
      <c r="F85" s="559"/>
      <c r="G85" s="559"/>
      <c r="H85" s="559"/>
      <c r="I85" s="568"/>
      <c r="J85" s="568"/>
      <c r="K85" s="568"/>
      <c r="L85" s="562"/>
      <c r="M85" s="83"/>
    </row>
    <row r="86" spans="1:13">
      <c r="A86" s="246"/>
      <c r="B86" s="189"/>
      <c r="C86" s="92"/>
      <c r="D86" s="557"/>
      <c r="E86" s="558"/>
      <c r="F86" s="559"/>
      <c r="G86" s="559"/>
      <c r="H86" s="559"/>
      <c r="I86" s="568"/>
      <c r="J86" s="568"/>
      <c r="K86" s="568"/>
      <c r="L86" s="562"/>
      <c r="M86" s="83"/>
    </row>
    <row r="87" spans="1:13">
      <c r="A87" s="246"/>
      <c r="B87" s="189"/>
      <c r="C87" s="92"/>
      <c r="D87" s="557"/>
      <c r="E87" s="558"/>
      <c r="F87" s="559"/>
      <c r="G87" s="559"/>
      <c r="H87" s="559"/>
      <c r="I87" s="568"/>
      <c r="J87" s="568"/>
      <c r="K87" s="568"/>
      <c r="L87" s="562"/>
      <c r="M87" s="83"/>
    </row>
    <row r="88" spans="1:13">
      <c r="A88" s="246"/>
      <c r="B88" s="189"/>
      <c r="C88" s="92"/>
      <c r="D88" s="557"/>
      <c r="E88" s="558"/>
      <c r="F88" s="559"/>
      <c r="G88" s="559"/>
      <c r="H88" s="559"/>
      <c r="I88" s="568"/>
      <c r="J88" s="568"/>
      <c r="K88" s="568"/>
      <c r="L88" s="562"/>
      <c r="M88" s="83"/>
    </row>
    <row r="89" spans="1:13">
      <c r="A89" s="246"/>
      <c r="B89" s="189"/>
      <c r="C89" s="92"/>
      <c r="D89" s="557"/>
      <c r="E89" s="558"/>
      <c r="F89" s="559"/>
      <c r="G89" s="559"/>
      <c r="H89" s="559"/>
      <c r="I89" s="568"/>
      <c r="J89" s="568"/>
      <c r="K89" s="568"/>
      <c r="L89" s="562"/>
      <c r="M89" s="83"/>
    </row>
    <row r="90" spans="1:13">
      <c r="A90" s="246"/>
      <c r="B90" s="189"/>
      <c r="C90" s="92"/>
      <c r="D90" s="557">
        <v>0</v>
      </c>
      <c r="E90" s="558">
        <v>12</v>
      </c>
      <c r="F90" s="559"/>
      <c r="G90" s="559"/>
      <c r="H90" s="559"/>
      <c r="I90" s="568"/>
      <c r="J90" s="568"/>
      <c r="K90" s="568"/>
      <c r="L90" s="562"/>
      <c r="M90" s="83"/>
    </row>
    <row r="91" spans="1:13" ht="14.4" thickBot="1">
      <c r="A91" s="246"/>
      <c r="B91" s="189"/>
      <c r="C91" s="92"/>
      <c r="D91" s="557">
        <v>0</v>
      </c>
      <c r="E91" s="558">
        <v>12</v>
      </c>
      <c r="F91" s="559"/>
      <c r="G91" s="559"/>
      <c r="H91" s="559"/>
      <c r="I91" s="568"/>
      <c r="J91" s="568"/>
      <c r="K91" s="568"/>
      <c r="L91" s="562"/>
      <c r="M91" s="83"/>
    </row>
    <row r="92" spans="1:13" ht="15" thickTop="1" thickBot="1">
      <c r="A92" s="247"/>
      <c r="B92" s="43" t="s">
        <v>357</v>
      </c>
      <c r="C92" s="46"/>
      <c r="D92" s="569"/>
      <c r="E92" s="570"/>
      <c r="F92" s="570"/>
      <c r="G92" s="570"/>
      <c r="H92" s="571"/>
      <c r="I92" s="572">
        <f>SUM(I78:I91)</f>
        <v>24593.333333333336</v>
      </c>
      <c r="J92" s="571"/>
      <c r="K92" s="572">
        <f>SUM(K78:K91)</f>
        <v>5451</v>
      </c>
      <c r="L92" s="572">
        <f>SUM(L78:L91)</f>
        <v>30044.333333333336</v>
      </c>
      <c r="M92" s="36" t="s">
        <v>34</v>
      </c>
    </row>
    <row r="93" spans="1:13" ht="15" thickTop="1" thickBot="1">
      <c r="A93" s="314"/>
      <c r="B93" s="315" t="s">
        <v>157</v>
      </c>
      <c r="C93" s="315"/>
      <c r="D93" s="589"/>
      <c r="E93" s="590"/>
      <c r="F93" s="590"/>
      <c r="G93" s="590"/>
      <c r="H93" s="591"/>
      <c r="I93" s="592">
        <f>I92+I76+I69+I57+I41</f>
        <v>70348.921958333347</v>
      </c>
      <c r="J93" s="591"/>
      <c r="K93" s="592">
        <f>K92+K76+K69+K57+K41</f>
        <v>33829.055812499995</v>
      </c>
      <c r="L93" s="592">
        <f>L92+L76+L69+L57+L41</f>
        <v>104177.97777083333</v>
      </c>
      <c r="M93" s="320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2016-12-18T08:54:41Z</cp:lastPrinted>
  <dcterms:created xsi:type="dcterms:W3CDTF">2009-11-05T09:30:11Z</dcterms:created>
  <dcterms:modified xsi:type="dcterms:W3CDTF">2017-03-09T16:24:30Z</dcterms:modified>
</cp:coreProperties>
</file>