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xcel July2014\"/>
    </mc:Choice>
  </mc:AlternateContent>
  <bookViews>
    <workbookView xWindow="240" yWindow="120" windowWidth="19440" windowHeight="12210" activeTab="7"/>
  </bookViews>
  <sheets>
    <sheet name="Formula" sheetId="7" r:id="rId1"/>
    <sheet name="Calc" sheetId="1" r:id="rId2"/>
    <sheet name="sigci" sheetId="4" r:id="rId3"/>
    <sheet name="MR" sheetId="8" r:id="rId4"/>
    <sheet name="mi" sheetId="3" r:id="rId5"/>
    <sheet name="GSI" sheetId="2" r:id="rId6"/>
    <sheet name="D" sheetId="5" r:id="rId7"/>
    <sheet name="sig3max" sheetId="6" r:id="rId8"/>
  </sheets>
  <definedNames>
    <definedName name="_xlnm.Print_Area" localSheetId="1">Calc!$A$1:$R$34</definedName>
  </definedNames>
  <calcPr calcId="152511"/>
</workbook>
</file>

<file path=xl/calcChain.xml><?xml version="1.0" encoding="utf-8"?>
<calcChain xmlns="http://schemas.openxmlformats.org/spreadsheetml/2006/main">
  <c r="G39" i="1" l="1"/>
  <c r="G38" i="1"/>
  <c r="D40" i="1"/>
  <c r="A60" i="1"/>
  <c r="A41" i="1"/>
  <c r="D41" i="1" s="1"/>
  <c r="A42" i="1" l="1"/>
  <c r="D60" i="1"/>
  <c r="H23" i="1"/>
  <c r="H22" i="1"/>
  <c r="H21" i="1"/>
  <c r="H19" i="1"/>
  <c r="H18" i="1"/>
  <c r="H17" i="1"/>
  <c r="B40" i="1" l="1"/>
  <c r="B41" i="1"/>
  <c r="B60" i="1"/>
  <c r="B42" i="1"/>
  <c r="A43" i="1"/>
  <c r="D42" i="1"/>
  <c r="H24" i="1"/>
  <c r="H26" i="1"/>
  <c r="A38" i="1" s="1"/>
  <c r="A39" i="1" s="1"/>
  <c r="B39" i="1" s="1"/>
  <c r="H25" i="1"/>
  <c r="A44" i="1" l="1"/>
  <c r="D43" i="1"/>
  <c r="B43" i="1"/>
  <c r="I15" i="6"/>
  <c r="I16" i="6" s="1"/>
  <c r="I5" i="6"/>
  <c r="I6" i="6" s="1"/>
  <c r="H29" i="1"/>
  <c r="A45" i="1" l="1"/>
  <c r="B44" i="1"/>
  <c r="D44" i="1"/>
  <c r="H31" i="1"/>
  <c r="H32" i="1"/>
  <c r="H33" i="1" s="1"/>
  <c r="H39" i="1" l="1"/>
  <c r="E40" i="1"/>
  <c r="E41" i="1"/>
  <c r="E60" i="1"/>
  <c r="E42" i="1"/>
  <c r="A46" i="1"/>
  <c r="D45" i="1"/>
  <c r="E45" i="1" s="1"/>
  <c r="B45" i="1"/>
  <c r="E44" i="1"/>
  <c r="E43" i="1"/>
  <c r="A47" i="1" l="1"/>
  <c r="B46" i="1"/>
  <c r="D46" i="1"/>
  <c r="E46" i="1" s="1"/>
  <c r="A48" i="1" l="1"/>
  <c r="D47" i="1"/>
  <c r="E47" i="1" s="1"/>
  <c r="B47" i="1"/>
  <c r="A49" i="1" l="1"/>
  <c r="B48" i="1"/>
  <c r="D48" i="1"/>
  <c r="E48" i="1" s="1"/>
  <c r="A50" i="1" l="1"/>
  <c r="D49" i="1"/>
  <c r="E49" i="1" s="1"/>
  <c r="B49" i="1"/>
  <c r="B50" i="1" l="1"/>
  <c r="D50" i="1"/>
  <c r="E50" i="1" s="1"/>
  <c r="A51" i="1"/>
  <c r="D51" i="1" l="1"/>
  <c r="E51" i="1" s="1"/>
  <c r="A52" i="1"/>
  <c r="B51" i="1"/>
  <c r="A53" i="1" l="1"/>
  <c r="B52" i="1"/>
  <c r="D52" i="1"/>
  <c r="E52" i="1" s="1"/>
  <c r="A54" i="1" l="1"/>
  <c r="D53" i="1"/>
  <c r="E53" i="1" s="1"/>
  <c r="B53" i="1"/>
  <c r="A55" i="1" l="1"/>
  <c r="B54" i="1"/>
  <c r="D54" i="1"/>
  <c r="E54" i="1" s="1"/>
  <c r="A56" i="1" l="1"/>
  <c r="D55" i="1"/>
  <c r="E55" i="1" s="1"/>
  <c r="B55" i="1"/>
  <c r="A57" i="1" l="1"/>
  <c r="B56" i="1"/>
  <c r="D56" i="1"/>
  <c r="E56" i="1" s="1"/>
  <c r="A58" i="1" l="1"/>
  <c r="D57" i="1"/>
  <c r="E57" i="1" s="1"/>
  <c r="B57" i="1"/>
  <c r="A59" i="1" l="1"/>
  <c r="B58" i="1"/>
  <c r="D58" i="1"/>
  <c r="E58" i="1" s="1"/>
  <c r="D59" i="1" l="1"/>
  <c r="E59" i="1" s="1"/>
  <c r="B59" i="1"/>
</calcChain>
</file>

<file path=xl/comments1.xml><?xml version="1.0" encoding="utf-8"?>
<comments xmlns="http://schemas.openxmlformats.org/spreadsheetml/2006/main">
  <authors>
    <author>user</author>
    <author>punlop.v</author>
  </authors>
  <commentList>
    <comment ref="H10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= MR . Sigci
required for Em 2006</t>
        </r>
      </text>
    </comment>
    <comment ref="H13" authorId="0" shapeId="0">
      <text>
        <r>
          <rPr>
            <b/>
            <sz val="9"/>
            <color indexed="81"/>
            <rFont val="Tahoma"/>
            <charset val="222"/>
          </rPr>
          <t>user:</t>
        </r>
        <r>
          <rPr>
            <sz val="9"/>
            <color indexed="81"/>
            <rFont val="Tahoma"/>
            <charset val="222"/>
          </rPr>
          <t xml:space="preserve">
= 0 for undisturbed in-situ rock mass</t>
        </r>
      </text>
    </comment>
    <comment ref="H18" authorId="0" shapeId="0">
      <text>
        <r>
          <rPr>
            <b/>
            <sz val="9"/>
            <color indexed="81"/>
            <rFont val="Tahoma"/>
            <charset val="222"/>
          </rPr>
          <t>user:</t>
        </r>
        <r>
          <rPr>
            <sz val="9"/>
            <color indexed="81"/>
            <rFont val="Tahoma"/>
            <charset val="222"/>
          </rPr>
          <t xml:space="preserve">
= 1.0 for intact rock</t>
        </r>
      </text>
    </comment>
    <comment ref="H28" authorId="1" shapeId="0">
      <text>
        <r>
          <rPr>
            <b/>
            <sz val="8"/>
            <color indexed="81"/>
            <rFont val="Tahoma"/>
            <family val="2"/>
          </rPr>
          <t>punlop.v:</t>
        </r>
        <r>
          <rPr>
            <sz val="8"/>
            <color indexed="81"/>
            <rFont val="Tahoma"/>
            <family val="2"/>
          </rPr>
          <t xml:space="preserve">
or check from Worksheet "sig3max"</t>
        </r>
      </text>
    </comment>
  </commentList>
</comments>
</file>

<file path=xl/sharedStrings.xml><?xml version="1.0" encoding="utf-8"?>
<sst xmlns="http://schemas.openxmlformats.org/spreadsheetml/2006/main" count="105" uniqueCount="75">
  <si>
    <t>Calculation of Hoek-Brown (2002) and Equivalent Mohr-Coulomb Parameters</t>
  </si>
  <si>
    <t>Input Parameters</t>
  </si>
  <si>
    <r>
      <rPr>
        <sz val="16"/>
        <color theme="1"/>
        <rFont val="Symbol"/>
        <family val="1"/>
        <charset val="2"/>
      </rPr>
      <t>s</t>
    </r>
    <r>
      <rPr>
        <vertAlign val="subscript"/>
        <sz val="16"/>
        <color theme="1"/>
        <rFont val="Calibri"/>
        <family val="2"/>
        <scheme val="minor"/>
      </rPr>
      <t xml:space="preserve">ci </t>
    </r>
    <r>
      <rPr>
        <sz val="16"/>
        <color theme="1"/>
        <rFont val="Calibri"/>
        <family val="2"/>
        <scheme val="minor"/>
      </rPr>
      <t>=</t>
    </r>
  </si>
  <si>
    <t>Geological Strength Index (GSI) of Rock Mass</t>
  </si>
  <si>
    <t>GSI =</t>
  </si>
  <si>
    <r>
      <t>m</t>
    </r>
    <r>
      <rPr>
        <vertAlign val="subscript"/>
        <sz val="16"/>
        <color theme="1"/>
        <rFont val="Calibri"/>
        <family val="2"/>
        <scheme val="minor"/>
      </rPr>
      <t>i</t>
    </r>
    <r>
      <rPr>
        <sz val="16"/>
        <color theme="1"/>
        <rFont val="Calibri"/>
        <family val="2"/>
        <scheme val="minor"/>
      </rPr>
      <t xml:space="preserve"> =</t>
    </r>
  </si>
  <si>
    <t>MPa</t>
  </si>
  <si>
    <t>GSI for Heterogeneous Rock Masses such as Flysch (2001)</t>
  </si>
  <si>
    <t>Characterization of Blocky Rock Masses on basis of Interlocking and Joint Conditions (2000)</t>
  </si>
  <si>
    <t>Estimates of Uniaxial Compressive Strength</t>
  </si>
  <si>
    <t>mi for Intact Rock (values in parenthesis are estimates)</t>
  </si>
  <si>
    <t>(-)</t>
  </si>
  <si>
    <t>Disturbance Factor</t>
  </si>
  <si>
    <t>D =</t>
  </si>
  <si>
    <t>Outputs</t>
  </si>
  <si>
    <t>Reduced Hoek-Brown Constant</t>
  </si>
  <si>
    <r>
      <t>m</t>
    </r>
    <r>
      <rPr>
        <vertAlign val="subscript"/>
        <sz val="16"/>
        <color theme="1"/>
        <rFont val="Calibri"/>
        <family val="2"/>
        <scheme val="minor"/>
      </rPr>
      <t>b</t>
    </r>
    <r>
      <rPr>
        <sz val="16"/>
        <color theme="1"/>
        <rFont val="Calibri"/>
        <family val="2"/>
        <scheme val="minor"/>
      </rPr>
      <t xml:space="preserve"> =</t>
    </r>
  </si>
  <si>
    <t>Hoek-Brown Constant s</t>
  </si>
  <si>
    <t>s =</t>
  </si>
  <si>
    <t>a =</t>
  </si>
  <si>
    <r>
      <t>E</t>
    </r>
    <r>
      <rPr>
        <vertAlign val="subscript"/>
        <sz val="14"/>
        <color theme="1"/>
        <rFont val="Calibri"/>
        <family val="2"/>
        <scheme val="minor"/>
      </rPr>
      <t>m</t>
    </r>
    <r>
      <rPr>
        <sz val="14"/>
        <color theme="1"/>
        <rFont val="Calibri"/>
        <family val="2"/>
        <scheme val="minor"/>
      </rPr>
      <t xml:space="preserve"> =</t>
    </r>
  </si>
  <si>
    <r>
      <rPr>
        <sz val="18"/>
        <color theme="1"/>
        <rFont val="Symbol"/>
        <family val="1"/>
        <charset val="2"/>
      </rPr>
      <t>s</t>
    </r>
    <r>
      <rPr>
        <sz val="18"/>
        <color theme="1"/>
        <rFont val="Calibri"/>
        <family val="2"/>
        <scheme val="minor"/>
      </rPr>
      <t>'</t>
    </r>
    <r>
      <rPr>
        <vertAlign val="subscript"/>
        <sz val="18"/>
        <color theme="1"/>
        <rFont val="Calibri"/>
        <family val="2"/>
        <scheme val="minor"/>
      </rPr>
      <t>cm</t>
    </r>
    <r>
      <rPr>
        <sz val="18"/>
        <color theme="1"/>
        <rFont val="Calibri"/>
        <family val="2"/>
        <scheme val="minor"/>
      </rPr>
      <t xml:space="preserve"> =</t>
    </r>
  </si>
  <si>
    <t>Hoek-Brown mi Contant for Intact Rock Sample</t>
  </si>
  <si>
    <r>
      <rPr>
        <sz val="18"/>
        <color theme="1"/>
        <rFont val="Symbol"/>
        <family val="1"/>
        <charset val="2"/>
      </rPr>
      <t>s</t>
    </r>
    <r>
      <rPr>
        <sz val="18"/>
        <color theme="1"/>
        <rFont val="Calibri"/>
        <family val="2"/>
        <scheme val="minor"/>
      </rPr>
      <t>'</t>
    </r>
    <r>
      <rPr>
        <vertAlign val="subscript"/>
        <sz val="18"/>
        <color theme="1"/>
        <rFont val="Calibri"/>
        <family val="2"/>
        <scheme val="minor"/>
      </rPr>
      <t>3max</t>
    </r>
    <r>
      <rPr>
        <sz val="18"/>
        <color theme="1"/>
        <rFont val="Calibri"/>
        <family val="2"/>
        <scheme val="minor"/>
      </rPr>
      <t xml:space="preserve"> =</t>
    </r>
  </si>
  <si>
    <r>
      <rPr>
        <sz val="18"/>
        <color theme="1"/>
        <rFont val="Symbol"/>
        <family val="1"/>
        <charset val="2"/>
      </rPr>
      <t>s</t>
    </r>
    <r>
      <rPr>
        <sz val="18"/>
        <color theme="1"/>
        <rFont val="Calibri"/>
        <family val="2"/>
        <scheme val="minor"/>
      </rPr>
      <t>'</t>
    </r>
    <r>
      <rPr>
        <vertAlign val="subscript"/>
        <sz val="18"/>
        <color theme="1"/>
        <rFont val="Calibri"/>
        <family val="2"/>
        <scheme val="minor"/>
      </rPr>
      <t>3n</t>
    </r>
    <r>
      <rPr>
        <sz val="18"/>
        <color theme="1"/>
        <rFont val="Calibri"/>
        <family val="2"/>
        <scheme val="minor"/>
      </rPr>
      <t xml:space="preserve"> =</t>
    </r>
  </si>
  <si>
    <r>
      <rPr>
        <sz val="18"/>
        <color theme="1"/>
        <rFont val="Symbol"/>
        <family val="1"/>
        <charset val="2"/>
      </rPr>
      <t>f</t>
    </r>
    <r>
      <rPr>
        <sz val="18"/>
        <color theme="1"/>
        <rFont val="Calibri"/>
        <family val="2"/>
        <scheme val="minor"/>
      </rPr>
      <t>'</t>
    </r>
    <r>
      <rPr>
        <sz val="18"/>
        <color theme="1"/>
        <rFont val="Calibri"/>
        <family val="2"/>
        <scheme val="minor"/>
      </rPr>
      <t xml:space="preserve"> =</t>
    </r>
  </si>
  <si>
    <t>degree</t>
  </si>
  <si>
    <t>c' =</t>
  </si>
  <si>
    <t>Rock Mass Tensile Strength</t>
  </si>
  <si>
    <r>
      <rPr>
        <sz val="18"/>
        <color theme="1"/>
        <rFont val="Symbol"/>
        <family val="1"/>
        <charset val="2"/>
      </rPr>
      <t>s</t>
    </r>
    <r>
      <rPr>
        <vertAlign val="subscript"/>
        <sz val="18"/>
        <color theme="1"/>
        <rFont val="Calibri"/>
        <family val="2"/>
        <scheme val="minor"/>
      </rPr>
      <t>tm</t>
    </r>
    <r>
      <rPr>
        <sz val="18"/>
        <color theme="1"/>
        <rFont val="Calibri"/>
        <family val="2"/>
        <scheme val="minor"/>
      </rPr>
      <t xml:space="preserve"> =</t>
    </r>
  </si>
  <si>
    <t xml:space="preserve">MPa </t>
  </si>
  <si>
    <r>
      <t>Rock Mass Modulus of Deformation (2002, require GSI, D,</t>
    </r>
    <r>
      <rPr>
        <sz val="16"/>
        <color theme="1"/>
        <rFont val="Symbol"/>
        <family val="1"/>
        <charset val="2"/>
      </rPr>
      <t xml:space="preserve"> s</t>
    </r>
    <r>
      <rPr>
        <vertAlign val="subscript"/>
        <sz val="16"/>
        <color theme="1"/>
        <rFont val="Calibri"/>
        <family val="2"/>
        <scheme val="minor"/>
      </rPr>
      <t>ci</t>
    </r>
    <r>
      <rPr>
        <sz val="11"/>
        <color theme="1"/>
        <rFont val="Calibri"/>
        <family val="2"/>
        <scheme val="minor"/>
      </rPr>
      <t>)</t>
    </r>
  </si>
  <si>
    <t>Rock Mass Modulus of Deformation (2006, require GSI, D)</t>
  </si>
  <si>
    <t>Rock Mass Modulus of Deformation (2006, require GSI, D, Ei)</t>
  </si>
  <si>
    <t>Intact Modulus</t>
  </si>
  <si>
    <r>
      <t>E</t>
    </r>
    <r>
      <rPr>
        <vertAlign val="subscript"/>
        <sz val="14"/>
        <color theme="1"/>
        <rFont val="Calibri"/>
        <family val="2"/>
        <scheme val="minor"/>
      </rPr>
      <t>i</t>
    </r>
    <r>
      <rPr>
        <sz val="14"/>
        <color theme="1"/>
        <rFont val="Calibri"/>
        <family val="2"/>
        <scheme val="minor"/>
      </rPr>
      <t xml:space="preserve"> =</t>
    </r>
  </si>
  <si>
    <t>Rock Mass Uniaxial Compressive Strength</t>
  </si>
  <si>
    <r>
      <rPr>
        <sz val="18"/>
        <color theme="1"/>
        <rFont val="Symbol"/>
        <family val="1"/>
        <charset val="2"/>
      </rPr>
      <t>s</t>
    </r>
    <r>
      <rPr>
        <vertAlign val="subscript"/>
        <sz val="18"/>
        <color theme="1"/>
        <rFont val="Calibri"/>
        <family val="2"/>
        <scheme val="minor"/>
      </rPr>
      <t>c</t>
    </r>
    <r>
      <rPr>
        <sz val="18"/>
        <color theme="1"/>
        <rFont val="Calibri"/>
        <family val="2"/>
        <scheme val="minor"/>
      </rPr>
      <t xml:space="preserve"> =</t>
    </r>
  </si>
  <si>
    <t>Rock Mass Global Strength</t>
  </si>
  <si>
    <t>H = depth of tunnel below surface</t>
  </si>
  <si>
    <t>Deep Tunnels and Underground Excavations where Failure Zone does not Extend to Surface</t>
  </si>
  <si>
    <t>Slope Problems</t>
  </si>
  <si>
    <t>H = height of slope</t>
  </si>
  <si>
    <t>m</t>
  </si>
  <si>
    <t>Unit weight of rock mass</t>
  </si>
  <si>
    <t>Upper Limit of Confining Stress (required for MC parameters)</t>
  </si>
  <si>
    <t>Mohr-Coulomb Parameter, Friction Angle</t>
  </si>
  <si>
    <t>Mohr-Coulomb Parameter, Cohesion</t>
  </si>
  <si>
    <t>Coefficient for Adjusting Mohr-Coulomb Envelope</t>
  </si>
  <si>
    <t>MPa (to be used in Worksheet "Calc")</t>
  </si>
  <si>
    <r>
      <t>MN/m</t>
    </r>
    <r>
      <rPr>
        <vertAlign val="superscript"/>
        <sz val="11"/>
        <color theme="1"/>
        <rFont val="Calibri"/>
        <family val="2"/>
        <scheme val="minor"/>
      </rPr>
      <t>3</t>
    </r>
  </si>
  <si>
    <r>
      <rPr>
        <sz val="18"/>
        <color theme="1"/>
        <rFont val="Symbol"/>
        <family val="1"/>
        <charset val="2"/>
      </rPr>
      <t>s</t>
    </r>
    <r>
      <rPr>
        <sz val="18"/>
        <color theme="1"/>
        <rFont val="Calibri"/>
        <family val="2"/>
        <scheme val="minor"/>
      </rPr>
      <t>'</t>
    </r>
    <r>
      <rPr>
        <vertAlign val="subscript"/>
        <sz val="18"/>
        <color theme="1"/>
        <rFont val="Calibri"/>
        <family val="2"/>
        <scheme val="minor"/>
      </rPr>
      <t>3</t>
    </r>
  </si>
  <si>
    <r>
      <rPr>
        <sz val="18"/>
        <color theme="1"/>
        <rFont val="Symbol"/>
        <family val="1"/>
        <charset val="2"/>
      </rPr>
      <t>s</t>
    </r>
    <r>
      <rPr>
        <sz val="18"/>
        <color theme="1"/>
        <rFont val="Calibri"/>
        <family val="2"/>
        <scheme val="minor"/>
      </rPr>
      <t>'</t>
    </r>
    <r>
      <rPr>
        <vertAlign val="subscript"/>
        <sz val="18"/>
        <color theme="1"/>
        <rFont val="Calibri"/>
        <family val="2"/>
        <scheme val="minor"/>
      </rPr>
      <t>1</t>
    </r>
  </si>
  <si>
    <t>Plotting Hoek-Brown</t>
  </si>
  <si>
    <t>Plotting Mohr-Coulomb</t>
  </si>
  <si>
    <t>Plotting Sigma3 max</t>
  </si>
  <si>
    <t>Created and Verified with RocLab 1.0 on 6 January 2012, Punlop</t>
  </si>
  <si>
    <t>Hoek-Brown Failure Criteria 2002</t>
  </si>
  <si>
    <t>Rock Mass Properties</t>
  </si>
  <si>
    <t xml:space="preserve">sigci &lt; 100 Mpa </t>
  </si>
  <si>
    <t xml:space="preserve">sigci &gt; 100 Mpa </t>
  </si>
  <si>
    <t>Mohr-Coulomb Failure Criteria</t>
  </si>
  <si>
    <t>Remark:</t>
  </si>
  <si>
    <t>Uniaxial Compressive Strength (UCS) of Intact Rock Sample</t>
  </si>
  <si>
    <r>
      <t>c'/</t>
    </r>
    <r>
      <rPr>
        <sz val="18"/>
        <color theme="1"/>
        <rFont val="Symbol"/>
        <family val="1"/>
        <charset val="2"/>
      </rPr>
      <t>s</t>
    </r>
    <r>
      <rPr>
        <vertAlign val="subscript"/>
        <sz val="18"/>
        <color theme="1"/>
        <rFont val="Calibri"/>
        <family val="2"/>
        <scheme val="minor"/>
      </rPr>
      <t>ci</t>
    </r>
    <r>
      <rPr>
        <sz val="18"/>
        <color theme="1"/>
        <rFont val="Calibri"/>
        <family val="2"/>
        <scheme val="minor"/>
      </rPr>
      <t xml:space="preserve"> =</t>
    </r>
  </si>
  <si>
    <t xml:space="preserve">Mpa </t>
  </si>
  <si>
    <t>Mudstone Grade II, UCS = 5 Mpa and GSI = 50</t>
  </si>
  <si>
    <t>หมายเหตุ</t>
  </si>
  <si>
    <t>1)</t>
  </si>
  <si>
    <t>ผู้เขียนตารางคำนวณไม่จำเป็นต้องรับผิดชอบความผิดพลาดในตารางคำนวณ หรือรับผิดชอบความเสียหายที่เกิดจากผู้อื่นนำไปใช้</t>
  </si>
  <si>
    <t>ถึงแม้ว่าผู้เขียนจะพัฒนาตารางคำนวณขึ้นมาอย่างระมัดระวัง แต่ก็อาจจะมีความผิดพลาด รวมทั้งไม่สามารถใช้ครอบคลุมและแก้ปัญหาทุกสิ่งทุกอย่างได้</t>
  </si>
  <si>
    <t>2)</t>
  </si>
  <si>
    <t>3)</t>
  </si>
  <si>
    <r>
      <t xml:space="preserve">ตารางคำนวณนี้เขียนขึ้นโดย </t>
    </r>
    <r>
      <rPr>
        <i/>
        <sz val="11"/>
        <color theme="1"/>
        <rFont val="Calibri"/>
        <family val="2"/>
        <scheme val="minor"/>
      </rPr>
      <t>พัลลภ วิสุทธิ์เมธานุกูล</t>
    </r>
    <r>
      <rPr>
        <sz val="11"/>
        <color theme="1"/>
        <rFont val="Calibri"/>
        <family val="2"/>
        <scheme val="minor"/>
      </rPr>
      <t xml:space="preserve">  โดยมีวัตถุประสงค์ด้านวิชาการเพื่อใช้ประกอบหนังสือ </t>
    </r>
    <r>
      <rPr>
        <i/>
        <sz val="11"/>
        <color theme="1"/>
        <rFont val="Calibri"/>
        <family val="2"/>
        <scheme val="minor"/>
      </rPr>
      <t>คู่มือวิศวกรรมฐานราก</t>
    </r>
    <r>
      <rPr>
        <sz val="11"/>
        <color theme="1"/>
        <rFont val="Calibri"/>
        <family val="2"/>
        <scheme val="minor"/>
      </rPr>
      <t xml:space="preserve">  ของผู้เขียนเดียวกัน</t>
    </r>
  </si>
  <si>
    <t xml:space="preserve"> ver 2014.07.18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</si>
</sst>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"/>
    <numFmt numFmtId="166" formatCode="0.0"/>
  </numFmts>
  <fonts count="24" x14ac:knownFonts="1">
    <font>
      <sz val="11"/>
      <color theme="1"/>
      <name val="Calibri"/>
      <family val="2"/>
      <scheme val="minor"/>
    </font>
    <font>
      <b/>
      <sz val="18"/>
      <color rgb="FF0000FF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Symbol"/>
      <family val="1"/>
      <charset val="2"/>
    </font>
    <font>
      <vertAlign val="subscript"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Symbol"/>
      <family val="1"/>
      <charset val="2"/>
    </font>
    <font>
      <vertAlign val="subscript"/>
      <sz val="16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00FF"/>
      <name val="Calibri"/>
      <family val="2"/>
      <scheme val="minor"/>
    </font>
    <font>
      <sz val="9"/>
      <color indexed="81"/>
      <name val="Tahoma"/>
      <charset val="222"/>
    </font>
    <font>
      <b/>
      <sz val="9"/>
      <color indexed="81"/>
      <name val="Tahoma"/>
      <charset val="222"/>
    </font>
    <font>
      <vertAlign val="superscript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8" fillId="0" borderId="0" xfId="0" applyFont="1"/>
    <xf numFmtId="0" fontId="2" fillId="0" borderId="0" xfId="0" applyFont="1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165" fontId="0" fillId="0" borderId="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4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3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1" fillId="0" borderId="5" xfId="0" applyFont="1" applyBorder="1"/>
    <xf numFmtId="0" fontId="8" fillId="0" borderId="5" xfId="0" applyFont="1" applyBorder="1"/>
    <xf numFmtId="0" fontId="0" fillId="3" borderId="5" xfId="0" applyFill="1" applyBorder="1"/>
    <xf numFmtId="0" fontId="0" fillId="3" borderId="0" xfId="0" applyFill="1" applyBorder="1"/>
    <xf numFmtId="0" fontId="5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0" fillId="4" borderId="5" xfId="0" applyFill="1" applyBorder="1"/>
    <xf numFmtId="0" fontId="0" fillId="4" borderId="0" xfId="0" applyFill="1" applyBorder="1"/>
    <xf numFmtId="165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2" fillId="0" borderId="0" xfId="0" applyFont="1" applyBorder="1" applyAlignment="1">
      <alignment horizontal="right"/>
    </xf>
    <xf numFmtId="165" fontId="17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18" fillId="0" borderId="0" xfId="0" applyFont="1" applyBorder="1" applyAlignment="1">
      <alignment horizontal="right"/>
    </xf>
    <xf numFmtId="0" fontId="0" fillId="0" borderId="0" xfId="0" applyAlignment="1">
      <alignment horizontal="right"/>
    </xf>
    <xf numFmtId="0" fontId="0" fillId="2" borderId="1" xfId="0" applyFill="1" applyBorder="1" applyAlignment="1" applyProtection="1">
      <alignment horizontal="center"/>
      <protection locked="0"/>
    </xf>
    <xf numFmtId="2" fontId="13" fillId="0" borderId="0" xfId="0" applyNumberFormat="1" applyFont="1" applyBorder="1" applyAlignment="1">
      <alignment horizontal="center"/>
    </xf>
    <xf numFmtId="165" fontId="13" fillId="0" borderId="0" xfId="0" applyNumberFormat="1" applyFont="1" applyBorder="1" applyAlignment="1">
      <alignment horizontal="center"/>
    </xf>
    <xf numFmtId="2" fontId="0" fillId="2" borderId="1" xfId="0" applyNumberFormat="1" applyFill="1" applyBorder="1" applyAlignment="1" applyProtection="1">
      <alignment horizontal="center"/>
      <protection locked="0"/>
    </xf>
    <xf numFmtId="0" fontId="19" fillId="0" borderId="7" xfId="0" applyFont="1" applyBorder="1"/>
    <xf numFmtId="0" fontId="0" fillId="2" borderId="8" xfId="0" applyFill="1" applyBorder="1" applyProtection="1">
      <protection locked="0"/>
    </xf>
    <xf numFmtId="0" fontId="0" fillId="2" borderId="9" xfId="0" applyFill="1" applyBorder="1" applyAlignment="1" applyProtection="1">
      <alignment horizontal="right"/>
      <protection locked="0"/>
    </xf>
    <xf numFmtId="0" fontId="0" fillId="0" borderId="0" xfId="0" applyFill="1" applyBorder="1"/>
    <xf numFmtId="166" fontId="13" fillId="0" borderId="0" xfId="0" applyNumberFormat="1" applyFont="1" applyBorder="1" applyAlignment="1">
      <alignment horizontal="center"/>
    </xf>
    <xf numFmtId="0" fontId="0" fillId="0" borderId="0" xfId="0" applyFill="1" applyBorder="1" applyProtection="1">
      <protection locked="0"/>
    </xf>
    <xf numFmtId="15" fontId="0" fillId="0" borderId="0" xfId="0" applyNumberFormat="1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22" fillId="0" borderId="2" xfId="0" applyFont="1" applyBorder="1"/>
    <xf numFmtId="0" fontId="0" fillId="0" borderId="5" xfId="0" applyBorder="1" applyAlignment="1">
      <alignment horizontal="right"/>
    </xf>
    <xf numFmtId="0" fontId="23" fillId="0" borderId="4" xfId="0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Principal Stresses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969444444444445"/>
          <c:y val="8.4876568946279596E-2"/>
          <c:w val="0.81744444444444431"/>
          <c:h val="0.7969774579992932"/>
        </c:manualLayout>
      </c:layout>
      <c:scatterChart>
        <c:scatterStyle val="smoothMarker"/>
        <c:varyColors val="0"/>
        <c:ser>
          <c:idx val="0"/>
          <c:order val="0"/>
          <c:tx>
            <c:v>Hoek-Brown 2002</c:v>
          </c:tx>
          <c:xVal>
            <c:numRef>
              <c:f>Calc!$A$38:$A$60</c:f>
              <c:numCache>
                <c:formatCode>0.000</c:formatCode>
                <c:ptCount val="23"/>
                <c:pt idx="0">
                  <c:v>-2.3055722635306985E-2</c:v>
                </c:pt>
                <c:pt idx="1">
                  <c:v>-1.1527861317653492E-2</c:v>
                </c:pt>
                <c:pt idx="2" formatCode="General">
                  <c:v>0</c:v>
                </c:pt>
                <c:pt idx="3" formatCode="0.0000">
                  <c:v>5.2500000000000005E-2</c:v>
                </c:pt>
                <c:pt idx="4" formatCode="0.0000">
                  <c:v>0.10500000000000001</c:v>
                </c:pt>
                <c:pt idx="5" formatCode="0.0000">
                  <c:v>0.15750000000000003</c:v>
                </c:pt>
                <c:pt idx="6" formatCode="0.0000">
                  <c:v>0.21000000000000002</c:v>
                </c:pt>
                <c:pt idx="7" formatCode="0.0000">
                  <c:v>0.26250000000000001</c:v>
                </c:pt>
                <c:pt idx="8" formatCode="0.0000">
                  <c:v>0.315</c:v>
                </c:pt>
                <c:pt idx="9" formatCode="0.0000">
                  <c:v>0.36749999999999999</c:v>
                </c:pt>
                <c:pt idx="10" formatCode="0.0000">
                  <c:v>0.42</c:v>
                </c:pt>
                <c:pt idx="11" formatCode="0.0000">
                  <c:v>0.47249999999999998</c:v>
                </c:pt>
                <c:pt idx="12" formatCode="0.0000">
                  <c:v>0.52500000000000002</c:v>
                </c:pt>
                <c:pt idx="13" formatCode="0.0000">
                  <c:v>0.57750000000000001</c:v>
                </c:pt>
                <c:pt idx="14" formatCode="0.0000">
                  <c:v>0.63</c:v>
                </c:pt>
                <c:pt idx="15" formatCode="0.0000">
                  <c:v>0.6825</c:v>
                </c:pt>
                <c:pt idx="16" formatCode="0.0000">
                  <c:v>0.73499999999999999</c:v>
                </c:pt>
                <c:pt idx="17" formatCode="0.0000">
                  <c:v>0.78749999999999998</c:v>
                </c:pt>
                <c:pt idx="18" formatCode="0.0000">
                  <c:v>0.84</c:v>
                </c:pt>
                <c:pt idx="19" formatCode="0.0000">
                  <c:v>0.89249999999999996</c:v>
                </c:pt>
                <c:pt idx="20" formatCode="0.0000">
                  <c:v>0.94499999999999995</c:v>
                </c:pt>
                <c:pt idx="21" formatCode="0.0000">
                  <c:v>0.99749999999999994</c:v>
                </c:pt>
                <c:pt idx="22" formatCode="0.0000">
                  <c:v>1.05</c:v>
                </c:pt>
              </c:numCache>
            </c:numRef>
          </c:xVal>
          <c:yVal>
            <c:numRef>
              <c:f>Calc!$B$38:$B$60</c:f>
              <c:numCache>
                <c:formatCode>0.000</c:formatCode>
                <c:ptCount val="23"/>
                <c:pt idx="0" formatCode="General">
                  <c:v>0</c:v>
                </c:pt>
                <c:pt idx="1">
                  <c:v>0.20056294438928179</c:v>
                </c:pt>
                <c:pt idx="2">
                  <c:v>0.30113609425545973</c:v>
                </c:pt>
                <c:pt idx="3">
                  <c:v>0.60136142723834363</c:v>
                </c:pt>
                <c:pt idx="4">
                  <c:v>0.82170802009398258</c:v>
                </c:pt>
                <c:pt idx="5">
                  <c:v>1.0102150243064003</c:v>
                </c:pt>
                <c:pt idx="6">
                  <c:v>1.1802054915141851</c:v>
                </c:pt>
                <c:pt idx="7">
                  <c:v>1.3376898478702961</c:v>
                </c:pt>
                <c:pt idx="8">
                  <c:v>1.4859925236480893</c:v>
                </c:pt>
                <c:pt idx="9">
                  <c:v>1.6271820560994361</c:v>
                </c:pt>
                <c:pt idx="10">
                  <c:v>1.7626495574551131</c:v>
                </c:pt>
                <c:pt idx="11">
                  <c:v>1.8933838972785844</c:v>
                </c:pt>
                <c:pt idx="12">
                  <c:v>2.0201179115475054</c:v>
                </c:pt>
                <c:pt idx="13">
                  <c:v>2.1434126302722913</c:v>
                </c:pt>
                <c:pt idx="14">
                  <c:v>2.2637089035489222</c:v>
                </c:pt>
                <c:pt idx="15">
                  <c:v>2.3813606405226957</c:v>
                </c:pt>
                <c:pt idx="16">
                  <c:v>2.4966570842181355</c:v>
                </c:pt>
                <c:pt idx="17">
                  <c:v>2.6098382436314917</c:v>
                </c:pt>
                <c:pt idx="18">
                  <c:v>2.7211058896782032</c:v>
                </c:pt>
                <c:pt idx="19">
                  <c:v>2.8306315809036877</c:v>
                </c:pt>
                <c:pt idx="20">
                  <c:v>2.9385626445632478</c:v>
                </c:pt>
                <c:pt idx="21">
                  <c:v>3.0450267159184086</c:v>
                </c:pt>
                <c:pt idx="22">
                  <c:v>3.1501352391358921</c:v>
                </c:pt>
              </c:numCache>
            </c:numRef>
          </c:yVal>
          <c:smooth val="1"/>
        </c:ser>
        <c:ser>
          <c:idx val="1"/>
          <c:order val="1"/>
          <c:tx>
            <c:v>Mohr-Coulomb</c:v>
          </c:tx>
          <c:trendline>
            <c:trendlineType val="linear"/>
            <c:dispRSqr val="0"/>
            <c:dispEq val="1"/>
            <c:trendlineLbl>
              <c:layout>
                <c:manualLayout>
                  <c:x val="-1.7356080489938759E-2"/>
                  <c:y val="0.28379032802442811"/>
                </c:manualLayout>
              </c:layout>
              <c:numFmt formatCode="General" sourceLinked="0"/>
            </c:trendlineLbl>
          </c:trendline>
          <c:xVal>
            <c:numRef>
              <c:f>Calc!$D$40:$D$60</c:f>
              <c:numCache>
                <c:formatCode>0.0000</c:formatCode>
                <c:ptCount val="21"/>
                <c:pt idx="0" formatCode="General">
                  <c:v>0</c:v>
                </c:pt>
                <c:pt idx="1">
                  <c:v>5.2500000000000005E-2</c:v>
                </c:pt>
                <c:pt idx="2">
                  <c:v>0.10500000000000001</c:v>
                </c:pt>
                <c:pt idx="3">
                  <c:v>0.15750000000000003</c:v>
                </c:pt>
                <c:pt idx="4">
                  <c:v>0.21000000000000002</c:v>
                </c:pt>
                <c:pt idx="5">
                  <c:v>0.26250000000000001</c:v>
                </c:pt>
                <c:pt idx="6">
                  <c:v>0.315</c:v>
                </c:pt>
                <c:pt idx="7">
                  <c:v>0.36749999999999999</c:v>
                </c:pt>
                <c:pt idx="8">
                  <c:v>0.42</c:v>
                </c:pt>
                <c:pt idx="9">
                  <c:v>0.47249999999999998</c:v>
                </c:pt>
                <c:pt idx="10">
                  <c:v>0.52500000000000002</c:v>
                </c:pt>
                <c:pt idx="11">
                  <c:v>0.57750000000000001</c:v>
                </c:pt>
                <c:pt idx="12">
                  <c:v>0.63</c:v>
                </c:pt>
                <c:pt idx="13">
                  <c:v>0.6825</c:v>
                </c:pt>
                <c:pt idx="14">
                  <c:v>0.73499999999999999</c:v>
                </c:pt>
                <c:pt idx="15">
                  <c:v>0.78749999999999998</c:v>
                </c:pt>
                <c:pt idx="16">
                  <c:v>0.84</c:v>
                </c:pt>
                <c:pt idx="17">
                  <c:v>0.89249999999999996</c:v>
                </c:pt>
                <c:pt idx="18">
                  <c:v>0.94499999999999995</c:v>
                </c:pt>
                <c:pt idx="19">
                  <c:v>0.99749999999999994</c:v>
                </c:pt>
                <c:pt idx="20">
                  <c:v>1.05</c:v>
                </c:pt>
              </c:numCache>
            </c:numRef>
          </c:xVal>
          <c:yVal>
            <c:numRef>
              <c:f>Calc!$E$40:$E$60</c:f>
              <c:numCache>
                <c:formatCode>0.000</c:formatCode>
                <c:ptCount val="21"/>
                <c:pt idx="0">
                  <c:v>0.58653462346620677</c:v>
                </c:pt>
                <c:pt idx="1">
                  <c:v>0.72167157641160207</c:v>
                </c:pt>
                <c:pt idx="2">
                  <c:v>0.85680852935699736</c:v>
                </c:pt>
                <c:pt idx="3">
                  <c:v>0.99194548230239277</c:v>
                </c:pt>
                <c:pt idx="4">
                  <c:v>1.1270824352477882</c:v>
                </c:pt>
                <c:pt idx="5">
                  <c:v>1.2622193881931834</c:v>
                </c:pt>
                <c:pt idx="6">
                  <c:v>1.3973563411385788</c:v>
                </c:pt>
                <c:pt idx="7">
                  <c:v>1.5324932940839742</c:v>
                </c:pt>
                <c:pt idx="8">
                  <c:v>1.6676302470293694</c:v>
                </c:pt>
                <c:pt idx="9">
                  <c:v>1.8027671999747645</c:v>
                </c:pt>
                <c:pt idx="10">
                  <c:v>1.9379041529201602</c:v>
                </c:pt>
                <c:pt idx="11">
                  <c:v>2.0730411058655553</c:v>
                </c:pt>
                <c:pt idx="12">
                  <c:v>2.208178058810951</c:v>
                </c:pt>
                <c:pt idx="13">
                  <c:v>2.3433150117563457</c:v>
                </c:pt>
                <c:pt idx="14">
                  <c:v>2.4784519647017413</c:v>
                </c:pt>
                <c:pt idx="15">
                  <c:v>2.613588917647137</c:v>
                </c:pt>
                <c:pt idx="16">
                  <c:v>2.7487258705925317</c:v>
                </c:pt>
                <c:pt idx="17">
                  <c:v>2.8838628235379273</c:v>
                </c:pt>
                <c:pt idx="18">
                  <c:v>3.0189997764833221</c:v>
                </c:pt>
                <c:pt idx="19">
                  <c:v>3.1541367294287177</c:v>
                </c:pt>
                <c:pt idx="20">
                  <c:v>3.2892736823741133</c:v>
                </c:pt>
              </c:numCache>
            </c:numRef>
          </c:yVal>
          <c:smooth val="1"/>
        </c:ser>
        <c:ser>
          <c:idx val="2"/>
          <c:order val="2"/>
          <c:tx>
            <c:v>sigma3 max</c:v>
          </c:tx>
          <c:xVal>
            <c:numRef>
              <c:f>Calc!$G$38:$G$39</c:f>
              <c:numCache>
                <c:formatCode>0.0000</c:formatCode>
                <c:ptCount val="2"/>
                <c:pt idx="0">
                  <c:v>1.05</c:v>
                </c:pt>
                <c:pt idx="1">
                  <c:v>1.05</c:v>
                </c:pt>
              </c:numCache>
            </c:numRef>
          </c:xVal>
          <c:yVal>
            <c:numRef>
              <c:f>Calc!$H$38:$H$39</c:f>
              <c:numCache>
                <c:formatCode>0.000</c:formatCode>
                <c:ptCount val="2"/>
                <c:pt idx="0" formatCode="General">
                  <c:v>0</c:v>
                </c:pt>
                <c:pt idx="1">
                  <c:v>3.2892736823741133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665088"/>
        <c:axId val="186666264"/>
      </c:scatterChart>
      <c:valAx>
        <c:axId val="1866650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Sigma 3 (MPa)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in"/>
        <c:tickLblPos val="nextTo"/>
        <c:crossAx val="186666264"/>
        <c:crosses val="autoZero"/>
        <c:crossBetween val="midCat"/>
      </c:valAx>
      <c:valAx>
        <c:axId val="186666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Sigma 1 (MPa)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38506978609519499"/>
            </c:manualLayout>
          </c:layout>
          <c:overlay val="0"/>
        </c:title>
        <c:numFmt formatCode="General" sourceLinked="1"/>
        <c:majorTickMark val="none"/>
        <c:minorTickMark val="in"/>
        <c:tickLblPos val="nextTo"/>
        <c:crossAx val="186665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8825000000000002"/>
          <c:y val="0.69437843718854353"/>
          <c:w val="0.4256388888888889"/>
          <c:h val="0.13968480112451903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25401</xdr:colOff>
      <xdr:row>11</xdr:row>
      <xdr:rowOff>22225</xdr:rowOff>
    </xdr:from>
    <xdr:to>
      <xdr:col>5</xdr:col>
      <xdr:colOff>63500</xdr:colOff>
      <xdr:row>16</xdr:row>
      <xdr:rowOff>100186</xdr:rowOff>
    </xdr:to>
    <xdr:grpSp>
      <xdr:nvGrpSpPr>
        <xdr:cNvPr id="2" name="Group 1"/>
        <xdr:cNvGrpSpPr/>
      </xdr:nvGrpSpPr>
      <xdr:grpSpPr>
        <a:xfrm>
          <a:off x="25401" y="2117725"/>
          <a:ext cx="3086099" cy="1030461"/>
          <a:chOff x="9334501" y="4019550"/>
          <a:chExt cx="4543424" cy="1678161"/>
        </a:xfrm>
      </xdr:grpSpPr>
      <xdr:pic>
        <xdr:nvPicPr>
          <xdr:cNvPr id="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9372600" y="4019550"/>
            <a:ext cx="4505325" cy="790575"/>
          </a:xfrm>
          <a:prstGeom prst="rect">
            <a:avLst/>
          </a:prstGeom>
          <a:noFill/>
          <a:ln w="1">
            <a:solidFill>
              <a:schemeClr val="accent1"/>
            </a:solidFill>
            <a:miter lim="800000"/>
            <a:headEnd/>
            <a:tailEnd type="none" w="med" len="med"/>
          </a:ln>
          <a:effectLst/>
        </xdr:spPr>
      </xdr:pic>
      <xdr:pic>
        <xdr:nvPicPr>
          <xdr:cNvPr id="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9334501" y="4882125"/>
            <a:ext cx="3895724" cy="815586"/>
          </a:xfrm>
          <a:prstGeom prst="rect">
            <a:avLst/>
          </a:prstGeom>
          <a:noFill/>
          <a:ln w="1">
            <a:solidFill>
              <a:schemeClr val="accent1"/>
            </a:solidFill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4</xdr:col>
      <xdr:colOff>246063</xdr:colOff>
      <xdr:row>24</xdr:row>
      <xdr:rowOff>5418</xdr:rowOff>
    </xdr:from>
    <xdr:to>
      <xdr:col>10</xdr:col>
      <xdr:colOff>25401</xdr:colOff>
      <xdr:row>28</xdr:row>
      <xdr:rowOff>66675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90813" y="4577418"/>
          <a:ext cx="3446463" cy="8232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10</xdr:col>
      <xdr:colOff>238126</xdr:colOff>
      <xdr:row>24</xdr:row>
      <xdr:rowOff>9132</xdr:rowOff>
    </xdr:from>
    <xdr:to>
      <xdr:col>18</xdr:col>
      <xdr:colOff>26989</xdr:colOff>
      <xdr:row>29</xdr:row>
      <xdr:rowOff>57149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50001" y="4581132"/>
          <a:ext cx="4678363" cy="100051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76201</xdr:colOff>
      <xdr:row>1</xdr:row>
      <xdr:rowOff>74981</xdr:rowOff>
    </xdr:from>
    <xdr:to>
      <xdr:col>3</xdr:col>
      <xdr:colOff>304800</xdr:colOff>
      <xdr:row>5</xdr:row>
      <xdr:rowOff>112712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6201" y="265481"/>
          <a:ext cx="2062162" cy="799731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400051</xdr:colOff>
      <xdr:row>1</xdr:row>
      <xdr:rowOff>65008</xdr:rowOff>
    </xdr:from>
    <xdr:to>
      <xdr:col>7</xdr:col>
      <xdr:colOff>155576</xdr:colOff>
      <xdr:row>5</xdr:row>
      <xdr:rowOff>49211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33614" y="255508"/>
          <a:ext cx="2200275" cy="746203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7</xdr:col>
      <xdr:colOff>263525</xdr:colOff>
      <xdr:row>1</xdr:row>
      <xdr:rowOff>52961</xdr:rowOff>
    </xdr:from>
    <xdr:to>
      <xdr:col>10</xdr:col>
      <xdr:colOff>525463</xdr:colOff>
      <xdr:row>7</xdr:row>
      <xdr:rowOff>100011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541838" y="243461"/>
          <a:ext cx="2095500" cy="1190050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412749</xdr:colOff>
      <xdr:row>5</xdr:row>
      <xdr:rowOff>187086</xdr:rowOff>
    </xdr:from>
    <xdr:to>
      <xdr:col>3</xdr:col>
      <xdr:colOff>311149</xdr:colOff>
      <xdr:row>8</xdr:row>
      <xdr:rowOff>74611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023937" y="1139586"/>
          <a:ext cx="1120775" cy="459025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403227</xdr:colOff>
      <xdr:row>5</xdr:row>
      <xdr:rowOff>187065</xdr:rowOff>
    </xdr:from>
    <xdr:to>
      <xdr:col>5</xdr:col>
      <xdr:colOff>422277</xdr:colOff>
      <xdr:row>9</xdr:row>
      <xdr:rowOff>53975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236790" y="1139565"/>
          <a:ext cx="1241425" cy="628910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4</xdr:col>
      <xdr:colOff>234950</xdr:colOff>
      <xdr:row>28</xdr:row>
      <xdr:rowOff>157257</xdr:rowOff>
    </xdr:from>
    <xdr:to>
      <xdr:col>6</xdr:col>
      <xdr:colOff>539750</xdr:colOff>
      <xdr:row>31</xdr:row>
      <xdr:rowOff>47627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79700" y="5491257"/>
          <a:ext cx="1527175" cy="461870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68263</xdr:colOff>
      <xdr:row>24</xdr:row>
      <xdr:rowOff>9656</xdr:rowOff>
    </xdr:from>
    <xdr:to>
      <xdr:col>3</xdr:col>
      <xdr:colOff>596900</xdr:colOff>
      <xdr:row>27</xdr:row>
      <xdr:rowOff>188912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8263" y="4581656"/>
          <a:ext cx="2362200" cy="750756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30164</xdr:colOff>
      <xdr:row>16</xdr:row>
      <xdr:rowOff>158749</xdr:rowOff>
    </xdr:from>
    <xdr:to>
      <xdr:col>6</xdr:col>
      <xdr:colOff>330201</xdr:colOff>
      <xdr:row>20</xdr:row>
      <xdr:rowOff>84136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t="17262" b="11376"/>
        <a:stretch>
          <a:fillRect/>
        </a:stretch>
      </xdr:blipFill>
      <xdr:spPr bwMode="auto">
        <a:xfrm>
          <a:off x="30164" y="3397249"/>
          <a:ext cx="3967162" cy="68738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7</xdr:col>
      <xdr:colOff>71438</xdr:colOff>
      <xdr:row>11</xdr:row>
      <xdr:rowOff>6120</xdr:rowOff>
    </xdr:from>
    <xdr:to>
      <xdr:col>12</xdr:col>
      <xdr:colOff>261939</xdr:colOff>
      <xdr:row>14</xdr:row>
      <xdr:rowOff>52388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349751" y="2292120"/>
          <a:ext cx="3246438" cy="617768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13</xdr:col>
      <xdr:colOff>0</xdr:colOff>
      <xdr:row>11</xdr:row>
      <xdr:rowOff>1</xdr:rowOff>
    </xdr:from>
    <xdr:to>
      <xdr:col>18</xdr:col>
      <xdr:colOff>412751</xdr:colOff>
      <xdr:row>15</xdr:row>
      <xdr:rowOff>91256</xdr:rowOff>
    </xdr:to>
    <xdr:pic>
      <xdr:nvPicPr>
        <xdr:cNvPr id="2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945438" y="2286001"/>
          <a:ext cx="3468688" cy="853255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12</xdr:col>
      <xdr:colOff>603250</xdr:colOff>
      <xdr:row>15</xdr:row>
      <xdr:rowOff>182565</xdr:rowOff>
    </xdr:from>
    <xdr:to>
      <xdr:col>15</xdr:col>
      <xdr:colOff>112712</xdr:colOff>
      <xdr:row>18</xdr:row>
      <xdr:rowOff>102221</xdr:rowOff>
    </xdr:to>
    <xdr:pic>
      <xdr:nvPicPr>
        <xdr:cNvPr id="2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937500" y="3230565"/>
          <a:ext cx="1343025" cy="491156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9</xdr:row>
      <xdr:rowOff>19050</xdr:rowOff>
    </xdr:from>
    <xdr:to>
      <xdr:col>17</xdr:col>
      <xdr:colOff>419100</xdr:colOff>
      <xdr:row>32</xdr:row>
      <xdr:rowOff>142875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99115</xdr:rowOff>
    </xdr:from>
    <xdr:to>
      <xdr:col>10</xdr:col>
      <xdr:colOff>123825</xdr:colOff>
      <xdr:row>39</xdr:row>
      <xdr:rowOff>3838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" y="289615"/>
          <a:ext cx="6086475" cy="71437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70016</xdr:colOff>
      <xdr:row>0</xdr:row>
      <xdr:rowOff>85726</xdr:rowOff>
    </xdr:from>
    <xdr:to>
      <xdr:col>9</xdr:col>
      <xdr:colOff>590549</xdr:colOff>
      <xdr:row>38</xdr:row>
      <xdr:rowOff>151180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016" y="85726"/>
          <a:ext cx="6692733" cy="6942504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1</xdr:row>
      <xdr:rowOff>24184</xdr:rowOff>
    </xdr:from>
    <xdr:to>
      <xdr:col>9</xdr:col>
      <xdr:colOff>419099</xdr:colOff>
      <xdr:row>39</xdr:row>
      <xdr:rowOff>135395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6145"/>
        <a:stretch>
          <a:fillRect/>
        </a:stretch>
      </xdr:blipFill>
      <xdr:spPr bwMode="auto">
        <a:xfrm>
          <a:off x="66674" y="214684"/>
          <a:ext cx="5838825" cy="73502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2</xdr:row>
      <xdr:rowOff>1</xdr:rowOff>
    </xdr:from>
    <xdr:to>
      <xdr:col>8</xdr:col>
      <xdr:colOff>296008</xdr:colOff>
      <xdr:row>38</xdr:row>
      <xdr:rowOff>180975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401" y="381001"/>
          <a:ext cx="5020407" cy="70389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452301</xdr:colOff>
      <xdr:row>1</xdr:row>
      <xdr:rowOff>180977</xdr:rowOff>
    </xdr:from>
    <xdr:to>
      <xdr:col>23</xdr:col>
      <xdr:colOff>535165</xdr:colOff>
      <xdr:row>35</xdr:row>
      <xdr:rowOff>114303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rot="5400000">
          <a:off x="7042170" y="-731992"/>
          <a:ext cx="6410326" cy="8617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15141</xdr:colOff>
      <xdr:row>1</xdr:row>
      <xdr:rowOff>38100</xdr:rowOff>
    </xdr:from>
    <xdr:to>
      <xdr:col>12</xdr:col>
      <xdr:colOff>161925</xdr:colOff>
      <xdr:row>32</xdr:row>
      <xdr:rowOff>153046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b="37128"/>
        <a:stretch>
          <a:fillRect/>
        </a:stretch>
      </xdr:blipFill>
      <xdr:spPr bwMode="auto">
        <a:xfrm>
          <a:off x="15141" y="228600"/>
          <a:ext cx="7461984" cy="60204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104775</xdr:colOff>
      <xdr:row>1</xdr:row>
      <xdr:rowOff>57149</xdr:rowOff>
    </xdr:from>
    <xdr:to>
      <xdr:col>25</xdr:col>
      <xdr:colOff>266043</xdr:colOff>
      <xdr:row>21</xdr:row>
      <xdr:rowOff>180974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62089"/>
        <a:stretch>
          <a:fillRect/>
        </a:stretch>
      </xdr:blipFill>
      <xdr:spPr bwMode="auto">
        <a:xfrm>
          <a:off x="7419975" y="247649"/>
          <a:ext cx="8086068" cy="3933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</xdr:row>
      <xdr:rowOff>100477</xdr:rowOff>
    </xdr:from>
    <xdr:to>
      <xdr:col>3</xdr:col>
      <xdr:colOff>371476</xdr:colOff>
      <xdr:row>5</xdr:row>
      <xdr:rowOff>76200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6" y="281452"/>
          <a:ext cx="2343150" cy="861548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76201</xdr:colOff>
      <xdr:row>10</xdr:row>
      <xdr:rowOff>80311</xdr:rowOff>
    </xdr:from>
    <xdr:to>
      <xdr:col>3</xdr:col>
      <xdr:colOff>381001</xdr:colOff>
      <xdr:row>14</xdr:row>
      <xdr:rowOff>219074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1" y="2175811"/>
          <a:ext cx="2362200" cy="881713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topLeftCell="A16" workbookViewId="0">
      <selection activeCell="T24" sqref="T24"/>
    </sheetView>
  </sheetViews>
  <sheetFormatPr defaultRowHeight="15" x14ac:dyDescent="0.25"/>
  <sheetData>
    <row r="1" spans="1:14" x14ac:dyDescent="0.25">
      <c r="A1" s="1" t="s">
        <v>57</v>
      </c>
    </row>
    <row r="10" spans="1:14" x14ac:dyDescent="0.25">
      <c r="A10" s="1" t="s">
        <v>58</v>
      </c>
    </row>
    <row r="11" spans="1:14" x14ac:dyDescent="0.25">
      <c r="A11">
        <v>2002</v>
      </c>
      <c r="H11">
        <v>2006</v>
      </c>
      <c r="N11">
        <v>2006</v>
      </c>
    </row>
    <row r="12" spans="1:14" x14ac:dyDescent="0.25">
      <c r="F12" t="s">
        <v>59</v>
      </c>
    </row>
    <row r="15" spans="1:14" x14ac:dyDescent="0.25">
      <c r="F15" t="s">
        <v>60</v>
      </c>
    </row>
    <row r="23" spans="1:1" x14ac:dyDescent="0.25">
      <c r="A23" s="1" t="s">
        <v>61</v>
      </c>
    </row>
  </sheetData>
  <sheetProtection algorithmName="SHA-512" hashValue="23QnkL1wKE38a3NbID9Vtl0bbEWhCuhIs4HTxLFpNlfqWLGXlU1LC2zKcA8oAokxOAnQ2FVnxK4JDEbciVYxcQ==" saltValue="kz/3swcQymoqpwE8BBrbY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60"/>
  <sheetViews>
    <sheetView zoomScale="110" zoomScaleNormal="110" workbookViewId="0">
      <selection activeCell="H16" sqref="H16"/>
    </sheetView>
  </sheetViews>
  <sheetFormatPr defaultRowHeight="15" x14ac:dyDescent="0.25"/>
  <cols>
    <col min="1" max="1" width="9.85546875" bestFit="1" customWidth="1"/>
    <col min="8" max="8" width="13.7109375" bestFit="1" customWidth="1"/>
    <col min="15" max="15" width="9.28515625" bestFit="1" customWidth="1"/>
  </cols>
  <sheetData>
    <row r="1" spans="1:18" ht="15.75" thickTop="1" x14ac:dyDescent="0.25">
      <c r="A1" s="43" t="s">
        <v>67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45" t="s">
        <v>74</v>
      </c>
    </row>
    <row r="2" spans="1:18" x14ac:dyDescent="0.25">
      <c r="A2" s="44" t="s">
        <v>68</v>
      </c>
      <c r="B2" s="13" t="s">
        <v>73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29"/>
      <c r="O2" s="40"/>
      <c r="P2" s="40"/>
      <c r="Q2" s="40"/>
      <c r="R2" s="42"/>
    </row>
    <row r="3" spans="1:18" x14ac:dyDescent="0.25">
      <c r="A3" s="44" t="s">
        <v>71</v>
      </c>
      <c r="B3" s="13" t="s">
        <v>70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29"/>
      <c r="O3" s="40"/>
      <c r="P3" s="40"/>
      <c r="Q3" s="40"/>
      <c r="R3" s="42"/>
    </row>
    <row r="4" spans="1:18" x14ac:dyDescent="0.25">
      <c r="A4" s="44" t="s">
        <v>72</v>
      </c>
      <c r="B4" s="13" t="s">
        <v>69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29"/>
      <c r="O4" s="40"/>
      <c r="P4" s="40"/>
      <c r="Q4" s="40"/>
      <c r="R4" s="42"/>
    </row>
    <row r="5" spans="1:18" x14ac:dyDescent="0.25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29"/>
      <c r="O5" s="40"/>
      <c r="P5" s="40"/>
      <c r="Q5" s="40"/>
      <c r="R5" s="42"/>
    </row>
    <row r="6" spans="1:18" ht="23.25" x14ac:dyDescent="0.35">
      <c r="A6" s="15" t="s">
        <v>0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29"/>
      <c r="O6" s="40"/>
      <c r="P6" s="38"/>
      <c r="Q6" s="38"/>
      <c r="R6" s="14"/>
    </row>
    <row r="7" spans="1:18" x14ac:dyDescent="0.25">
      <c r="A7" s="1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29"/>
      <c r="O7" s="40"/>
      <c r="P7" s="38"/>
      <c r="Q7" s="38"/>
      <c r="R7" s="14"/>
    </row>
    <row r="8" spans="1:18" x14ac:dyDescent="0.25">
      <c r="A8" s="16" t="s">
        <v>1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29"/>
      <c r="O8" s="41"/>
      <c r="P8" s="38"/>
      <c r="Q8" s="38"/>
      <c r="R8" s="14"/>
    </row>
    <row r="9" spans="1:18" ht="24" x14ac:dyDescent="0.45">
      <c r="A9" s="17" t="s">
        <v>63</v>
      </c>
      <c r="B9" s="18"/>
      <c r="C9" s="18"/>
      <c r="D9" s="18"/>
      <c r="E9" s="18"/>
      <c r="F9" s="18"/>
      <c r="G9" s="19" t="s">
        <v>2</v>
      </c>
      <c r="H9" s="31">
        <v>5</v>
      </c>
      <c r="I9" s="13" t="s">
        <v>6</v>
      </c>
      <c r="J9" s="13"/>
      <c r="K9" s="13"/>
      <c r="L9" s="13"/>
      <c r="M9" s="13"/>
      <c r="N9" s="13"/>
      <c r="O9" s="13"/>
      <c r="P9" s="13"/>
      <c r="Q9" s="13"/>
      <c r="R9" s="14"/>
    </row>
    <row r="10" spans="1:18" ht="20.25" x14ac:dyDescent="0.35">
      <c r="A10" s="17" t="s">
        <v>34</v>
      </c>
      <c r="B10" s="18"/>
      <c r="C10" s="18"/>
      <c r="D10" s="18"/>
      <c r="E10" s="18"/>
      <c r="F10" s="18"/>
      <c r="G10" s="20" t="s">
        <v>35</v>
      </c>
      <c r="H10" s="31">
        <v>0</v>
      </c>
      <c r="I10" s="13" t="s">
        <v>30</v>
      </c>
      <c r="J10" s="13"/>
      <c r="K10" s="13"/>
      <c r="L10" s="13"/>
      <c r="M10" s="13"/>
      <c r="N10" s="13"/>
      <c r="O10" s="13"/>
      <c r="P10" s="13"/>
      <c r="Q10" s="13"/>
      <c r="R10" s="14"/>
    </row>
    <row r="11" spans="1:18" ht="24" x14ac:dyDescent="0.45">
      <c r="A11" s="17" t="s">
        <v>22</v>
      </c>
      <c r="B11" s="18"/>
      <c r="C11" s="18"/>
      <c r="D11" s="18"/>
      <c r="E11" s="18"/>
      <c r="F11" s="18"/>
      <c r="G11" s="19" t="s">
        <v>5</v>
      </c>
      <c r="H11" s="31">
        <v>5</v>
      </c>
      <c r="I11" s="13" t="s">
        <v>11</v>
      </c>
      <c r="J11" s="13"/>
      <c r="K11" s="13"/>
      <c r="L11" s="13"/>
      <c r="M11" s="13"/>
      <c r="N11" s="13"/>
      <c r="O11" s="13"/>
      <c r="P11" s="13"/>
      <c r="Q11" s="13"/>
      <c r="R11" s="14"/>
    </row>
    <row r="12" spans="1:18" ht="23.25" customHeight="1" x14ac:dyDescent="0.3">
      <c r="A12" s="17" t="s">
        <v>3</v>
      </c>
      <c r="B12" s="18"/>
      <c r="C12" s="18"/>
      <c r="D12" s="18"/>
      <c r="E12" s="18"/>
      <c r="F12" s="18"/>
      <c r="G12" s="20" t="s">
        <v>4</v>
      </c>
      <c r="H12" s="31">
        <v>50</v>
      </c>
      <c r="I12" s="13" t="s">
        <v>11</v>
      </c>
      <c r="J12" s="13"/>
      <c r="K12" s="13"/>
      <c r="L12" s="13"/>
      <c r="M12" s="13"/>
      <c r="N12" s="13"/>
      <c r="O12" s="13"/>
      <c r="P12" s="13"/>
      <c r="Q12" s="13"/>
      <c r="R12" s="14"/>
    </row>
    <row r="13" spans="1:18" ht="18.75" x14ac:dyDescent="0.3">
      <c r="A13" s="17" t="s">
        <v>12</v>
      </c>
      <c r="B13" s="18"/>
      <c r="C13" s="18"/>
      <c r="D13" s="18"/>
      <c r="E13" s="18"/>
      <c r="F13" s="18"/>
      <c r="G13" s="20" t="s">
        <v>13</v>
      </c>
      <c r="H13" s="31">
        <v>0</v>
      </c>
      <c r="I13" s="13" t="s">
        <v>11</v>
      </c>
      <c r="J13" s="13"/>
      <c r="K13" s="13"/>
      <c r="L13" s="13"/>
      <c r="M13" s="13"/>
      <c r="N13" s="13"/>
      <c r="O13" s="13"/>
      <c r="P13" s="13"/>
      <c r="Q13" s="13"/>
      <c r="R13" s="14"/>
    </row>
    <row r="14" spans="1:18" ht="21" x14ac:dyDescent="0.35">
      <c r="A14" s="12"/>
      <c r="B14" s="13"/>
      <c r="C14" s="13"/>
      <c r="D14" s="13"/>
      <c r="E14" s="13"/>
      <c r="F14" s="13"/>
      <c r="G14" s="19"/>
      <c r="H14" s="7"/>
      <c r="I14" s="13"/>
      <c r="J14" s="13"/>
      <c r="K14" s="13"/>
      <c r="L14" s="13"/>
      <c r="M14" s="13"/>
      <c r="N14" s="13"/>
      <c r="O14" s="13"/>
      <c r="P14" s="13"/>
      <c r="Q14" s="13"/>
      <c r="R14" s="14"/>
    </row>
    <row r="15" spans="1:18" x14ac:dyDescent="0.25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4"/>
    </row>
    <row r="16" spans="1:18" x14ac:dyDescent="0.25">
      <c r="A16" s="16" t="s">
        <v>14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4"/>
    </row>
    <row r="17" spans="1:18" ht="24" x14ac:dyDescent="0.45">
      <c r="A17" s="21" t="s">
        <v>15</v>
      </c>
      <c r="B17" s="22"/>
      <c r="C17" s="22"/>
      <c r="D17" s="22"/>
      <c r="E17" s="22"/>
      <c r="F17" s="22"/>
      <c r="G17" s="19" t="s">
        <v>16</v>
      </c>
      <c r="H17" s="23">
        <f>$H$11*EXP(($H$12-100)/(28-14*$H$13))</f>
        <v>0.83838624375898529</v>
      </c>
      <c r="I17" s="13" t="s">
        <v>11</v>
      </c>
      <c r="J17" s="13"/>
      <c r="K17" s="13"/>
      <c r="L17" s="13"/>
      <c r="M17" s="13"/>
      <c r="N17" s="13"/>
      <c r="O17" s="13"/>
      <c r="P17" s="13"/>
      <c r="Q17" s="13"/>
      <c r="R17" s="14"/>
    </row>
    <row r="18" spans="1:18" ht="18.75" x14ac:dyDescent="0.3">
      <c r="A18" s="21" t="s">
        <v>17</v>
      </c>
      <c r="B18" s="22"/>
      <c r="C18" s="22"/>
      <c r="D18" s="22"/>
      <c r="E18" s="22"/>
      <c r="F18" s="22"/>
      <c r="G18" s="20" t="s">
        <v>18</v>
      </c>
      <c r="H18" s="24">
        <f>EXP(($H$12-100)/(9-3*$H$13))</f>
        <v>3.8659201394728076E-3</v>
      </c>
      <c r="I18" s="13" t="s">
        <v>11</v>
      </c>
      <c r="J18" s="13"/>
      <c r="K18" s="13"/>
      <c r="L18" s="13"/>
      <c r="M18" s="13"/>
      <c r="N18" s="13"/>
      <c r="O18" s="13"/>
      <c r="P18" s="13"/>
      <c r="Q18" s="13"/>
      <c r="R18" s="14"/>
    </row>
    <row r="19" spans="1:18" ht="18.75" x14ac:dyDescent="0.3">
      <c r="A19" s="21" t="s">
        <v>48</v>
      </c>
      <c r="B19" s="22"/>
      <c r="C19" s="22"/>
      <c r="D19" s="22"/>
      <c r="E19" s="22"/>
      <c r="F19" s="22"/>
      <c r="G19" s="20" t="s">
        <v>19</v>
      </c>
      <c r="H19" s="23">
        <f>0.5+(1/6)*(EXP(-$H$12/15)-EXP(-20/3))</f>
        <v>0.50573355992431879</v>
      </c>
      <c r="I19" s="13" t="s">
        <v>11</v>
      </c>
      <c r="J19" s="13"/>
      <c r="K19" s="13"/>
      <c r="L19" s="13"/>
      <c r="M19" s="13"/>
      <c r="N19" s="13"/>
      <c r="O19" s="13"/>
      <c r="P19" s="13"/>
      <c r="Q19" s="13"/>
      <c r="R19" s="14"/>
    </row>
    <row r="20" spans="1:18" x14ac:dyDescent="0.25">
      <c r="A20" s="12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4"/>
    </row>
    <row r="21" spans="1:18" ht="24" x14ac:dyDescent="0.45">
      <c r="A21" s="17" t="s">
        <v>31</v>
      </c>
      <c r="B21" s="18"/>
      <c r="C21" s="18"/>
      <c r="D21" s="18"/>
      <c r="E21" s="18"/>
      <c r="F21" s="18"/>
      <c r="G21" s="20" t="s">
        <v>20</v>
      </c>
      <c r="H21" s="39">
        <f>IF($H$9&lt;=100, (1-0.5*$H$13)*(SQRT($H$9/100))*(10^(($H$12-10)/40)),(1-0.5*$H$13)*(10^(($H$12-10)/40)))*1000</f>
        <v>2236.0679774997898</v>
      </c>
      <c r="I21" s="13" t="s">
        <v>6</v>
      </c>
      <c r="J21" s="13"/>
      <c r="K21" s="13"/>
      <c r="L21" s="13"/>
      <c r="M21" s="13"/>
      <c r="N21" s="13"/>
      <c r="O21" s="13"/>
      <c r="P21" s="13"/>
      <c r="Q21" s="13"/>
      <c r="R21" s="14"/>
    </row>
    <row r="22" spans="1:18" ht="20.25" x14ac:dyDescent="0.35">
      <c r="A22" s="17" t="s">
        <v>32</v>
      </c>
      <c r="B22" s="18"/>
      <c r="C22" s="18"/>
      <c r="D22" s="18"/>
      <c r="E22" s="18"/>
      <c r="F22" s="18"/>
      <c r="G22" s="20" t="s">
        <v>20</v>
      </c>
      <c r="H22" s="39">
        <f>100000*((1-0.5*$H$13)/(1+EXP((75+25*$H$13-$H$12)/11)))</f>
        <v>9340.7004716832143</v>
      </c>
      <c r="I22" s="13" t="s">
        <v>6</v>
      </c>
      <c r="J22" s="13"/>
      <c r="K22" s="13"/>
      <c r="L22" s="13"/>
      <c r="M22" s="13"/>
      <c r="N22" s="13"/>
      <c r="O22" s="13"/>
      <c r="P22" s="13"/>
      <c r="Q22" s="13"/>
      <c r="R22" s="14"/>
    </row>
    <row r="23" spans="1:18" ht="20.25" x14ac:dyDescent="0.35">
      <c r="A23" s="17" t="s">
        <v>33</v>
      </c>
      <c r="B23" s="18"/>
      <c r="C23" s="18"/>
      <c r="D23" s="18"/>
      <c r="E23" s="18"/>
      <c r="F23" s="18"/>
      <c r="G23" s="20" t="s">
        <v>20</v>
      </c>
      <c r="H23" s="39">
        <f>$H$10*(0.02+(1-0.5*$H$13)/(1+EXP((60+15*$H$13-$H$12)/11)))</f>
        <v>0</v>
      </c>
      <c r="I23" s="13" t="s">
        <v>65</v>
      </c>
      <c r="J23" s="13"/>
      <c r="K23" s="13"/>
      <c r="L23" s="13"/>
      <c r="M23" s="13"/>
      <c r="N23" s="13"/>
      <c r="O23" s="13"/>
      <c r="P23" s="13"/>
      <c r="Q23" s="13"/>
      <c r="R23" s="14"/>
    </row>
    <row r="24" spans="1:18" ht="26.25" x14ac:dyDescent="0.45">
      <c r="A24" s="17" t="s">
        <v>36</v>
      </c>
      <c r="B24" s="18"/>
      <c r="C24" s="18"/>
      <c r="D24" s="18"/>
      <c r="E24" s="18"/>
      <c r="F24" s="18"/>
      <c r="G24" s="25" t="s">
        <v>37</v>
      </c>
      <c r="H24" s="23">
        <f>$H$9*$H$18^$H$19</f>
        <v>0.30113609425545973</v>
      </c>
      <c r="I24" s="13" t="s">
        <v>30</v>
      </c>
      <c r="J24" s="13"/>
      <c r="K24" s="13"/>
      <c r="L24" s="13"/>
      <c r="M24" s="13"/>
      <c r="N24" s="13"/>
      <c r="O24" s="13"/>
      <c r="P24" s="13"/>
      <c r="Q24" s="13"/>
      <c r="R24" s="14"/>
    </row>
    <row r="25" spans="1:18" ht="26.25" x14ac:dyDescent="0.45">
      <c r="A25" s="17" t="s">
        <v>38</v>
      </c>
      <c r="B25" s="18"/>
      <c r="C25" s="18"/>
      <c r="D25" s="18"/>
      <c r="E25" s="18"/>
      <c r="F25" s="18"/>
      <c r="G25" s="25" t="s">
        <v>21</v>
      </c>
      <c r="H25" s="23">
        <f>$H$9*(($H$17+4*$H$18-$H$19*($H$17-8*$H$18))*(0.25*$H$17+$H$18)^($H$19-1))/(2*(1+$H$19)*(2+$H$19))</f>
        <v>0.63327106421495238</v>
      </c>
      <c r="I25" s="13" t="s">
        <v>6</v>
      </c>
      <c r="J25" s="13"/>
      <c r="K25" s="13"/>
      <c r="L25" s="13"/>
      <c r="M25" s="13"/>
      <c r="N25" s="13"/>
      <c r="O25" s="13"/>
      <c r="P25" s="13"/>
      <c r="Q25" s="13"/>
      <c r="R25" s="14"/>
    </row>
    <row r="26" spans="1:18" ht="26.25" x14ac:dyDescent="0.45">
      <c r="A26" s="17" t="s">
        <v>28</v>
      </c>
      <c r="B26" s="18"/>
      <c r="C26" s="18"/>
      <c r="D26" s="18"/>
      <c r="E26" s="18"/>
      <c r="F26" s="18"/>
      <c r="G26" s="25" t="s">
        <v>29</v>
      </c>
      <c r="H26" s="23">
        <f>-$H$18*$H$9/$H$17</f>
        <v>-2.3055722635306985E-2</v>
      </c>
      <c r="I26" s="13" t="s">
        <v>6</v>
      </c>
      <c r="J26" s="13"/>
      <c r="K26" s="13"/>
      <c r="L26" s="13"/>
      <c r="M26" s="13"/>
      <c r="N26" s="13"/>
      <c r="O26" s="13"/>
      <c r="P26" s="13"/>
      <c r="Q26" s="13"/>
      <c r="R26" s="14"/>
    </row>
    <row r="27" spans="1:18" x14ac:dyDescent="0.25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4"/>
    </row>
    <row r="28" spans="1:18" ht="26.25" x14ac:dyDescent="0.45">
      <c r="A28" s="12" t="s">
        <v>45</v>
      </c>
      <c r="B28" s="13"/>
      <c r="C28" s="13"/>
      <c r="D28" s="13"/>
      <c r="E28" s="13"/>
      <c r="F28" s="13"/>
      <c r="G28" s="25" t="s">
        <v>23</v>
      </c>
      <c r="H28" s="34">
        <v>1.05</v>
      </c>
      <c r="I28" s="13" t="s">
        <v>6</v>
      </c>
      <c r="J28" s="13"/>
      <c r="K28" s="13"/>
      <c r="L28" s="13"/>
      <c r="M28" s="13"/>
      <c r="N28" s="13"/>
      <c r="O28" s="13"/>
      <c r="P28" s="13"/>
      <c r="Q28" s="13"/>
      <c r="R28" s="14"/>
    </row>
    <row r="29" spans="1:18" ht="26.25" x14ac:dyDescent="0.45">
      <c r="A29" s="12"/>
      <c r="B29" s="13"/>
      <c r="C29" s="13"/>
      <c r="D29" s="13"/>
      <c r="E29" s="13"/>
      <c r="F29" s="13"/>
      <c r="G29" s="25" t="s">
        <v>24</v>
      </c>
      <c r="H29" s="24">
        <f>$H$28/$H$9</f>
        <v>0.21000000000000002</v>
      </c>
      <c r="I29" s="13" t="s">
        <v>11</v>
      </c>
      <c r="J29" s="13"/>
      <c r="K29" s="13"/>
      <c r="L29" s="13"/>
      <c r="M29" s="13"/>
      <c r="N29" s="13"/>
      <c r="O29" s="13"/>
      <c r="P29" s="13"/>
      <c r="Q29" s="13"/>
      <c r="R29" s="14"/>
    </row>
    <row r="30" spans="1:18" x14ac:dyDescent="0.25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4"/>
    </row>
    <row r="31" spans="1:18" ht="23.25" x14ac:dyDescent="0.35">
      <c r="A31" s="21" t="s">
        <v>46</v>
      </c>
      <c r="B31" s="22"/>
      <c r="C31" s="22"/>
      <c r="D31" s="22"/>
      <c r="E31" s="22"/>
      <c r="F31" s="22"/>
      <c r="G31" s="25" t="s">
        <v>25</v>
      </c>
      <c r="H31" s="32">
        <f>ASIN((6*$H$19*$H$17*($H$18+$H$17*$H$29)^($H$19-1))/(2*(1+$H$19)*(2+$H$19)+(6*$H$19*$H$17*($H$18+$H$17*$H$29)^($H$19-1))))*180/PI()</f>
        <v>26.129962895052074</v>
      </c>
      <c r="I31" s="13" t="s">
        <v>26</v>
      </c>
      <c r="J31" s="13"/>
      <c r="K31" s="13"/>
      <c r="L31" s="13"/>
      <c r="M31" s="13"/>
      <c r="N31" s="13"/>
      <c r="O31" s="13"/>
      <c r="P31" s="13"/>
      <c r="Q31" s="13"/>
      <c r="R31" s="14"/>
    </row>
    <row r="32" spans="1:18" ht="23.25" x14ac:dyDescent="0.35">
      <c r="A32" s="21" t="s">
        <v>47</v>
      </c>
      <c r="B32" s="22"/>
      <c r="C32" s="22"/>
      <c r="D32" s="22"/>
      <c r="E32" s="22"/>
      <c r="F32" s="22"/>
      <c r="G32" s="25" t="s">
        <v>27</v>
      </c>
      <c r="H32" s="33">
        <f>(($H$9)*((1+2*$H$19)*$H$18+(1-$H$19)*$H$17*$H$29)*($H$18+$H$17*$H$29)^($H$19-1))/((1+$H$19)*(2+$H$19)*SQRT(1+(6*$H$19*$H$17*($H$18+$H$17*$H$29)^($H$19-1))/((1+$H$19)*(2+$H$19))))</f>
        <v>0.18279160608511519</v>
      </c>
      <c r="I32" s="13" t="s">
        <v>6</v>
      </c>
      <c r="J32" s="13"/>
      <c r="K32" s="13"/>
      <c r="L32" s="13"/>
      <c r="M32" s="13"/>
      <c r="N32" s="13"/>
      <c r="O32" s="13"/>
      <c r="P32" s="13"/>
      <c r="Q32" s="13"/>
      <c r="R32" s="14"/>
    </row>
    <row r="33" spans="1:18" ht="26.25" x14ac:dyDescent="0.45">
      <c r="A33" s="12"/>
      <c r="B33" s="13"/>
      <c r="C33" s="13"/>
      <c r="D33" s="13"/>
      <c r="E33" s="13"/>
      <c r="F33" s="13"/>
      <c r="G33" s="25" t="s">
        <v>64</v>
      </c>
      <c r="H33" s="23">
        <f>$H$32/$H$9</f>
        <v>3.6558321217023036E-2</v>
      </c>
      <c r="I33" s="38" t="s">
        <v>11</v>
      </c>
      <c r="J33" s="13"/>
      <c r="K33" s="13"/>
      <c r="L33" s="13"/>
      <c r="M33" s="13"/>
      <c r="N33" s="13"/>
      <c r="O33" s="13"/>
      <c r="P33" s="13"/>
      <c r="Q33" s="13"/>
      <c r="R33" s="14"/>
    </row>
    <row r="34" spans="1:18" ht="18.75" customHeight="1" thickBot="1" x14ac:dyDescent="0.3">
      <c r="A34" s="35" t="s">
        <v>62</v>
      </c>
      <c r="B34" s="36" t="s">
        <v>66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7"/>
    </row>
    <row r="35" spans="1:18" ht="15.75" thickTop="1" x14ac:dyDescent="0.25">
      <c r="R35" s="30" t="s">
        <v>56</v>
      </c>
    </row>
    <row r="36" spans="1:18" x14ac:dyDescent="0.25">
      <c r="A36" t="s">
        <v>53</v>
      </c>
      <c r="D36" t="s">
        <v>54</v>
      </c>
      <c r="G36" t="s">
        <v>55</v>
      </c>
    </row>
    <row r="37" spans="1:18" ht="26.25" x14ac:dyDescent="0.45">
      <c r="A37" s="10" t="s">
        <v>51</v>
      </c>
      <c r="B37" s="10" t="s">
        <v>52</v>
      </c>
      <c r="D37" s="10" t="s">
        <v>51</v>
      </c>
      <c r="E37" s="10" t="s">
        <v>52</v>
      </c>
      <c r="G37" s="10" t="s">
        <v>51</v>
      </c>
      <c r="H37" s="10" t="s">
        <v>52</v>
      </c>
    </row>
    <row r="38" spans="1:18" ht="23.25" x14ac:dyDescent="0.35">
      <c r="A38" s="26">
        <f>$H$26</f>
        <v>-2.3055722635306985E-2</v>
      </c>
      <c r="B38" s="28">
        <v>0</v>
      </c>
      <c r="D38" s="10"/>
      <c r="E38" s="10"/>
      <c r="G38" s="6">
        <f>$H$28</f>
        <v>1.05</v>
      </c>
      <c r="H38" s="8">
        <v>0</v>
      </c>
    </row>
    <row r="39" spans="1:18" ht="23.25" x14ac:dyDescent="0.35">
      <c r="A39" s="27">
        <f>0.5*A38</f>
        <v>-1.1527861317653492E-2</v>
      </c>
      <c r="B39" s="3">
        <f t="shared" ref="B39:B60" si="0">A39+$H$9*($H$17*(A39/$H$9)+$H$18)^($H$19)</f>
        <v>0.20056294438928179</v>
      </c>
      <c r="D39" s="10"/>
      <c r="E39" s="10"/>
      <c r="G39" s="6">
        <f>$H$28</f>
        <v>1.05</v>
      </c>
      <c r="H39" s="3">
        <f t="shared" ref="H39" si="1">G39*((1+SIN(RADIANS($H$31)))/(1-SIN(RADIANS($H$31))))+2*$H$32*COS(RADIANS($H$31))/(1-SIN(RADIANS($H$31)))</f>
        <v>3.2892736823741133</v>
      </c>
    </row>
    <row r="40" spans="1:18" x14ac:dyDescent="0.25">
      <c r="A40" s="8">
        <v>0</v>
      </c>
      <c r="B40" s="26">
        <f>A40+$H$9*($H$17*(A40/$H$9)+$H$18)^($H$19)</f>
        <v>0.30113609425545973</v>
      </c>
      <c r="D40" s="8">
        <f>A40</f>
        <v>0</v>
      </c>
      <c r="E40" s="26">
        <f>D40*((1+SIN(RADIANS($H$31)))/(1-SIN(RADIANS($H$31))))+2*$H$32*COS(RADIANS($H$31))/(1-SIN(RADIANS($H$31)))</f>
        <v>0.58653462346620677</v>
      </c>
    </row>
    <row r="41" spans="1:18" x14ac:dyDescent="0.25">
      <c r="A41" s="5">
        <f>A40+($H$28-0)*0.05</f>
        <v>5.2500000000000005E-2</v>
      </c>
      <c r="B41" s="3">
        <f t="shared" si="0"/>
        <v>0.60136142723834363</v>
      </c>
      <c r="D41" s="5">
        <f t="shared" ref="D41:D60" si="2">A41</f>
        <v>5.2500000000000005E-2</v>
      </c>
      <c r="E41" s="3">
        <f t="shared" ref="E41:E60" si="3">D41*((1+SIN(RADIANS($H$31)))/(1-SIN(RADIANS($H$31))))+2*$H$32*COS(RADIANS($H$31))/(1-SIN(RADIANS($H$31)))</f>
        <v>0.72167157641160207</v>
      </c>
    </row>
    <row r="42" spans="1:18" x14ac:dyDescent="0.25">
      <c r="A42" s="5">
        <f t="shared" ref="A42:A59" si="4">A41+($H$28-0)*0.05</f>
        <v>0.10500000000000001</v>
      </c>
      <c r="B42" s="3">
        <f t="shared" si="0"/>
        <v>0.82170802009398258</v>
      </c>
      <c r="D42" s="5">
        <f t="shared" si="2"/>
        <v>0.10500000000000001</v>
      </c>
      <c r="E42" s="3">
        <f t="shared" si="3"/>
        <v>0.85680852935699736</v>
      </c>
    </row>
    <row r="43" spans="1:18" x14ac:dyDescent="0.25">
      <c r="A43" s="5">
        <f t="shared" si="4"/>
        <v>0.15750000000000003</v>
      </c>
      <c r="B43" s="3">
        <f t="shared" si="0"/>
        <v>1.0102150243064003</v>
      </c>
      <c r="D43" s="5">
        <f t="shared" si="2"/>
        <v>0.15750000000000003</v>
      </c>
      <c r="E43" s="3">
        <f t="shared" si="3"/>
        <v>0.99194548230239277</v>
      </c>
    </row>
    <row r="44" spans="1:18" x14ac:dyDescent="0.25">
      <c r="A44" s="5">
        <f t="shared" si="4"/>
        <v>0.21000000000000002</v>
      </c>
      <c r="B44" s="3">
        <f t="shared" si="0"/>
        <v>1.1802054915141851</v>
      </c>
      <c r="D44" s="5">
        <f t="shared" si="2"/>
        <v>0.21000000000000002</v>
      </c>
      <c r="E44" s="3">
        <f t="shared" si="3"/>
        <v>1.1270824352477882</v>
      </c>
    </row>
    <row r="45" spans="1:18" x14ac:dyDescent="0.25">
      <c r="A45" s="5">
        <f t="shared" si="4"/>
        <v>0.26250000000000001</v>
      </c>
      <c r="B45" s="3">
        <f t="shared" si="0"/>
        <v>1.3376898478702961</v>
      </c>
      <c r="D45" s="5">
        <f t="shared" si="2"/>
        <v>0.26250000000000001</v>
      </c>
      <c r="E45" s="3">
        <f t="shared" si="3"/>
        <v>1.2622193881931834</v>
      </c>
    </row>
    <row r="46" spans="1:18" x14ac:dyDescent="0.25">
      <c r="A46" s="5">
        <f t="shared" si="4"/>
        <v>0.315</v>
      </c>
      <c r="B46" s="3">
        <f t="shared" si="0"/>
        <v>1.4859925236480893</v>
      </c>
      <c r="D46" s="5">
        <f t="shared" si="2"/>
        <v>0.315</v>
      </c>
      <c r="E46" s="3">
        <f t="shared" si="3"/>
        <v>1.3973563411385788</v>
      </c>
    </row>
    <row r="47" spans="1:18" x14ac:dyDescent="0.25">
      <c r="A47" s="5">
        <f t="shared" si="4"/>
        <v>0.36749999999999999</v>
      </c>
      <c r="B47" s="3">
        <f t="shared" si="0"/>
        <v>1.6271820560994361</v>
      </c>
      <c r="D47" s="5">
        <f t="shared" si="2"/>
        <v>0.36749999999999999</v>
      </c>
      <c r="E47" s="3">
        <f t="shared" si="3"/>
        <v>1.5324932940839742</v>
      </c>
    </row>
    <row r="48" spans="1:18" x14ac:dyDescent="0.25">
      <c r="A48" s="5">
        <f t="shared" si="4"/>
        <v>0.42</v>
      </c>
      <c r="B48" s="3">
        <f t="shared" si="0"/>
        <v>1.7626495574551131</v>
      </c>
      <c r="D48" s="5">
        <f t="shared" si="2"/>
        <v>0.42</v>
      </c>
      <c r="E48" s="3">
        <f t="shared" si="3"/>
        <v>1.6676302470293694</v>
      </c>
    </row>
    <row r="49" spans="1:5" x14ac:dyDescent="0.25">
      <c r="A49" s="5">
        <f t="shared" si="4"/>
        <v>0.47249999999999998</v>
      </c>
      <c r="B49" s="3">
        <f t="shared" si="0"/>
        <v>1.8933838972785844</v>
      </c>
      <c r="D49" s="5">
        <f t="shared" si="2"/>
        <v>0.47249999999999998</v>
      </c>
      <c r="E49" s="3">
        <f t="shared" si="3"/>
        <v>1.8027671999747645</v>
      </c>
    </row>
    <row r="50" spans="1:5" x14ac:dyDescent="0.25">
      <c r="A50" s="5">
        <f t="shared" si="4"/>
        <v>0.52500000000000002</v>
      </c>
      <c r="B50" s="3">
        <f t="shared" si="0"/>
        <v>2.0201179115475054</v>
      </c>
      <c r="D50" s="5">
        <f t="shared" si="2"/>
        <v>0.52500000000000002</v>
      </c>
      <c r="E50" s="3">
        <f t="shared" si="3"/>
        <v>1.9379041529201602</v>
      </c>
    </row>
    <row r="51" spans="1:5" x14ac:dyDescent="0.25">
      <c r="A51" s="5">
        <f>A50+($H$28-0)*0.05</f>
        <v>0.57750000000000001</v>
      </c>
      <c r="B51" s="3">
        <f t="shared" si="0"/>
        <v>2.1434126302722913</v>
      </c>
      <c r="D51" s="5">
        <f t="shared" si="2"/>
        <v>0.57750000000000001</v>
      </c>
      <c r="E51" s="3">
        <f t="shared" si="3"/>
        <v>2.0730411058655553</v>
      </c>
    </row>
    <row r="52" spans="1:5" x14ac:dyDescent="0.25">
      <c r="A52" s="5">
        <f t="shared" si="4"/>
        <v>0.63</v>
      </c>
      <c r="B52" s="3">
        <f t="shared" si="0"/>
        <v>2.2637089035489222</v>
      </c>
      <c r="D52" s="5">
        <f t="shared" si="2"/>
        <v>0.63</v>
      </c>
      <c r="E52" s="3">
        <f t="shared" si="3"/>
        <v>2.208178058810951</v>
      </c>
    </row>
    <row r="53" spans="1:5" x14ac:dyDescent="0.25">
      <c r="A53" s="5">
        <f t="shared" si="4"/>
        <v>0.6825</v>
      </c>
      <c r="B53" s="3">
        <f t="shared" si="0"/>
        <v>2.3813606405226957</v>
      </c>
      <c r="D53" s="5">
        <f t="shared" si="2"/>
        <v>0.6825</v>
      </c>
      <c r="E53" s="3">
        <f t="shared" si="3"/>
        <v>2.3433150117563457</v>
      </c>
    </row>
    <row r="54" spans="1:5" x14ac:dyDescent="0.25">
      <c r="A54" s="5">
        <f t="shared" si="4"/>
        <v>0.73499999999999999</v>
      </c>
      <c r="B54" s="3">
        <f t="shared" si="0"/>
        <v>2.4966570842181355</v>
      </c>
      <c r="D54" s="5">
        <f t="shared" si="2"/>
        <v>0.73499999999999999</v>
      </c>
      <c r="E54" s="3">
        <f t="shared" si="3"/>
        <v>2.4784519647017413</v>
      </c>
    </row>
    <row r="55" spans="1:5" x14ac:dyDescent="0.25">
      <c r="A55" s="5">
        <f t="shared" si="4"/>
        <v>0.78749999999999998</v>
      </c>
      <c r="B55" s="3">
        <f t="shared" si="0"/>
        <v>2.6098382436314917</v>
      </c>
      <c r="D55" s="5">
        <f t="shared" si="2"/>
        <v>0.78749999999999998</v>
      </c>
      <c r="E55" s="3">
        <f t="shared" si="3"/>
        <v>2.613588917647137</v>
      </c>
    </row>
    <row r="56" spans="1:5" x14ac:dyDescent="0.25">
      <c r="A56" s="5">
        <f t="shared" si="4"/>
        <v>0.84</v>
      </c>
      <c r="B56" s="3">
        <f t="shared" si="0"/>
        <v>2.7211058896782032</v>
      </c>
      <c r="D56" s="5">
        <f t="shared" si="2"/>
        <v>0.84</v>
      </c>
      <c r="E56" s="3">
        <f t="shared" si="3"/>
        <v>2.7487258705925317</v>
      </c>
    </row>
    <row r="57" spans="1:5" x14ac:dyDescent="0.25">
      <c r="A57" s="5">
        <f t="shared" si="4"/>
        <v>0.89249999999999996</v>
      </c>
      <c r="B57" s="3">
        <f t="shared" si="0"/>
        <v>2.8306315809036877</v>
      </c>
      <c r="D57" s="5">
        <f t="shared" si="2"/>
        <v>0.89249999999999996</v>
      </c>
      <c r="E57" s="3">
        <f t="shared" si="3"/>
        <v>2.8838628235379273</v>
      </c>
    </row>
    <row r="58" spans="1:5" x14ac:dyDescent="0.25">
      <c r="A58" s="5">
        <f t="shared" si="4"/>
        <v>0.94499999999999995</v>
      </c>
      <c r="B58" s="3">
        <f t="shared" si="0"/>
        <v>2.9385626445632478</v>
      </c>
      <c r="D58" s="5">
        <f t="shared" si="2"/>
        <v>0.94499999999999995</v>
      </c>
      <c r="E58" s="3">
        <f t="shared" si="3"/>
        <v>3.0189997764833221</v>
      </c>
    </row>
    <row r="59" spans="1:5" x14ac:dyDescent="0.25">
      <c r="A59" s="5">
        <f t="shared" si="4"/>
        <v>0.99749999999999994</v>
      </c>
      <c r="B59" s="3">
        <f t="shared" si="0"/>
        <v>3.0450267159184086</v>
      </c>
      <c r="D59" s="5">
        <f t="shared" si="2"/>
        <v>0.99749999999999994</v>
      </c>
      <c r="E59" s="3">
        <f t="shared" si="3"/>
        <v>3.1541367294287177</v>
      </c>
    </row>
    <row r="60" spans="1:5" x14ac:dyDescent="0.25">
      <c r="A60" s="5">
        <f>$H$28</f>
        <v>1.05</v>
      </c>
      <c r="B60" s="3">
        <f t="shared" si="0"/>
        <v>3.1501352391358921</v>
      </c>
      <c r="D60" s="5">
        <f t="shared" si="2"/>
        <v>1.05</v>
      </c>
      <c r="E60" s="3">
        <f t="shared" si="3"/>
        <v>3.2892736823741133</v>
      </c>
    </row>
  </sheetData>
  <sheetProtection algorithmName="SHA-512" hashValue="tG4Gia0dOdjpxk4B0YeIWa+KudB2+gFdvhlDnrJTiukLt0b7IskaMaldLscAzwdItlWgxM3JugI+h9OauL/p8Q==" saltValue="7H9vbaOj6KmWgT8DMpurjg==" spinCount="100000" sheet="1" scenarios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7" sqref="Q17"/>
    </sheetView>
  </sheetViews>
  <sheetFormatPr defaultRowHeight="15" x14ac:dyDescent="0.25"/>
  <sheetData>
    <row r="1" spans="1:1" x14ac:dyDescent="0.25">
      <c r="A1" s="1" t="s">
        <v>9</v>
      </c>
    </row>
  </sheetData>
  <sheetProtection algorithmName="SHA-512" hashValue="sfcxdb1ggoBbtU2Dy17qvCILOeS/sMqRyD3fJevVJ962ITiI4zABmV/swUK0G+KJYABzLuJQmtokyRvCgROI7Q==" saltValue="u1wCPcfBNisNcDtR+2DlEA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6" sqref="L16"/>
    </sheetView>
  </sheetViews>
  <sheetFormatPr defaultRowHeight="15" x14ac:dyDescent="0.25"/>
  <sheetData/>
  <sheetProtection algorithmName="SHA-512" hashValue="uk2oYFZHi6iL/k9Ic0J9kEk+0FMX1K2x7c/gK5rkfGWTjxkEZPkjRMxnRovuLY77Ve1ZUikX+Z0Uauy7CciErw==" saltValue="mPtnJ6Rhu6cqHRSl4vdI7w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N16" sqref="N16"/>
    </sheetView>
  </sheetViews>
  <sheetFormatPr defaultRowHeight="15" x14ac:dyDescent="0.25"/>
  <sheetData>
    <row r="1" spans="1:1" x14ac:dyDescent="0.25">
      <c r="A1" s="1" t="s">
        <v>10</v>
      </c>
    </row>
  </sheetData>
  <sheetProtection algorithmName="SHA-512" hashValue="z3X4RaR4L3gkojAHsWRsOaGoxVk8RqXLrsxDuY+sdRnIOpTqjvlJ1gsrecj5trGM5nJ8uHwAGbg36yjPqakLdA==" saltValue="1EMDG/efYn0FzA2j486URA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"/>
  <sheetViews>
    <sheetView workbookViewId="0">
      <selection activeCell="A2" sqref="A2"/>
    </sheetView>
  </sheetViews>
  <sheetFormatPr defaultRowHeight="15" x14ac:dyDescent="0.25"/>
  <sheetData>
    <row r="1" spans="1:11" x14ac:dyDescent="0.25">
      <c r="A1" s="1" t="s">
        <v>8</v>
      </c>
      <c r="K1" s="1" t="s">
        <v>7</v>
      </c>
    </row>
  </sheetData>
  <sheetProtection algorithmName="SHA-512" hashValue="7tjFdDFl2hQ3JThpADiTjqA4U0iZcsdvnzXVNy+jRY6fSKoXIyR+ZPXq2VcKN421YyxIwA4Fr503l3VS+MeMkA==" saltValue="XVWon8f0i8lNAZshlAXw7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29" sqref="V29"/>
    </sheetView>
  </sheetViews>
  <sheetFormatPr defaultRowHeight="15" x14ac:dyDescent="0.25"/>
  <sheetData/>
  <sheetProtection algorithmName="SHA-512" hashValue="6KAuR6147JUgadVUVZs6BuBAoyvuvOl7DjAItBb1Oxh/EB70pcHwfvHQYfivhgFptdH7NfW7U/2CjOUqEzG3Hw==" saltValue="hOg1lUk+jqPWJGUJ+Ip49A==" spinCount="100000" sheet="1" objects="1" scenarios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6"/>
  <sheetViews>
    <sheetView tabSelected="1" workbookViewId="0">
      <selection activeCell="O10" sqref="O10"/>
    </sheetView>
  </sheetViews>
  <sheetFormatPr defaultRowHeight="15" x14ac:dyDescent="0.25"/>
  <cols>
    <col min="9" max="9" width="9.42578125" bestFit="1" customWidth="1"/>
  </cols>
  <sheetData>
    <row r="1" spans="1:10" x14ac:dyDescent="0.25">
      <c r="A1" s="1" t="s">
        <v>40</v>
      </c>
    </row>
    <row r="3" spans="1:10" x14ac:dyDescent="0.25">
      <c r="E3" t="s">
        <v>39</v>
      </c>
      <c r="I3" s="31">
        <v>30</v>
      </c>
      <c r="J3" t="s">
        <v>43</v>
      </c>
    </row>
    <row r="4" spans="1:10" ht="17.25" x14ac:dyDescent="0.25">
      <c r="E4" t="s">
        <v>44</v>
      </c>
      <c r="I4" s="31">
        <v>0.02</v>
      </c>
      <c r="J4" t="s">
        <v>50</v>
      </c>
    </row>
    <row r="5" spans="1:10" ht="26.25" x14ac:dyDescent="0.45">
      <c r="H5" s="2" t="s">
        <v>21</v>
      </c>
      <c r="I5" s="4">
        <f>Calc!H25</f>
        <v>0.63327106421495238</v>
      </c>
      <c r="J5" t="s">
        <v>30</v>
      </c>
    </row>
    <row r="6" spans="1:10" ht="26.25" x14ac:dyDescent="0.45">
      <c r="H6" s="2" t="s">
        <v>23</v>
      </c>
      <c r="I6" s="9">
        <f>$I$5*0.47*($I$5/($I$4*$I$3))^(-0.94)</f>
        <v>0.2829146337875435</v>
      </c>
      <c r="J6" t="s">
        <v>49</v>
      </c>
    </row>
    <row r="10" spans="1:10" x14ac:dyDescent="0.25">
      <c r="A10" s="1" t="s">
        <v>41</v>
      </c>
    </row>
    <row r="13" spans="1:10" x14ac:dyDescent="0.25">
      <c r="E13" t="s">
        <v>42</v>
      </c>
      <c r="I13" s="31">
        <v>30</v>
      </c>
      <c r="J13" t="s">
        <v>43</v>
      </c>
    </row>
    <row r="14" spans="1:10" ht="17.25" x14ac:dyDescent="0.25">
      <c r="E14" t="s">
        <v>44</v>
      </c>
      <c r="I14" s="31">
        <v>2.7E-2</v>
      </c>
      <c r="J14" t="s">
        <v>50</v>
      </c>
    </row>
    <row r="15" spans="1:10" ht="26.25" x14ac:dyDescent="0.45">
      <c r="H15" s="2" t="s">
        <v>21</v>
      </c>
      <c r="I15" s="4">
        <f>Calc!H25</f>
        <v>0.63327106421495238</v>
      </c>
      <c r="J15" t="s">
        <v>30</v>
      </c>
    </row>
    <row r="16" spans="1:10" ht="26.25" x14ac:dyDescent="0.45">
      <c r="H16" s="2" t="s">
        <v>23</v>
      </c>
      <c r="I16" s="9">
        <f>$I$15*0.72*($I$15/($I$14*$I$13))^(-0.91)</f>
        <v>0.5704228729188725</v>
      </c>
      <c r="J16" t="s">
        <v>49</v>
      </c>
    </row>
  </sheetData>
  <sheetProtection algorithmName="SHA-512" hashValue="Ln/LhRJBoETIPwOWk1TixP1Fkl24B9AnSXy22X0AQveJJgdjUv3YlmsWTeoKBN5cqix+dEmbFI+OkEoeBUPMeQ==" saltValue="ehxF2OQSJy+Lw5Ue0fzlQg==" spinCount="100000" sheet="1" objects="1" scenarios="1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Formula</vt:lpstr>
      <vt:lpstr>Calc</vt:lpstr>
      <vt:lpstr>sigci</vt:lpstr>
      <vt:lpstr>MR</vt:lpstr>
      <vt:lpstr>mi</vt:lpstr>
      <vt:lpstr>GSI</vt:lpstr>
      <vt:lpstr>D</vt:lpstr>
      <vt:lpstr>sig3max</vt:lpstr>
      <vt:lpstr>Calc!Print_Area</vt:lpstr>
    </vt:vector>
  </TitlesOfParts>
  <Company>Parsons Brinkerhoff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punlop.v</dc:creator>
  <cp:lastModifiedBy>punlop</cp:lastModifiedBy>
  <cp:lastPrinted>2012-01-07T09:23:13Z</cp:lastPrinted>
  <dcterms:created xsi:type="dcterms:W3CDTF">2012-01-06T09:55:49Z</dcterms:created>
  <dcterms:modified xsi:type="dcterms:W3CDTF">2014-07-18T06:41:01Z</dcterms:modified>
</cp:coreProperties>
</file>